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<sst xmlns="http://schemas.openxmlformats.org/spreadsheetml/2006/main" uniqueCount="1615">
  <si>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</si>
  <si>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</si>
  <si>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</si>
  <si>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</si>
  <si>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</si>
  <si>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</si>
  <si>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</si>
  <si>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</si>
  <si>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</si>
  <si>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</si>
  <si>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</si>
  <si>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NAS-410013</t>
  </si>
  <si>
    <t>VER361</t>
  </si>
  <si>
    <t>Скважный адаптер 1" VIEIR (1/12шт)</t>
  </si>
  <si>
    <t>2 831.47 руб.</t>
  </si>
  <si>
    <t>Уточняйте</t>
  </si>
  <si>
    <t>шт</t>
  </si>
  <si>
    <t>PND-110001</t>
  </si>
  <si>
    <t>017010201-01</t>
  </si>
  <si>
    <t>ПНД труба 20х2,0 ТЕBО ПЭ-100 SDR-11, 16 атм. (100 м) ГОСТ питьевая напорная</t>
  </si>
  <si>
    <t>42.12 руб.</t>
  </si>
  <si>
    <t>пог</t>
  </si>
  <si>
    <t>PND-110003</t>
  </si>
  <si>
    <t>017010202-01</t>
  </si>
  <si>
    <t>ПНД труба 25х2,3 ТЕBО ПЭ-100 SDR-11, 16 атм. (100 м) ГОСТ питьевая напорная</t>
  </si>
  <si>
    <t>58.45 руб.</t>
  </si>
  <si>
    <t>PND-110005</t>
  </si>
  <si>
    <t>017010203-01</t>
  </si>
  <si>
    <t>ПНД труба 32х3,0 ТЕБО ПЭ-100 SDR-11, 16 атм. (100 м) ГОСТ питьевая напорная</t>
  </si>
  <si>
    <t>97.97 руб.</t>
  </si>
  <si>
    <t>PND-110150</t>
  </si>
  <si>
    <t>ПНД Ключ для фитингов 32-63</t>
  </si>
  <si>
    <t>194.34 руб.</t>
  </si>
  <si>
    <t>PND-110151</t>
  </si>
  <si>
    <t>ПНД Ключ для фитингов 63-110</t>
  </si>
  <si>
    <t>509.38 руб.</t>
  </si>
  <si>
    <t>PND-111001</t>
  </si>
  <si>
    <t>ПНД труба 20х2,0 ACR  ПЭ-100 SDR-11, 16 атм. (200 м) черная с синей полосой</t>
  </si>
  <si>
    <t>39.10 руб.</t>
  </si>
  <si>
    <t>PND-111002</t>
  </si>
  <si>
    <t>ПНД труба 25х2,0 ACR ПЭ-100 SDR-13,6, 12,5 атм.(200 м) черная с синей полосой</t>
  </si>
  <si>
    <t>44.20 руб.</t>
  </si>
  <si>
    <t>PND-111003</t>
  </si>
  <si>
    <t>ПНД труба 32х2,0 ACR ПЭ-100 SDR-17, 10 атм.(200 м) черная с синей полосой</t>
  </si>
  <si>
    <t>54.40 руб.</t>
  </si>
  <si>
    <t>PND-111004</t>
  </si>
  <si>
    <t>ПНД труба 32х2,4 ACR ПЭ-100 SDR-13,6, 12,5 атм.(200 м) черная с синей полосой</t>
  </si>
  <si>
    <t>62.90 руб.</t>
  </si>
  <si>
    <t>PND-111005</t>
  </si>
  <si>
    <t>ПНД труба 32х3,0 ACR ПЭ-100 SDR-11, 16 атм. (200 м) черная с синей полосой</t>
  </si>
  <si>
    <t>76.00 руб.</t>
  </si>
  <si>
    <t>PND-120001</t>
  </si>
  <si>
    <t>017010302-01</t>
  </si>
  <si>
    <t>ПНД труба 25х2,0 ТЕВО ПЭ-100 SDR-13,6, 12,5 атм.(100 м) ГОСТ питьевая напорная</t>
  </si>
  <si>
    <t>54.94 руб.</t>
  </si>
  <si>
    <t>PND-120003</t>
  </si>
  <si>
    <t>017010303-01</t>
  </si>
  <si>
    <t>ПНД труба 32х2,4 ТЕВО ПЭ-100 SDR-13,6, 12,5 атм.(100 м) ГОСТ питьевая напорная</t>
  </si>
  <si>
    <t>81.97 руб.</t>
  </si>
  <si>
    <t>PND-130001</t>
  </si>
  <si>
    <t>017010403-01</t>
  </si>
  <si>
    <t>ПНД труба 32х2,0 ТЕВО ПЭ-100 SDR-17, 10 атм.(100 м) ГОСТ питьевая напорная</t>
  </si>
  <si>
    <t>67.93 руб.</t>
  </si>
  <si>
    <t>PND-141101</t>
  </si>
  <si>
    <t>МП11 20-2.0-100</t>
  </si>
  <si>
    <t>ПНД труба 20х2,0 МЕГАПАЙП ПЭ-100 SDR-11, 16 атм. (100 м) ГОСТ</t>
  </si>
  <si>
    <t>34.04 руб.</t>
  </si>
  <si>
    <t>PND-141104</t>
  </si>
  <si>
    <t>МП11 25-2.3-100</t>
  </si>
  <si>
    <t>ПНД труба 25х2,3 МЕГАПАЙП ПЭ-100 SDR-11, 16 атм. (100 м) ГОСТ</t>
  </si>
  <si>
    <t>49.59 руб.</t>
  </si>
  <si>
    <t>PND-141107</t>
  </si>
  <si>
    <t>МП11 32-3.0-100</t>
  </si>
  <si>
    <t>ПНД труба 32х3,0 МЕГАПАЙП ПЭ-100 SDR-11, 16 атм. (100 м) ГОСТ</t>
  </si>
  <si>
    <t>81.27 руб.</t>
  </si>
  <si>
    <t>PND-141110</t>
  </si>
  <si>
    <t>МП11 40-3.7-100</t>
  </si>
  <si>
    <t>ПНД труба 40х3,7 МЕГАПАЙП ПЭ-100 SDR-11, 16 атм. (100 м) ГОСТ</t>
  </si>
  <si>
    <t>125.28 руб.</t>
  </si>
  <si>
    <t>PND-141113</t>
  </si>
  <si>
    <t>МП11 50-4.6-100</t>
  </si>
  <si>
    <t>ПНД труба 50х4,6 МЕГАПАЙП ПЭ-100 SDR-11, 16 атм. (100 м) ГОСТ</t>
  </si>
  <si>
    <t>194.53 руб.</t>
  </si>
  <si>
    <t>PND-141116</t>
  </si>
  <si>
    <t>МП11 63-5.8-100</t>
  </si>
  <si>
    <t>ПНД труба 63х5,8 МЕГАПАЙП ПЭ-100 SDR-11, 16 атм. (100 м) ГОСТ</t>
  </si>
  <si>
    <t>308.07 руб.</t>
  </si>
  <si>
    <t>PND-141201</t>
  </si>
  <si>
    <t>МП13.6 25-2.0-100</t>
  </si>
  <si>
    <t>ПНД труба 25х2,0 МЕГАПАЙП ПЭ-100 SDR-13,6, 12,5 атм.(100 м) ГОСТ</t>
  </si>
  <si>
    <t>43.42 руб.</t>
  </si>
  <si>
    <t>PND-141204</t>
  </si>
  <si>
    <t>МП13.6 32-2.4-100</t>
  </si>
  <si>
    <t>ПНД труба 32х2,4 МЕГАПАЙП ПЭ-100 SDR-13,6, 12,5 атм. (100 м) ГОСТ</t>
  </si>
  <si>
    <t>67.19 руб.</t>
  </si>
  <si>
    <t>PND-141207</t>
  </si>
  <si>
    <t>МП13.6 40-3,0-100</t>
  </si>
  <si>
    <t>ПНД труба 40х3,0 МЕГАПАЙП ПЭ-100 SDR-13,6, 12,5 атм. (100 м) ГОСТ</t>
  </si>
  <si>
    <t>103.57 руб.</t>
  </si>
  <si>
    <t>PND-141210</t>
  </si>
  <si>
    <t>МП13.6 50-3,7-100</t>
  </si>
  <si>
    <t>ПНД труба 50х3,7 МЕГАПАЙП ПЭ-100 SDR-13,6, 12,5 атм. (100 м) ГОСТ</t>
  </si>
  <si>
    <t>159.91 руб.</t>
  </si>
  <si>
    <t>PND-141213</t>
  </si>
  <si>
    <t>МП13.6 63-4,7-100</t>
  </si>
  <si>
    <t>ПНД труба 63х4,7 МЕГАПАЙП ПЭ-100 SDR-13,6, 12,5 атм. (100 м) ГОСТ</t>
  </si>
  <si>
    <t>254.97 руб.</t>
  </si>
  <si>
    <t>PND-141301</t>
  </si>
  <si>
    <t>МП17 32-2,0-100</t>
  </si>
  <si>
    <t>ПНД труба 32х2,0 МЕГАПАЙП ПЭ-100 SDR-17, 10 атм. (100 м) ГОСТ</t>
  </si>
  <si>
    <t>56.63 руб.</t>
  </si>
  <si>
    <t>PND-141304</t>
  </si>
  <si>
    <t>МП17 40-2,4-100</t>
  </si>
  <si>
    <t>ПНД труба 40х2,4 МЕГАПАЙП ПЭ-100 SDR-17, 10 атм. (100 м) ГОСТ</t>
  </si>
  <si>
    <t>85.68 руб.</t>
  </si>
  <si>
    <t>PND-141307</t>
  </si>
  <si>
    <t>МП17 50-3,0-100</t>
  </si>
  <si>
    <t>ПНД труба 50х3,0 МЕГАПАЙП ПЭ-100 SDR-17, 10 атм. (100 м) ГОСТ</t>
  </si>
  <si>
    <t>131.74 руб.</t>
  </si>
  <si>
    <t>PND-141310</t>
  </si>
  <si>
    <t>МП17 63-3,8-100</t>
  </si>
  <si>
    <t>ПНД труба 63х3,8 МЕГАПАЙП ПЭ-100 SDR-17, 10 атм. (100 м) ГОСТ</t>
  </si>
  <si>
    <t>209.79 руб.</t>
  </si>
  <si>
    <t>PND-211001</t>
  </si>
  <si>
    <t>T-ПНД.З.0.20.CN</t>
  </si>
  <si>
    <t>ПНД Заглушка 20 (30/390шт)</t>
  </si>
  <si>
    <t>29.92 руб.</t>
  </si>
  <si>
    <t>PND-211002</t>
  </si>
  <si>
    <t>T-ПНД.З.0.25.CN</t>
  </si>
  <si>
    <t>ПНД Заглушка 25 (20/240шт)</t>
  </si>
  <si>
    <t>44.21 руб.</t>
  </si>
  <si>
    <t>PND-211003</t>
  </si>
  <si>
    <t>T-ПНД.З.0.32.CN</t>
  </si>
  <si>
    <t>ПНД Заглушка 32 (12/168шт)</t>
  </si>
  <si>
    <t>64.31 руб.</t>
  </si>
  <si>
    <t>PND-211004</t>
  </si>
  <si>
    <t>017033005</t>
  </si>
  <si>
    <t>ПНД Заглушка 40</t>
  </si>
  <si>
    <t>101.83 руб.</t>
  </si>
  <si>
    <t>PND-211005</t>
  </si>
  <si>
    <t>017033006</t>
  </si>
  <si>
    <t>ПНД Заглушка 50</t>
  </si>
  <si>
    <t>175.63 руб.</t>
  </si>
  <si>
    <t>PND-211006</t>
  </si>
  <si>
    <t>017033007</t>
  </si>
  <si>
    <t>ПНД Заглушка 63</t>
  </si>
  <si>
    <t>274.73 руб.</t>
  </si>
  <si>
    <t>PND-211007</t>
  </si>
  <si>
    <t>ПНД Заглушка  75</t>
  </si>
  <si>
    <t>402.71 руб.</t>
  </si>
  <si>
    <t>PND-211008</t>
  </si>
  <si>
    <t>017033009</t>
  </si>
  <si>
    <t>ПНД Заглушка  90</t>
  </si>
  <si>
    <t>622.64 руб.</t>
  </si>
  <si>
    <t>PND-211009</t>
  </si>
  <si>
    <t>017033010</t>
  </si>
  <si>
    <t>ПНД Заглушка  110</t>
  </si>
  <si>
    <t>1 139.78 руб.</t>
  </si>
  <si>
    <t>PND-211010</t>
  </si>
  <si>
    <t>ПНД Муфта переходная 25x20</t>
  </si>
  <si>
    <t>66.99 руб.</t>
  </si>
  <si>
    <t>PND-211011</t>
  </si>
  <si>
    <t>017030202</t>
  </si>
  <si>
    <t>ПНД Муфта переходная 32x20 (8/112шт)</t>
  </si>
  <si>
    <t>108.53 руб.</t>
  </si>
  <si>
    <t>PND-211012</t>
  </si>
  <si>
    <t>ПНД Муфта переходная 32x25 (8/112шт)</t>
  </si>
  <si>
    <t>119.24 руб.</t>
  </si>
  <si>
    <t>PND-211013</t>
  </si>
  <si>
    <t>017030215</t>
  </si>
  <si>
    <t>ПНД Муфта переходная 40x20</t>
  </si>
  <si>
    <t>130.53 руб.</t>
  </si>
  <si>
    <t>PND-211014</t>
  </si>
  <si>
    <t>017030204</t>
  </si>
  <si>
    <t>ПНД Муфта переходная 40x25</t>
  </si>
  <si>
    <t>96.86 руб.</t>
  </si>
  <si>
    <t>PND-211015</t>
  </si>
  <si>
    <t>ПНД Муфта переходная 40x32</t>
  </si>
  <si>
    <t>102.47 руб.</t>
  </si>
  <si>
    <t>PND-211016</t>
  </si>
  <si>
    <t>87050020000X000</t>
  </si>
  <si>
    <t>ПНД Муфта переходная 50х20</t>
  </si>
  <si>
    <t>219.23 руб.</t>
  </si>
  <si>
    <t>PND-211017</t>
  </si>
  <si>
    <t>ПНД Муфта переходная 50x25</t>
  </si>
  <si>
    <t>218.29 руб.</t>
  </si>
  <si>
    <t>PND-211018</t>
  </si>
  <si>
    <t>017030206</t>
  </si>
  <si>
    <t>ПНД Муфта переходная 50x32</t>
  </si>
  <si>
    <t>158.36 руб.</t>
  </si>
  <si>
    <t>PND-211019</t>
  </si>
  <si>
    <t>ПНД Муфта переходная 50x40</t>
  </si>
  <si>
    <t>231.41 руб.</t>
  </si>
  <si>
    <t>PND-211020</t>
  </si>
  <si>
    <t>87063020000X000</t>
  </si>
  <si>
    <t>ПНД Муфта переходная 63х20</t>
  </si>
  <si>
    <t>329.35 руб.</t>
  </si>
  <si>
    <t>PND-211021</t>
  </si>
  <si>
    <t>017030217</t>
  </si>
  <si>
    <t>ПНД Муфта переходная 63x25</t>
  </si>
  <si>
    <t>321.34 руб.</t>
  </si>
  <si>
    <t>PND-211022</t>
  </si>
  <si>
    <t>017030218</t>
  </si>
  <si>
    <t>ПНД Муфта переходная 63x32</t>
  </si>
  <si>
    <t>220.16 руб.</t>
  </si>
  <si>
    <t>PND-211023</t>
  </si>
  <si>
    <t>017030208</t>
  </si>
  <si>
    <t>ПНД Муфта переходная 63x40</t>
  </si>
  <si>
    <t>250.13 руб.</t>
  </si>
  <si>
    <t>PND-211024</t>
  </si>
  <si>
    <t>ПНД Муфта переходная 63x50</t>
  </si>
  <si>
    <t>294.41 руб.</t>
  </si>
  <si>
    <t>PND-211025</t>
  </si>
  <si>
    <t>017030210</t>
  </si>
  <si>
    <t>ПНД Муфта переходная 75x50</t>
  </si>
  <si>
    <t>522.72 руб.</t>
  </si>
  <si>
    <t>PND-211026</t>
  </si>
  <si>
    <t>ПНД Муфта переходная 75x63</t>
  </si>
  <si>
    <t>769.05 руб.</t>
  </si>
  <si>
    <t>PND-211027</t>
  </si>
  <si>
    <t>017030212</t>
  </si>
  <si>
    <t>ПНД Муфта переходная 90x63</t>
  </si>
  <si>
    <t>899.69 руб.</t>
  </si>
  <si>
    <t>PND-211028</t>
  </si>
  <si>
    <t>ПНД Муфта переходная 90x75</t>
  </si>
  <si>
    <t>1 227.50 руб.</t>
  </si>
  <si>
    <t>PND-211029</t>
  </si>
  <si>
    <t>017030219</t>
  </si>
  <si>
    <t>ПНД Муфта переходная 110x63</t>
  </si>
  <si>
    <t>1 476.51 руб.</t>
  </si>
  <si>
    <t>PND-211030</t>
  </si>
  <si>
    <t>017030220</t>
  </si>
  <si>
    <t>ПНД Муфта переходная 110x75</t>
  </si>
  <si>
    <t>1 540.23 руб.</t>
  </si>
  <si>
    <t>PND-211031</t>
  </si>
  <si>
    <t>ПНД Муфта переходная 110x90</t>
  </si>
  <si>
    <t>1 461.11 руб.</t>
  </si>
  <si>
    <t>PND-211032</t>
  </si>
  <si>
    <t>017030302</t>
  </si>
  <si>
    <t>ПНД Муфта с внутренней резьбой 20x1/2 (32/320шт)</t>
  </si>
  <si>
    <t>34.35 руб.</t>
  </si>
  <si>
    <t>PND-211033</t>
  </si>
  <si>
    <t>T-ПНД.М.4.20-34.CN</t>
  </si>
  <si>
    <t>ПНД Муфта с внутренней резьбой 20x3/4 (32/320шт)</t>
  </si>
  <si>
    <t>PND-211034</t>
  </si>
  <si>
    <t>72020000000F100</t>
  </si>
  <si>
    <t>ПНД Муфта с внутренней резьбой 20x1</t>
  </si>
  <si>
    <t>40.44 руб.</t>
  </si>
  <si>
    <t>PND-211035</t>
  </si>
  <si>
    <t>017030306</t>
  </si>
  <si>
    <t>ПНД Муфта с внутренней резьбой 25x1 (18/216шт)</t>
  </si>
  <si>
    <t>50.92 руб.</t>
  </si>
  <si>
    <t>PND-211036</t>
  </si>
  <si>
    <t>T-ПНД.М.4.25-12.CN</t>
  </si>
  <si>
    <t>ПНД Муфта с внутренней резьбой 25x1/2 (18/216шт)</t>
  </si>
  <si>
    <t>PND-211037</t>
  </si>
  <si>
    <t>T-ПНД.М.4.25-34.CN</t>
  </si>
  <si>
    <t>ПНД Муфта с внутренней резьбой 25x3/4 (18/216шт)</t>
  </si>
  <si>
    <t>45.55 руб.</t>
  </si>
  <si>
    <t>PND-211038</t>
  </si>
  <si>
    <t>T-ПНД.М.4.32-1.CN</t>
  </si>
  <si>
    <t>ПНД Муфта с внутренней резьбой 32x1 (12/144шт)</t>
  </si>
  <si>
    <t>77.71 руб.</t>
  </si>
  <si>
    <t>PND-211039</t>
  </si>
  <si>
    <t>72032000000F114</t>
  </si>
  <si>
    <t>ПНД Муфта с внутренней резьбой 32x1 1/4</t>
  </si>
  <si>
    <t>57.12 руб.</t>
  </si>
  <si>
    <t>PND-211040</t>
  </si>
  <si>
    <t>72032000000F012</t>
  </si>
  <si>
    <t>ПНД Муфта с внутренней резьбой 32x1/2 (12/144шт)</t>
  </si>
  <si>
    <t>59.39 руб.</t>
  </si>
  <si>
    <t>PND-211041</t>
  </si>
  <si>
    <t>T-ПНД.М.4.32-34.CN</t>
  </si>
  <si>
    <t>ПНД Муфта с внутренней резьбой 32x3/4 (12/144шт)</t>
  </si>
  <si>
    <t>75.03 руб.</t>
  </si>
  <si>
    <t>PND-211042</t>
  </si>
  <si>
    <t>017030310</t>
  </si>
  <si>
    <t>ПНД Муфта с внутренней резьбой 40x1</t>
  </si>
  <si>
    <t>68.04 руб.</t>
  </si>
  <si>
    <t>PND-211043</t>
  </si>
  <si>
    <t>72040000000F112</t>
  </si>
  <si>
    <t>ПНД Муфта с внутренней резьбой 40x1 1/2</t>
  </si>
  <si>
    <t>106.76 руб.</t>
  </si>
  <si>
    <t>PND-211044</t>
  </si>
  <si>
    <t>017030311</t>
  </si>
  <si>
    <t>ПНД Муфта с внутренней резьбой 40x1 1/4</t>
  </si>
  <si>
    <t>93.92 руб.</t>
  </si>
  <si>
    <t>PND-211045</t>
  </si>
  <si>
    <t>72050000000F100</t>
  </si>
  <si>
    <t>ПНД Муфта с внутренней резьбой 50x1</t>
  </si>
  <si>
    <t>186.26 руб.</t>
  </si>
  <si>
    <t>PND-211046</t>
  </si>
  <si>
    <t>017030313</t>
  </si>
  <si>
    <t>ПНД Муфта с внутренней резьбой 50x1 1/2</t>
  </si>
  <si>
    <t>125.77 руб.</t>
  </si>
  <si>
    <t>PND-211047</t>
  </si>
  <si>
    <t>017030312</t>
  </si>
  <si>
    <t>ПНД Муфта с внутренней резьбой 50x1 1/4</t>
  </si>
  <si>
    <t>119.48 руб.</t>
  </si>
  <si>
    <t>PND-211048</t>
  </si>
  <si>
    <t>72050000000F200</t>
  </si>
  <si>
    <t>ПНД Муфта с внутренней резьбой 50x2</t>
  </si>
  <si>
    <t>124.03 руб.</t>
  </si>
  <si>
    <t>PND-211049</t>
  </si>
  <si>
    <t>72063000000F114</t>
  </si>
  <si>
    <t>ПНД Муфта с внутренней резьбой 63x1 1/4</t>
  </si>
  <si>
    <t>310.99 руб.</t>
  </si>
  <si>
    <t>PND-211050</t>
  </si>
  <si>
    <t>017030319</t>
  </si>
  <si>
    <t>ПНД Муфта с внутренней резьбой 63x1 1/2</t>
  </si>
  <si>
    <t>186.71 руб.</t>
  </si>
  <si>
    <t>PND-211051</t>
  </si>
  <si>
    <t>017030314</t>
  </si>
  <si>
    <t>ПНД Муфта с внутренней резьбой 63x2</t>
  </si>
  <si>
    <t>302.78 руб.</t>
  </si>
  <si>
    <t>PND-211052</t>
  </si>
  <si>
    <t>ПНД Муфта с внутренней резьбой 63 x 2 1/2</t>
  </si>
  <si>
    <t>0.00 руб.</t>
  </si>
  <si>
    <t>PND-211053</t>
  </si>
  <si>
    <t>017030320</t>
  </si>
  <si>
    <t>ПНД Муфта с внутренней резьбой 75x2</t>
  </si>
  <si>
    <t>550.26 руб.</t>
  </si>
  <si>
    <t>PND-211054</t>
  </si>
  <si>
    <t>ПНД Муфта с внутренней резьбой 75x2 1/2</t>
  </si>
  <si>
    <t>426.67 руб.</t>
  </si>
  <si>
    <t>PND-211055</t>
  </si>
  <si>
    <t>720075000000F300</t>
  </si>
  <si>
    <t>ПНД Муфта с внутренней резьбой 75 x 3</t>
  </si>
  <si>
    <t>718.68 руб.</t>
  </si>
  <si>
    <t>PND-211056</t>
  </si>
  <si>
    <t>ПНД Муфта с внутренней резьбой 90x2 1/2</t>
  </si>
  <si>
    <t>743.29 руб.</t>
  </si>
  <si>
    <t>PND-211057</t>
  </si>
  <si>
    <t>ПНД Муфта с внутренней резьбой 90x2</t>
  </si>
  <si>
    <t>PND-211058</t>
  </si>
  <si>
    <t>ПНД Муфта с внутренней резьбой 90x3</t>
  </si>
  <si>
    <t>750.45 руб.</t>
  </si>
  <si>
    <t>PND-211059</t>
  </si>
  <si>
    <t>720090000000F400</t>
  </si>
  <si>
    <t>ПНД Муфта с внутренней резьбой 90x4</t>
  </si>
  <si>
    <t>1 053.31 руб.</t>
  </si>
  <si>
    <t>PND-211060</t>
  </si>
  <si>
    <t>ПНД Муфта с внутренней резьбой 110x2</t>
  </si>
  <si>
    <t>PND-211061</t>
  </si>
  <si>
    <t>ПНД Муфта с внутренней резьбой 110x2 1/2</t>
  </si>
  <si>
    <t>PND-211062</t>
  </si>
  <si>
    <t>017030321</t>
  </si>
  <si>
    <t>ПНД Муфта с внутренней резьбой 110x3</t>
  </si>
  <si>
    <t>1 145.06 руб.</t>
  </si>
  <si>
    <t>PND-211063</t>
  </si>
  <si>
    <t>017030318</t>
  </si>
  <si>
    <t>ПНД Муфта с внутренней резьбой 110x4</t>
  </si>
  <si>
    <t>1 066.03 руб.</t>
  </si>
  <si>
    <t>PND-211064</t>
  </si>
  <si>
    <t>71020000000M100</t>
  </si>
  <si>
    <t>ПНД Муфта с наружной резьбой 20x1 (34/408шт)</t>
  </si>
  <si>
    <t>37.36 руб.</t>
  </si>
  <si>
    <t>PND-211065</t>
  </si>
  <si>
    <t>T-ПНД.М.5.20-12.CN</t>
  </si>
  <si>
    <t>ПНД Муфта с наружной резьбой 20x1/2 (34/408шт)</t>
  </si>
  <si>
    <t>27.15 руб.</t>
  </si>
  <si>
    <t>PND-211066</t>
  </si>
  <si>
    <t>T-ПНД.М.5.20-34.CN</t>
  </si>
  <si>
    <t>ПНД Муфта с наружной резьбой 20x3/4 (34/408шт)</t>
  </si>
  <si>
    <t>28.81 руб.</t>
  </si>
  <si>
    <t>PND-211067</t>
  </si>
  <si>
    <t>T-ПНД.М.5.25-1.CN</t>
  </si>
  <si>
    <t>ПНД Муфта с наружной резьбой 25x1 (20/220шт)</t>
  </si>
  <si>
    <t>45.43 руб.</t>
  </si>
  <si>
    <t>PND-211068</t>
  </si>
  <si>
    <t>T-ПНД.М.5.25-12.CN</t>
  </si>
  <si>
    <t>ПНД Муфта с наружной резьбой 25x1/2 (20/240шт)</t>
  </si>
  <si>
    <t>42.87 руб.</t>
  </si>
  <si>
    <t>PND-211069</t>
  </si>
  <si>
    <t>T-ПНД.М.5.25-34.CN</t>
  </si>
  <si>
    <t>ПНД Муфта с наружной резьбой 25x3/4 (20/240шт)</t>
  </si>
  <si>
    <t>PND-211070</t>
  </si>
  <si>
    <t>T-ПНД.М.5.32-1.CN</t>
  </si>
  <si>
    <t>ПНД Муфта с наружной резьбой 32x1 (10/160шт)</t>
  </si>
  <si>
    <t>70.92 руб.</t>
  </si>
  <si>
    <t>PND-211071</t>
  </si>
  <si>
    <t>T-ПНД.М.5.32-114.CN</t>
  </si>
  <si>
    <t>ПНД Муфта с наружной резьбой 32x1 1/4 (12/144шт)</t>
  </si>
  <si>
    <t>72.03 руб.</t>
  </si>
  <si>
    <t>PND-211072</t>
  </si>
  <si>
    <t>T-ПНД.М.5.32-12.CN</t>
  </si>
  <si>
    <t>ПНД Муфта с наружной резьбой 32x1/2 (14/154шт)</t>
  </si>
  <si>
    <t>69.81 руб.</t>
  </si>
  <si>
    <t>PND-211073</t>
  </si>
  <si>
    <t>T-ПНД.М.5.32-34.CN</t>
  </si>
  <si>
    <t>ПНД Муфта с наружной резьбой 32x3/4 (14/154шт)</t>
  </si>
  <si>
    <t>PND-211074</t>
  </si>
  <si>
    <t>017030411</t>
  </si>
  <si>
    <t>ПНД Муфта с наружной резьбой 40x1</t>
  </si>
  <si>
    <t>69.12 руб.</t>
  </si>
  <si>
    <t>PND-211075</t>
  </si>
  <si>
    <t>017030413</t>
  </si>
  <si>
    <t>ПНД Муфта с наружной резьбой 40x1 1/2</t>
  </si>
  <si>
    <t>128.65 руб.</t>
  </si>
  <si>
    <t>PND-211076</t>
  </si>
  <si>
    <t>017030412</t>
  </si>
  <si>
    <t>ПНД Муфта с наружной резьбой 40x1 1/4</t>
  </si>
  <si>
    <t>72.94 руб.</t>
  </si>
  <si>
    <t>PND-211077</t>
  </si>
  <si>
    <t>71040000000M200</t>
  </si>
  <si>
    <t>ПНД Муфта с наружной резьбой 40x2</t>
  </si>
  <si>
    <t>106.12 руб.</t>
  </si>
  <si>
    <t>PND-211078</t>
  </si>
  <si>
    <t>71050000000M100</t>
  </si>
  <si>
    <t>ПНД Муфта с наружной резьбой 50х1</t>
  </si>
  <si>
    <t>176.38 руб.</t>
  </si>
  <si>
    <t>PND-211079</t>
  </si>
  <si>
    <t>017030415</t>
  </si>
  <si>
    <t>ПНД Муфта с наружной резьбой 50x1 1/2</t>
  </si>
  <si>
    <t>123.12 руб.</t>
  </si>
  <si>
    <t>PND-211080</t>
  </si>
  <si>
    <t>017030414</t>
  </si>
  <si>
    <t>ПНД Муфта с наружной резьбой 50x1 1/4</t>
  </si>
  <si>
    <t>112.81 руб.</t>
  </si>
  <si>
    <t>PND-211081</t>
  </si>
  <si>
    <t>017030416</t>
  </si>
  <si>
    <t>ПНД Муфта с наружной резьбой 50x2</t>
  </si>
  <si>
    <t>185.78 руб.</t>
  </si>
  <si>
    <t>PND-211082</t>
  </si>
  <si>
    <t>71063000000M114</t>
  </si>
  <si>
    <t>ПНД Муфта  с наружной резьбой 63x1 1/4</t>
  </si>
  <si>
    <t>243.26 руб.</t>
  </si>
  <si>
    <t>PND-211083</t>
  </si>
  <si>
    <t>017030423</t>
  </si>
  <si>
    <t>ПНД Муфта  с наружной резьбой 63x1 1/2</t>
  </si>
  <si>
    <t>202.61 руб.</t>
  </si>
  <si>
    <t>PND-211084</t>
  </si>
  <si>
    <t>017030417</t>
  </si>
  <si>
    <t>ПНД Муфта  с наружной резьбой 63x2</t>
  </si>
  <si>
    <t>195.26 руб.</t>
  </si>
  <si>
    <t>PND-211085</t>
  </si>
  <si>
    <t>017030424</t>
  </si>
  <si>
    <t>ПНД Муфта  с наружной резьбой 63x2 1/2</t>
  </si>
  <si>
    <t>270.99 руб.</t>
  </si>
  <si>
    <t>PND-211086</t>
  </si>
  <si>
    <t>017030418</t>
  </si>
  <si>
    <t>ПНД Муфта  с наружной резьбой 75x2</t>
  </si>
  <si>
    <t>487.88 руб.</t>
  </si>
  <si>
    <t>PND-211087</t>
  </si>
  <si>
    <t>017030419</t>
  </si>
  <si>
    <t>ПНД Муфта  с наружной резьбой 75x2 1/2</t>
  </si>
  <si>
    <t>490.74 руб.</t>
  </si>
  <si>
    <t>PND-211088</t>
  </si>
  <si>
    <t>017030420</t>
  </si>
  <si>
    <t>ПНД Муфта  с наружной резьбой 75x3</t>
  </si>
  <si>
    <t>497.90 руб.</t>
  </si>
  <si>
    <t>PND-211089</t>
  </si>
  <si>
    <t>ПНД Муфта  с наружной резьбой 90x2</t>
  </si>
  <si>
    <t>PND-211090</t>
  </si>
  <si>
    <t>ПНД Муфта  с наружной резьбой 90x2 1/2</t>
  </si>
  <si>
    <t>733.68 руб.</t>
  </si>
  <si>
    <t>PND-211091</t>
  </si>
  <si>
    <t>017030421</t>
  </si>
  <si>
    <t>ПНД Муфта  с наружной резьбой 90x3</t>
  </si>
  <si>
    <t>759.06 руб.</t>
  </si>
  <si>
    <t>PND-211092</t>
  </si>
  <si>
    <t>ПНД Муфта  с наружной резьбой 90x4</t>
  </si>
  <si>
    <t>PND-211093</t>
  </si>
  <si>
    <t>ПНД Муфта  с наружной резьбой 110x2</t>
  </si>
  <si>
    <t>PND-211094</t>
  </si>
  <si>
    <t>ПНД Муфта  с наружной резьбой 110x2 1/2</t>
  </si>
  <si>
    <t>PND-211095</t>
  </si>
  <si>
    <t>71110000000M300</t>
  </si>
  <si>
    <t>ПНД Муфта  с наружной резьбой 110x3</t>
  </si>
  <si>
    <t>1 495.09 руб.</t>
  </si>
  <si>
    <t>PND-211096</t>
  </si>
  <si>
    <t>017030422</t>
  </si>
  <si>
    <t>ПНД Муфта  с наружной резьбой 110x4</t>
  </si>
  <si>
    <t>1 199.59 руб.</t>
  </si>
  <si>
    <t>PND-211097</t>
  </si>
  <si>
    <t>T-ПНД.М.0.20-20.CN</t>
  </si>
  <si>
    <t>ПНД Муфта соединительная 20 (20/240шт)</t>
  </si>
  <si>
    <t>49.58 руб.</t>
  </si>
  <si>
    <t>PND-211098</t>
  </si>
  <si>
    <t>T-ПНД.М.0.25-25.CN</t>
  </si>
  <si>
    <t>ПНД Муфта соединительная 25 (12/144шт)</t>
  </si>
  <si>
    <t>PND-211099</t>
  </si>
  <si>
    <t>T-ПНД.М.0.32-32.CN</t>
  </si>
  <si>
    <t>ПНД Муфта соединительная 32 (8/96шт)</t>
  </si>
  <si>
    <t>PND-211100</t>
  </si>
  <si>
    <t>017030105</t>
  </si>
  <si>
    <t>ПНД Муфта соединительная 40</t>
  </si>
  <si>
    <t>121.61 руб.</t>
  </si>
  <si>
    <t>PND-211101</t>
  </si>
  <si>
    <t>017030106</t>
  </si>
  <si>
    <t>ПНД Муфта соединительная 50</t>
  </si>
  <si>
    <t>213.84 руб.</t>
  </si>
  <si>
    <t>PND-211102</t>
  </si>
  <si>
    <t>017030107</t>
  </si>
  <si>
    <t>ПНД Муфта соединительная 63</t>
  </si>
  <si>
    <t>353.16 руб.</t>
  </si>
  <si>
    <t>PND-211103</t>
  </si>
  <si>
    <t>017030108</t>
  </si>
  <si>
    <t>ПНД Муфта соединительная 75</t>
  </si>
  <si>
    <t>874.77 руб.</t>
  </si>
  <si>
    <t>PND-211104</t>
  </si>
  <si>
    <t>017030109</t>
  </si>
  <si>
    <t>ПНД Муфта соединительная 90</t>
  </si>
  <si>
    <t>1 400.04 руб.</t>
  </si>
  <si>
    <t>PND-211105</t>
  </si>
  <si>
    <t>017030110</t>
  </si>
  <si>
    <t>ПНД Муфта соединительная 110</t>
  </si>
  <si>
    <t>2 238.77 руб.</t>
  </si>
  <si>
    <t>PND-211106</t>
  </si>
  <si>
    <t>ПНД Отвод (угольник) 20 (20/240шт)</t>
  </si>
  <si>
    <t>PND-211107</t>
  </si>
  <si>
    <t>T-ПНД.О.0.25-25.CN</t>
  </si>
  <si>
    <t>ПНД Отвод (угольник) 25 (8/144шт)</t>
  </si>
  <si>
    <t>76.37 руб.</t>
  </si>
  <si>
    <t>PND-211108</t>
  </si>
  <si>
    <t>T-ПНД.О.0.32-32.CN</t>
  </si>
  <si>
    <t>ПНД Отвод (угольник) 32 (6/96шт)</t>
  </si>
  <si>
    <t>126.32 руб.</t>
  </si>
  <si>
    <t>PND-211109</t>
  </si>
  <si>
    <t>017030505</t>
  </si>
  <si>
    <t>ПНД Отвод (угольник) 40</t>
  </si>
  <si>
    <t>134.78 руб.</t>
  </si>
  <si>
    <t>PND-211110</t>
  </si>
  <si>
    <t>017030506</t>
  </si>
  <si>
    <t>ПНД Отвод (угольник) 50</t>
  </si>
  <si>
    <t>243.00 руб.</t>
  </si>
  <si>
    <t>PND-211111</t>
  </si>
  <si>
    <t>017030507</t>
  </si>
  <si>
    <t>ПНД Отвод (угольник) 63</t>
  </si>
  <si>
    <t>360.47 руб.</t>
  </si>
  <si>
    <t>PND-211112</t>
  </si>
  <si>
    <t>017030508</t>
  </si>
  <si>
    <t>ПНД Отвод (угольник) 75</t>
  </si>
  <si>
    <t>945.31 руб.</t>
  </si>
  <si>
    <t>PND-211113</t>
  </si>
  <si>
    <t>017030509</t>
  </si>
  <si>
    <t>ПНД Отвод (угольник) 90</t>
  </si>
  <si>
    <t>1 519.04 руб.</t>
  </si>
  <si>
    <t>PND-211114</t>
  </si>
  <si>
    <t>017030510</t>
  </si>
  <si>
    <t>ПНД Отвод (угольник) 110</t>
  </si>
  <si>
    <t>2 348.98 руб.</t>
  </si>
  <si>
    <t>PND-211115</t>
  </si>
  <si>
    <t>017030602</t>
  </si>
  <si>
    <t>ПНД Отвод (угольник) с внутренней резьбой 20x1/2</t>
  </si>
  <si>
    <t>40.19 руб.</t>
  </si>
  <si>
    <t>PND-211116</t>
  </si>
  <si>
    <t>017030603</t>
  </si>
  <si>
    <t>ПНД Отвод (угольник) с внутренней резьбой 20x3/4</t>
  </si>
  <si>
    <t>46.89 руб.</t>
  </si>
  <si>
    <t>PND-211117</t>
  </si>
  <si>
    <t>83020000000F100</t>
  </si>
  <si>
    <t>ПНД Отвод (угольник) с внутренней резьбой 20x1</t>
  </si>
  <si>
    <t>51.80 руб.</t>
  </si>
  <si>
    <t>PND-211118</t>
  </si>
  <si>
    <t>017030615</t>
  </si>
  <si>
    <t>ПНД Отвод (угольник) с внутренней резьбой 25x1 (18/198шт)</t>
  </si>
  <si>
    <t>PND-211119</t>
  </si>
  <si>
    <t>T-ПНД.О.4.25-12.CN</t>
  </si>
  <si>
    <t>ПНД Отвод (угольник) с внутренней резьбой 25x1/2 (20/200шт)</t>
  </si>
  <si>
    <t>53.59 руб.</t>
  </si>
  <si>
    <t>PND-211120</t>
  </si>
  <si>
    <t>T-ПНД.О.4.25-34.CN</t>
  </si>
  <si>
    <t>ПНД Отвод (угольник) с внутренней резьбой 25x3/4 (12/120шт)</t>
  </si>
  <si>
    <t>PND-211121</t>
  </si>
  <si>
    <t>83032000000F012</t>
  </si>
  <si>
    <t>ПНД Отвод (угольник) с внутренней резьбой 32Х1/2 (13/130шт)</t>
  </si>
  <si>
    <t>58.40 руб.</t>
  </si>
  <si>
    <t>PND-211122</t>
  </si>
  <si>
    <t>T-ПНД.О.4.32-1.CN</t>
  </si>
  <si>
    <t>ПНД Отвод (угольник) с внутренней резьбой 32x1 (12/120шт)</t>
  </si>
  <si>
    <t>94.01 руб.</t>
  </si>
  <si>
    <t>PND-211123</t>
  </si>
  <si>
    <t>T-ПНД.О.4.32-34.CN</t>
  </si>
  <si>
    <t>ПНД Отвод (угольник) с внутренней резьбой 32x3/4 (12/120шт)</t>
  </si>
  <si>
    <t>91.29 руб.</t>
  </si>
  <si>
    <t>PND-211124</t>
  </si>
  <si>
    <t>ПНД Отвод (угольник) с внутренней резьбой 32x1 1/4 (10/110шт)</t>
  </si>
  <si>
    <t>72.24 руб.</t>
  </si>
  <si>
    <t>PND-211125</t>
  </si>
  <si>
    <t>017030616</t>
  </si>
  <si>
    <t>ПНД Отвод (угольник) с внутренней резьбой 40x1</t>
  </si>
  <si>
    <t>110.18 руб.</t>
  </si>
  <si>
    <t>PND-211126</t>
  </si>
  <si>
    <t>017030609</t>
  </si>
  <si>
    <t>ПНД Отвод (угольник) с внутренней резьбой 40x1 1/4</t>
  </si>
  <si>
    <t>97.20 руб.</t>
  </si>
  <si>
    <t>PND-211127</t>
  </si>
  <si>
    <t>ПНД Отвод (угольник) с внутренней резьбой 40 x 1 1/2</t>
  </si>
  <si>
    <t>PND-211128</t>
  </si>
  <si>
    <t>83050000000F100</t>
  </si>
  <si>
    <t>ПНД Отвод (угольник) с внутренней резьбой 50Х1</t>
  </si>
  <si>
    <t>240.70 руб.</t>
  </si>
  <si>
    <t>PND-211129</t>
  </si>
  <si>
    <t>017030610</t>
  </si>
  <si>
    <t>ПНД Отвод (угольник) с внутренней резьбой 50x1 1/2</t>
  </si>
  <si>
    <t>158.17 руб.</t>
  </si>
  <si>
    <t>PND-211130</t>
  </si>
  <si>
    <t>017030617</t>
  </si>
  <si>
    <t>ПНД Отвод (угольник) с внутренней резьбой 50x1 1/4</t>
  </si>
  <si>
    <t>222.43 руб.</t>
  </si>
  <si>
    <t>PND-211131</t>
  </si>
  <si>
    <t>ПНД Отвод (угольник) с внутренней резьбой 50x2</t>
  </si>
  <si>
    <t>343.50 руб.</t>
  </si>
  <si>
    <t>PND-211132</t>
  </si>
  <si>
    <t>83063000000F114</t>
  </si>
  <si>
    <t>ПНД Отвод (угольник) с внутренней резьбой 63x 1 1/4</t>
  </si>
  <si>
    <t>370.67 руб.</t>
  </si>
  <si>
    <t>PND-211133</t>
  </si>
  <si>
    <t>017030619</t>
  </si>
  <si>
    <t>ПНД Отвод (угольник) с внутренней резьбой 63x 1 1/2</t>
  </si>
  <si>
    <t>409.99 руб.</t>
  </si>
  <si>
    <t>PND-211134</t>
  </si>
  <si>
    <t>017030611</t>
  </si>
  <si>
    <t>ПНД Отвод (угольник) с внутренней резьбой 63x2</t>
  </si>
  <si>
    <t>262.96 руб.</t>
  </si>
  <si>
    <t>PND-211135</t>
  </si>
  <si>
    <t>ПНД Отвод (угольник) с внутренней резьбой 63x2 1/2</t>
  </si>
  <si>
    <t>PND-211136</t>
  </si>
  <si>
    <t>017030620</t>
  </si>
  <si>
    <t>ПНД Отвод (угольник) с внутренней резьбой 75x2</t>
  </si>
  <si>
    <t>921.53 руб.</t>
  </si>
  <si>
    <t>PND-211137</t>
  </si>
  <si>
    <t>017030612</t>
  </si>
  <si>
    <t>ПНД Отвод (угольник) с внутренней резьбой 75 x 2 1/2</t>
  </si>
  <si>
    <t>671.54 руб.</t>
  </si>
  <si>
    <t>PND-211138</t>
  </si>
  <si>
    <t>017030621</t>
  </si>
  <si>
    <t>ПНД Отвод (угольник) с внутренней резьбой 75x3</t>
  </si>
  <si>
    <t>701.66 руб.</t>
  </si>
  <si>
    <t>PND-211139</t>
  </si>
  <si>
    <t>ПНД Отвод (угольник) с внутренней резьбой 90x2 1/2</t>
  </si>
  <si>
    <t>1 100.51 руб.</t>
  </si>
  <si>
    <t>PND-211140</t>
  </si>
  <si>
    <t>ПНД Отвод (угольник) с внутренней резьбой 90x3</t>
  </si>
  <si>
    <t>1 171.06 руб.</t>
  </si>
  <si>
    <t>PND-211141</t>
  </si>
  <si>
    <t>017030623</t>
  </si>
  <si>
    <t>ПНД Отвод (угольник) с внутренней резьбой 90x4</t>
  </si>
  <si>
    <t>1 178.12 руб.</t>
  </si>
  <si>
    <t>PND-211142</t>
  </si>
  <si>
    <t>ПНД Отвод (угольник) с внутренней резьбой 110x3</t>
  </si>
  <si>
    <t>PND-211143</t>
  </si>
  <si>
    <t>017030614</t>
  </si>
  <si>
    <t>ПНД Отвод (угольник) с внутренней резьбой 110x4</t>
  </si>
  <si>
    <t>1 791.87 руб.</t>
  </si>
  <si>
    <t>PND-211144</t>
  </si>
  <si>
    <t>T-ПНД.О.5.20-12.CN</t>
  </si>
  <si>
    <t>ПНД Отвод (угольник) с наружной резьбой 20x1/2 (32/384шт)</t>
  </si>
  <si>
    <t>36.18 руб.</t>
  </si>
  <si>
    <t>PND-211145</t>
  </si>
  <si>
    <t>017030703</t>
  </si>
  <si>
    <t>ПНД Отвод (угольник) с наружной резьбой 20x3/4 (36/324шт)</t>
  </si>
  <si>
    <t>41.53 руб.</t>
  </si>
  <si>
    <t>PND-211146</t>
  </si>
  <si>
    <t>82020000000M100</t>
  </si>
  <si>
    <t>ПНД Отвод (угольник) с наружной резьбой 20x1</t>
  </si>
  <si>
    <t>42.01 руб.</t>
  </si>
  <si>
    <t>PND-211147</t>
  </si>
  <si>
    <t>017030706</t>
  </si>
  <si>
    <t>ПНД Отвод (угольник) с наружной резьбой 25x1 (20/200шт)</t>
  </si>
  <si>
    <t>58.95 руб.</t>
  </si>
  <si>
    <t>PND-211148</t>
  </si>
  <si>
    <t>T-ПНД.О.5.25-12.CN</t>
  </si>
  <si>
    <t>ПНД Отвод (угольник) с наружной резьбой 25x1/2 (20/240шт)</t>
  </si>
  <si>
    <t>56.27 руб.</t>
  </si>
  <si>
    <t>PND-211149</t>
  </si>
  <si>
    <t>T-ПНД.О.5.25-34.CN</t>
  </si>
  <si>
    <t>ПНД Отвод (угольник) с наружной резьбой 25x3/4 (20/220шт)</t>
  </si>
  <si>
    <t>54.93 руб.</t>
  </si>
  <si>
    <t>PND-211150</t>
  </si>
  <si>
    <t>82032000000M012</t>
  </si>
  <si>
    <t>ПНД Отвод (угольник) с наружной резьбой 32Х1/2 (13/130шт)</t>
  </si>
  <si>
    <t>55.73 руб.</t>
  </si>
  <si>
    <t>PND-211151</t>
  </si>
  <si>
    <t>017030709</t>
  </si>
  <si>
    <t>ПНД Отвод (угольник) с наружной резьбой 32x1 (13/130шт)</t>
  </si>
  <si>
    <t>87.54 руб.</t>
  </si>
  <si>
    <t>PND-211152</t>
  </si>
  <si>
    <t>ПНД Отвод (угольник) с наружной резьбой 32x1 1/4 (11/110шт)</t>
  </si>
  <si>
    <t>92.66 руб.</t>
  </si>
  <si>
    <t>PND-211153</t>
  </si>
  <si>
    <t>T-ПНД.О.5.32-34.CN</t>
  </si>
  <si>
    <t>ПНД Отвод (угольник) с наружной резьбой 32x3/4 (13/130шт)</t>
  </si>
  <si>
    <t>85.32 руб.</t>
  </si>
  <si>
    <t>PND-211154</t>
  </si>
  <si>
    <t>017030717</t>
  </si>
  <si>
    <t>ПНД Отвод (угольник) с наружной резьбой 40x1</t>
  </si>
  <si>
    <t>138.61 руб.</t>
  </si>
  <si>
    <t>PND-211155</t>
  </si>
  <si>
    <t>82040000000M112</t>
  </si>
  <si>
    <t>ПНД Отвод (угольник) с наружной резьбой 40x1 1/2</t>
  </si>
  <si>
    <t>117.64 руб.</t>
  </si>
  <si>
    <t>PND-211156</t>
  </si>
  <si>
    <t>017030711</t>
  </si>
  <si>
    <t>ПНД Отвод (угольник) с наружной резьбой 40x1 1/4</t>
  </si>
  <si>
    <t>102.44 руб.</t>
  </si>
  <si>
    <t>PND-211157</t>
  </si>
  <si>
    <t>017030712</t>
  </si>
  <si>
    <t>ПНД Отвод (угольник) с наружной резьбой 50x1 1/2</t>
  </si>
  <si>
    <t>138.01 руб.</t>
  </si>
  <si>
    <t>PND-211158</t>
  </si>
  <si>
    <t>82050000000M114</t>
  </si>
  <si>
    <t>ПНД Отвод (угольник) с наружной резьбой 50x1 1/4</t>
  </si>
  <si>
    <t>226.61 руб.</t>
  </si>
  <si>
    <t>PND-211159</t>
  </si>
  <si>
    <t>82050000000M200</t>
  </si>
  <si>
    <t>ПНД Отвод (угольник) с наружной резьбой 50x2</t>
  </si>
  <si>
    <t>203.15 руб.</t>
  </si>
  <si>
    <t>PND-211160</t>
  </si>
  <si>
    <t>82063000000M114</t>
  </si>
  <si>
    <t>ПНД Отвод (угольник) с наружной резьбой 63x1 1/4</t>
  </si>
  <si>
    <t>387.78 руб.</t>
  </si>
  <si>
    <t>PND-211161</t>
  </si>
  <si>
    <t>ПНД Отвод (угольник) с наружной резьбой 63x1 1/2</t>
  </si>
  <si>
    <t>303.55 руб.</t>
  </si>
  <si>
    <t>PND-211162</t>
  </si>
  <si>
    <t>017030713</t>
  </si>
  <si>
    <t>ПНД Отвод (угольник) с наружной резьбой 63x2</t>
  </si>
  <si>
    <t>255.53 руб.</t>
  </si>
  <si>
    <t>PND-211163</t>
  </si>
  <si>
    <t>82063000000M212</t>
  </si>
  <si>
    <t>ПНД Отвод (угольник) с наружной резьбой 63x2 1/2</t>
  </si>
  <si>
    <t>539.56 руб.</t>
  </si>
  <si>
    <t>PND-211164</t>
  </si>
  <si>
    <t>017030719</t>
  </si>
  <si>
    <t>ПНД Отвод (угольник) с наружной резьбой 75x2</t>
  </si>
  <si>
    <t>588.31 руб.</t>
  </si>
  <si>
    <t>PND-211165</t>
  </si>
  <si>
    <t>017030714</t>
  </si>
  <si>
    <t>ПНД Отвод (угольник) с наружной резьбой 75x2 1/2</t>
  </si>
  <si>
    <t>616.09 руб.</t>
  </si>
  <si>
    <t>PND-211166</t>
  </si>
  <si>
    <t>017030720</t>
  </si>
  <si>
    <t>ПНД Отвод (угольник) с наружной резьбой 75x3</t>
  </si>
  <si>
    <t>620.80 руб.</t>
  </si>
  <si>
    <t>PND-211167</t>
  </si>
  <si>
    <t>ПНД Отвод (угольник) с наружной резьбой 90x2 1/2</t>
  </si>
  <si>
    <t>PND-211168</t>
  </si>
  <si>
    <t>ПНД Отвод (угольник) с наружной резьбой 90x3</t>
  </si>
  <si>
    <t>PND-211169</t>
  </si>
  <si>
    <t>017030722</t>
  </si>
  <si>
    <t>ПНД Отвод (угольник) с наружной резьбой 90x4</t>
  </si>
  <si>
    <t>1 107.57 руб.</t>
  </si>
  <si>
    <t>PND-211170</t>
  </si>
  <si>
    <t>82110000000M300</t>
  </si>
  <si>
    <t>ПНД Отвод (угольник) с наружной резьбой 110x3</t>
  </si>
  <si>
    <t>2 012.81 руб.</t>
  </si>
  <si>
    <t>PND-211171</t>
  </si>
  <si>
    <t>ПНД Отвод (угольник) с наружной резьбой 110x4</t>
  </si>
  <si>
    <t>1 749.54 руб.</t>
  </si>
  <si>
    <t>PND-211172</t>
  </si>
  <si>
    <t>T-ПНД.Тр.0.20-20-20.CN</t>
  </si>
  <si>
    <t>ПНД Тройник 20 (10/130шт)</t>
  </si>
  <si>
    <t>80.39 руб.</t>
  </si>
  <si>
    <t>PND-211173</t>
  </si>
  <si>
    <t>T-ПНД.Тр.0.25-25-25.CN</t>
  </si>
  <si>
    <t>ПНД Тройник 25 (6/78шт)</t>
  </si>
  <si>
    <t>117.46 руб.</t>
  </si>
  <si>
    <t>PND-211174</t>
  </si>
  <si>
    <t>T-ПНД.Тр.0.32-32-32.CN</t>
  </si>
  <si>
    <t>ПНД Тройник 32 (4/48шт)</t>
  </si>
  <si>
    <t>204.98 руб.</t>
  </si>
  <si>
    <t>PND-211175</t>
  </si>
  <si>
    <t>017031005</t>
  </si>
  <si>
    <t>ПНД Тройник 40</t>
  </si>
  <si>
    <t>199.76 руб.</t>
  </si>
  <si>
    <t>PND-211176</t>
  </si>
  <si>
    <t>017031006</t>
  </si>
  <si>
    <t>ПНД Тройник 50</t>
  </si>
  <si>
    <t>342.79 руб.</t>
  </si>
  <si>
    <t>PND-211177</t>
  </si>
  <si>
    <t>017031007</t>
  </si>
  <si>
    <t>ПНД Тройник 63</t>
  </si>
  <si>
    <t>529.94 руб.</t>
  </si>
  <si>
    <t>PND-211178</t>
  </si>
  <si>
    <t>017031008</t>
  </si>
  <si>
    <t>ПНД Тройник 75</t>
  </si>
  <si>
    <t>1 208.45 руб.</t>
  </si>
  <si>
    <t>PND-211179</t>
  </si>
  <si>
    <t>017031009</t>
  </si>
  <si>
    <t>ПНД Тройник 90</t>
  </si>
  <si>
    <t>1 689.01 руб.</t>
  </si>
  <si>
    <t>PND-211180</t>
  </si>
  <si>
    <t>017031010</t>
  </si>
  <si>
    <t>ПНД Тройник 110</t>
  </si>
  <si>
    <t>3 012.03 руб.</t>
  </si>
  <si>
    <t>PND-211181</t>
  </si>
  <si>
    <t>017031101</t>
  </si>
  <si>
    <t>ПНД Тройник переходной 25x20x25 (8/80шт)</t>
  </si>
  <si>
    <t>120.58 руб.</t>
  </si>
  <si>
    <t>PND-211182</t>
  </si>
  <si>
    <t>017031103</t>
  </si>
  <si>
    <t>ПНД Тройник переходной 32x20x32 (5/55шт)</t>
  </si>
  <si>
    <t>164.79 руб.</t>
  </si>
  <si>
    <t>PND-211183</t>
  </si>
  <si>
    <t>017031111</t>
  </si>
  <si>
    <t>ПНД Тройник переходной 32x25x32 (5/55шт)</t>
  </si>
  <si>
    <t>174.17 руб.</t>
  </si>
  <si>
    <t>PND-211184</t>
  </si>
  <si>
    <t>86040020040X000</t>
  </si>
  <si>
    <t>ПНД Тройник переходной 40Х20Х40</t>
  </si>
  <si>
    <t>270.92 руб.</t>
  </si>
  <si>
    <t>PND-211185</t>
  </si>
  <si>
    <t>017031114</t>
  </si>
  <si>
    <t>ПНД Тройник переходной 40x25x40</t>
  </si>
  <si>
    <t>170.64 руб.</t>
  </si>
  <si>
    <t>PND-211186</t>
  </si>
  <si>
    <t>ПНД Тройник переходной 40x32x40</t>
  </si>
  <si>
    <t>170.51 руб.</t>
  </si>
  <si>
    <t>PND-211187</t>
  </si>
  <si>
    <t>017031122</t>
  </si>
  <si>
    <t>ПНД Тройник переходной 50x25x50</t>
  </si>
  <si>
    <t>418.51 руб.</t>
  </si>
  <si>
    <t>PND-211188</t>
  </si>
  <si>
    <t>017031123</t>
  </si>
  <si>
    <t>ПНД Тройник переходной 50x32x50</t>
  </si>
  <si>
    <t>396.58 руб.</t>
  </si>
  <si>
    <t>PND-211189</t>
  </si>
  <si>
    <t>017031131</t>
  </si>
  <si>
    <t>ПНД Тройник переходной 50x40x50</t>
  </si>
  <si>
    <t>314.87 руб.</t>
  </si>
  <si>
    <t>PND-211190</t>
  </si>
  <si>
    <t>ПНД Тройник переходной 63x25x63</t>
  </si>
  <si>
    <t>631.61 руб.</t>
  </si>
  <si>
    <t>PND-211191</t>
  </si>
  <si>
    <t>ПНД Тройник переходной 63x32x63</t>
  </si>
  <si>
    <t>425.27 руб.</t>
  </si>
  <si>
    <t>PND-211192</t>
  </si>
  <si>
    <t>017031135</t>
  </si>
  <si>
    <t>ПНД Тройник переходной 63x40x63</t>
  </si>
  <si>
    <t>771.28 руб.</t>
  </si>
  <si>
    <t>PND-211193</t>
  </si>
  <si>
    <t>017031136</t>
  </si>
  <si>
    <t>ПНД Тройник переходной 63x50x63</t>
  </si>
  <si>
    <t>547.63 руб.</t>
  </si>
  <si>
    <t>PND-211194</t>
  </si>
  <si>
    <t>017031140</t>
  </si>
  <si>
    <t>ПНД Тройник переходной 75x50x75</t>
  </si>
  <si>
    <t>1 255.72 руб.</t>
  </si>
  <si>
    <t>PND-211195</t>
  </si>
  <si>
    <t>017031141</t>
  </si>
  <si>
    <t>ПНД Тройник переходной 75x63x75</t>
  </si>
  <si>
    <t>1 345.71 руб.</t>
  </si>
  <si>
    <t>PND-211196</t>
  </si>
  <si>
    <t>017031145</t>
  </si>
  <si>
    <t>ПНД Тройник переходной 90x63x90</t>
  </si>
  <si>
    <t>2 072.39 руб.</t>
  </si>
  <si>
    <t>PND-211197</t>
  </si>
  <si>
    <t>017031146</t>
  </si>
  <si>
    <t>ПНД Тройник переходной 90x75x90</t>
  </si>
  <si>
    <t>2 384.46 руб.</t>
  </si>
  <si>
    <t>PND-211198</t>
  </si>
  <si>
    <t>ПНД Тройник переходной 110x63x110</t>
  </si>
  <si>
    <t>3 213.43 руб.</t>
  </si>
  <si>
    <t>PND-211199</t>
  </si>
  <si>
    <t>017031151</t>
  </si>
  <si>
    <t>ПНД Тройник переходной 110x90x110</t>
  </si>
  <si>
    <t>3 372.10 руб.</t>
  </si>
  <si>
    <t>PND-211200</t>
  </si>
  <si>
    <t>017031202</t>
  </si>
  <si>
    <t>ПНД Тройник с внутренней резьбой 20x1/2x20 (15/180шт)</t>
  </si>
  <si>
    <t>PND-211201</t>
  </si>
  <si>
    <t>78020000020F034</t>
  </si>
  <si>
    <t>ПНД Тройник с внутренней резьбой 20x3/4x20 (15/180шт)</t>
  </si>
  <si>
    <t>85.47 руб.</t>
  </si>
  <si>
    <t>PND-211202</t>
  </si>
  <si>
    <t>78020000020F100</t>
  </si>
  <si>
    <t>ПНД Тройник с внутренней резьбой 20x1x20</t>
  </si>
  <si>
    <t>74.59 руб.</t>
  </si>
  <si>
    <t>PND-211203</t>
  </si>
  <si>
    <t>T-ПНД.Тр.4.25-12.CN</t>
  </si>
  <si>
    <t>ПНД Тройник с внутренней резьбой 25x1/2x25 (10/120шт)</t>
  </si>
  <si>
    <t>97.80 руб.</t>
  </si>
  <si>
    <t>PND-211204</t>
  </si>
  <si>
    <t>78025000025F100</t>
  </si>
  <si>
    <t>ПНД Тройник с внутренней резьбой 25x1x25 (10/120шт)</t>
  </si>
  <si>
    <t>73.73 руб.</t>
  </si>
  <si>
    <t>PND-211205</t>
  </si>
  <si>
    <t>017031204</t>
  </si>
  <si>
    <t>ПНД Тройник с внутренней резьбой 25x3/4x25 (10/120шт)</t>
  </si>
  <si>
    <t>100.48 руб.</t>
  </si>
  <si>
    <t>PND-211206</t>
  </si>
  <si>
    <t>017031214</t>
  </si>
  <si>
    <t>ПНД Тройник с внутренней резьбой 32x1/2x32 (7/70шт)</t>
  </si>
  <si>
    <t>151.40 руб.</t>
  </si>
  <si>
    <t>PND-211207</t>
  </si>
  <si>
    <t>017031206</t>
  </si>
  <si>
    <t>ПНД Тройник с внутренней резьбой 32x1x32 (6/60шт)</t>
  </si>
  <si>
    <t>PND-211208</t>
  </si>
  <si>
    <t>T-ПНД.Тр.4.32-34.CN</t>
  </si>
  <si>
    <t>ПНД Тройник с внутренней резьбой 32x3/4x32 (6/72шт)</t>
  </si>
  <si>
    <t>PND-211209</t>
  </si>
  <si>
    <t>ПНД Тройник с внутренней резьбой 32x1 1/4 (6/60шт)</t>
  </si>
  <si>
    <t>116.53 руб.</t>
  </si>
  <si>
    <t>PND-211210</t>
  </si>
  <si>
    <t>78040000040F112</t>
  </si>
  <si>
    <t>ПНД Тройник с внутренней резьбой 40x1 1/2x40</t>
  </si>
  <si>
    <t>258.75 руб.</t>
  </si>
  <si>
    <t>PND-211211</t>
  </si>
  <si>
    <t>017031208</t>
  </si>
  <si>
    <t>ПНД Тройник с внутренней резьбой 40x1 1/4x40</t>
  </si>
  <si>
    <t>150.98 руб.</t>
  </si>
  <si>
    <t>PND-211212</t>
  </si>
  <si>
    <t>017031207</t>
  </si>
  <si>
    <t>ПНД Тройник с внутренней резьбой 40x1x40</t>
  </si>
  <si>
    <t>161.78 руб.</t>
  </si>
  <si>
    <t>PND-211213</t>
  </si>
  <si>
    <t>ПНД Тройник с внутренней резьбой 40x3/4</t>
  </si>
  <si>
    <t>285.29 руб.</t>
  </si>
  <si>
    <t>PND-211214</t>
  </si>
  <si>
    <t>ПНД Тройник с внутренней резьбой 50 x 3/4</t>
  </si>
  <si>
    <t>390.25 руб.</t>
  </si>
  <si>
    <t>PND-211215</t>
  </si>
  <si>
    <t>ПНД Тройник с внутренней резьбой 50x1 1/2x50</t>
  </si>
  <si>
    <t>257.18 руб.</t>
  </si>
  <si>
    <t>PND-211216</t>
  </si>
  <si>
    <t>017031218</t>
  </si>
  <si>
    <t>ПНД Тройник с внутренней резьбой 50x1 1/4x50</t>
  </si>
  <si>
    <t>282.02 руб.</t>
  </si>
  <si>
    <t>PND-211217</t>
  </si>
  <si>
    <t>017031217</t>
  </si>
  <si>
    <t>ПНД Тройник с внутренней резьбой 50x1x50</t>
  </si>
  <si>
    <t>270.22 руб.</t>
  </si>
  <si>
    <t>PND-211218</t>
  </si>
  <si>
    <t>78050000050F112</t>
  </si>
  <si>
    <t>ПНД Тройник с внутренней резьбой 50 x 1 1/2</t>
  </si>
  <si>
    <t>440.59 руб.</t>
  </si>
  <si>
    <t>PND-211219</t>
  </si>
  <si>
    <t>ПНД Тройник с внутренней резьбой 50 x 2 x 50</t>
  </si>
  <si>
    <t>PND-211220</t>
  </si>
  <si>
    <t>ПНД Тройник с внутренней резьбой 63 x 1</t>
  </si>
  <si>
    <t>524.83 руб.</t>
  </si>
  <si>
    <t>PND-211221</t>
  </si>
  <si>
    <t>ПНД Тройник с внутренней резьбой 63 x 1 1/4</t>
  </si>
  <si>
    <t>578.65 руб.</t>
  </si>
  <si>
    <t>PND-211222</t>
  </si>
  <si>
    <t>ПНД Тройник с внутренней резьбой 63x1 1/2</t>
  </si>
  <si>
    <t>457.63 руб.</t>
  </si>
  <si>
    <t>PND-211223</t>
  </si>
  <si>
    <t>017031210</t>
  </si>
  <si>
    <t>ПНД Тройник с внутренней резьбой 63x2</t>
  </si>
  <si>
    <t>623.85 руб.</t>
  </si>
  <si>
    <t>PND-211224</t>
  </si>
  <si>
    <t>ПНД Тройник с внутренней резьбой 63x2 1/2</t>
  </si>
  <si>
    <t>PND-211225</t>
  </si>
  <si>
    <t>017031222</t>
  </si>
  <si>
    <t>ПНД Тройник с внутренней резьбой 75Х2</t>
  </si>
  <si>
    <t>1 229.97 руб.</t>
  </si>
  <si>
    <t>PND-211226</t>
  </si>
  <si>
    <t>017031211</t>
  </si>
  <si>
    <t>ПНД Тройник с внутренней резьбой 75x2 1/2</t>
  </si>
  <si>
    <t>PND-211227</t>
  </si>
  <si>
    <t>ПНД Тройник с внутренней резьбой 75x2x75</t>
  </si>
  <si>
    <t>PND-211228</t>
  </si>
  <si>
    <t>ПНД Тройник с внутренней резьбой 75x3x75</t>
  </si>
  <si>
    <t>PND-211229</t>
  </si>
  <si>
    <t>017031223</t>
  </si>
  <si>
    <t>ПНД Тройник с внутренней резьбой 90x2 1/2</t>
  </si>
  <si>
    <t>1 706.44 руб.</t>
  </si>
  <si>
    <t>PND-211230</t>
  </si>
  <si>
    <t>017031212</t>
  </si>
  <si>
    <t>ПНД Тройник с внутренней резьбой 90x3</t>
  </si>
  <si>
    <t>PND-211231</t>
  </si>
  <si>
    <t>ПНД Тройник с внутренней резьбой 90x4</t>
  </si>
  <si>
    <t>PND-211232</t>
  </si>
  <si>
    <t>ПНД Тройник с внутренней резьбой 110x2 1/2</t>
  </si>
  <si>
    <t>PND-211233</t>
  </si>
  <si>
    <t>017031224</t>
  </si>
  <si>
    <t>ПНД Тройник с внутренней резьбой 110x3</t>
  </si>
  <si>
    <t>2 504.26 руб.</t>
  </si>
  <si>
    <t>PND-211234</t>
  </si>
  <si>
    <t>ПНД Тройник с внутренней резьбой 110x4</t>
  </si>
  <si>
    <t>2 537.50 руб.</t>
  </si>
  <si>
    <t>PND-211235</t>
  </si>
  <si>
    <t>T-ПНД.Тр.5.20-12.CN</t>
  </si>
  <si>
    <t>ПНД Тройник с наружной резьбой 20x1/2x20 (15/180шт)</t>
  </si>
  <si>
    <t>301.07 руб.</t>
  </si>
  <si>
    <t>PND-211236</t>
  </si>
  <si>
    <t>017031303</t>
  </si>
  <si>
    <t>ПНД Тройник с наружной резьбой 20x3/4x20 (15/180шт)</t>
  </si>
  <si>
    <t>503.48 руб.</t>
  </si>
  <si>
    <t>PND-211237</t>
  </si>
  <si>
    <t>77020000020M100</t>
  </si>
  <si>
    <t>ПНД Тройник с наружной резьбой 20x1x20</t>
  </si>
  <si>
    <t>70.74 руб.</t>
  </si>
  <si>
    <t>PND-211238</t>
  </si>
  <si>
    <t>017031304</t>
  </si>
  <si>
    <t>ПНД Тройник с наружной резьбой 25x1/2x25 (10/120шт)</t>
  </si>
  <si>
    <t>89.77 руб.</t>
  </si>
  <si>
    <t>PND-211239</t>
  </si>
  <si>
    <t>017031306</t>
  </si>
  <si>
    <t>ПНД Тройник с наружной резьбой 25x1x25 (10/100шт)</t>
  </si>
  <si>
    <t>93.79 руб.</t>
  </si>
  <si>
    <t>PND-211240</t>
  </si>
  <si>
    <t>T-ПНД.Тр.5.25-34.CN</t>
  </si>
  <si>
    <t>ПНД Тройник с наружной резьбой 25x3/4x25 (10/120шт)</t>
  </si>
  <si>
    <t>PND-211241</t>
  </si>
  <si>
    <t>77032000032M114</t>
  </si>
  <si>
    <t>ПНД Тройник с наружной резьбой 32x1 1/4x32</t>
  </si>
  <si>
    <t>174.87 руб.</t>
  </si>
  <si>
    <t>PND-211242</t>
  </si>
  <si>
    <t>77032000032M012</t>
  </si>
  <si>
    <t>ПНД Тройник с наружной резьбой 32x1/2x32 (6/72шт)</t>
  </si>
  <si>
    <t>130.70 руб.</t>
  </si>
  <si>
    <t>PND-211243</t>
  </si>
  <si>
    <t>T-ПНД.Тр.5.32-1.CN</t>
  </si>
  <si>
    <t>ПНД Тройник с наружной резьбой 32x1x32 (6/72шт)</t>
  </si>
  <si>
    <t>155.42 руб.</t>
  </si>
  <si>
    <t>PND-211244</t>
  </si>
  <si>
    <t>017031314</t>
  </si>
  <si>
    <t>ПНД Тройник с наружной резьбой 32x3/4x32 (6/72шт)</t>
  </si>
  <si>
    <t>151.24 руб.</t>
  </si>
  <si>
    <t>PND-211245</t>
  </si>
  <si>
    <t>017031316</t>
  </si>
  <si>
    <t>ПНД Тройник с наружной резьбой 40x1 1/2x40</t>
  </si>
  <si>
    <t>232.81 руб.</t>
  </si>
  <si>
    <t>PND-211246</t>
  </si>
  <si>
    <t>017031308</t>
  </si>
  <si>
    <t>ПНД Тройник с наружной резьбой 40x1 1/4x40</t>
  </si>
  <si>
    <t>142.56 руб.</t>
  </si>
  <si>
    <t>PND-211247</t>
  </si>
  <si>
    <t>017031315</t>
  </si>
  <si>
    <t>ПНД Тройник с наружной резьбой 40x1x40</t>
  </si>
  <si>
    <t>140.76 руб.</t>
  </si>
  <si>
    <t>PND-211248</t>
  </si>
  <si>
    <t>ПНД Тройник с наружной резьбой 50x1</t>
  </si>
  <si>
    <t>260.50 руб.</t>
  </si>
  <si>
    <t>PND-211249</t>
  </si>
  <si>
    <t>017031309</t>
  </si>
  <si>
    <t>ПНД Тройник с наружной резьбой 50x1 1/2x50</t>
  </si>
  <si>
    <t>249.48 руб.</t>
  </si>
  <si>
    <t>PND-211250</t>
  </si>
  <si>
    <t>017031318</t>
  </si>
  <si>
    <t>ПНД Тройник с наружной резьбой 50x1 1/4x50</t>
  </si>
  <si>
    <t>269.60 руб.</t>
  </si>
  <si>
    <t>PND-211251</t>
  </si>
  <si>
    <t>017031319</t>
  </si>
  <si>
    <t>ПНД Тройник с наружной резьбой 50x2x50</t>
  </si>
  <si>
    <t>262.44 руб.</t>
  </si>
  <si>
    <t>PND-211252</t>
  </si>
  <si>
    <t>77063000063M114</t>
  </si>
  <si>
    <t>ПНД Тройник с наружной резьбой 63 x 1 1/4</t>
  </si>
  <si>
    <t>668.58 руб.</t>
  </si>
  <si>
    <t>PND-211253</t>
  </si>
  <si>
    <t>ПНД Тройник с наружной резьбой 63x1 1/2</t>
  </si>
  <si>
    <t>426.06 руб.</t>
  </si>
  <si>
    <t>PND-211254</t>
  </si>
  <si>
    <t>017031310</t>
  </si>
  <si>
    <t>ПНД Тройник с наружной резьбой 63x2</t>
  </si>
  <si>
    <t>467.12 руб.</t>
  </si>
  <si>
    <t>PND-211255</t>
  </si>
  <si>
    <t>77063000063M212</t>
  </si>
  <si>
    <t>ПНД Тройник с наружной резьбой 63 x 2 1/2</t>
  </si>
  <si>
    <t>647.88 руб.</t>
  </si>
  <si>
    <t>PND-211256</t>
  </si>
  <si>
    <t>017031321</t>
  </si>
  <si>
    <t>ПНД Тройник с наружной резьбой 75x2</t>
  </si>
  <si>
    <t>1 072.30 руб.</t>
  </si>
  <si>
    <t>PND-211257</t>
  </si>
  <si>
    <t>017031322</t>
  </si>
  <si>
    <t>ПНД Тройник с наружной резьбой 75x3</t>
  </si>
  <si>
    <t>1 185.17 руб.</t>
  </si>
  <si>
    <t>PND-211258</t>
  </si>
  <si>
    <t>017031311</t>
  </si>
  <si>
    <t>ПНД Тройник с наружной резьбой 75x2 1/2</t>
  </si>
  <si>
    <t>PND-211259</t>
  </si>
  <si>
    <t>ПНД Тройник с наружной резьбой 90x2 1/2</t>
  </si>
  <si>
    <t>1 777.76 руб.</t>
  </si>
  <si>
    <t>PND-211260</t>
  </si>
  <si>
    <t>ПНД Тройник с наружной резьбой 90x3</t>
  </si>
  <si>
    <t>PND-211261</t>
  </si>
  <si>
    <t>017031324</t>
  </si>
  <si>
    <t>ПНД Тройник с наружной резьбой 90x4</t>
  </si>
  <si>
    <t>1 876.52 руб.</t>
  </si>
  <si>
    <t>PND-211262</t>
  </si>
  <si>
    <t>ПНД Тройник с наружной резьбой 110x2 1/2</t>
  </si>
  <si>
    <t>PND-211263</t>
  </si>
  <si>
    <t>017031325</t>
  </si>
  <si>
    <t>ПНД Тройник с наружной резьбой 110x3</t>
  </si>
  <si>
    <t>2 962.93 руб.</t>
  </si>
  <si>
    <t>PND-211264</t>
  </si>
  <si>
    <t>ПНД Тройник с наружной резьбой 110x4</t>
  </si>
  <si>
    <t>PND-211265</t>
  </si>
  <si>
    <t>017032001</t>
  </si>
  <si>
    <t>ПНД Шаровой кран вр-вр 1/2x1/2</t>
  </si>
  <si>
    <t>127.22 руб.</t>
  </si>
  <si>
    <t>PND-211266</t>
  </si>
  <si>
    <t>017032002</t>
  </si>
  <si>
    <t>ПНД Шаровой кран вр-вр 3/4x3/4</t>
  </si>
  <si>
    <t>182.30 руб.</t>
  </si>
  <si>
    <t>PND-211267</t>
  </si>
  <si>
    <t>ПНД Шаровой кран вр-вр 1x3/4</t>
  </si>
  <si>
    <t>PND-211268</t>
  </si>
  <si>
    <t>017032003</t>
  </si>
  <si>
    <t>ПНД Шаровой кран вр-вр 1x1</t>
  </si>
  <si>
    <t>241.16 руб.</t>
  </si>
  <si>
    <t>PND-211269</t>
  </si>
  <si>
    <t>ПНД Шаровой кран вр-вр 1 1/4x1</t>
  </si>
  <si>
    <t>PND-211270</t>
  </si>
  <si>
    <t>997000F032F032</t>
  </si>
  <si>
    <t>ПНД Шаровой кран вр-вр 1 1/4x1 1/4</t>
  </si>
  <si>
    <t>571.53 руб.</t>
  </si>
  <si>
    <t>PND-211271</t>
  </si>
  <si>
    <t>017032005</t>
  </si>
  <si>
    <t>ПНД Шаровой кран вр-вр 1 1/2x1 1/2</t>
  </si>
  <si>
    <t>523.60 руб.</t>
  </si>
  <si>
    <t>PND-211272</t>
  </si>
  <si>
    <t>ПНД Шаровой кран вр-вр 1 1/2x1 1/4</t>
  </si>
  <si>
    <t>580.21 руб.</t>
  </si>
  <si>
    <t>PND-211273</t>
  </si>
  <si>
    <t>017032006</t>
  </si>
  <si>
    <t>ПНД Шаровой кран вр-вр 2x2</t>
  </si>
  <si>
    <t>825.00 руб.</t>
  </si>
  <si>
    <t>PND-211274</t>
  </si>
  <si>
    <t>ПНД Шаровой кран вр-вр 2x1 1/2</t>
  </si>
  <si>
    <t>PND-211275</t>
  </si>
  <si>
    <t>017031901</t>
  </si>
  <si>
    <t>ПНД Шаровой кран муфта-ВР 20х1/2</t>
  </si>
  <si>
    <t>145.80 руб.</t>
  </si>
  <si>
    <t>PND-211276</t>
  </si>
  <si>
    <t>T-ПНД.Кш.4.25-34.CN</t>
  </si>
  <si>
    <t>ПНД Шаровой кран муфта-ВР 25х3/4</t>
  </si>
  <si>
    <t>189.54 руб.</t>
  </si>
  <si>
    <t>PND-211277</t>
  </si>
  <si>
    <t>T-ПНД.Кш.4.32-1.CN</t>
  </si>
  <si>
    <t>ПНД Шаровой кран муфта-ВР 32х1</t>
  </si>
  <si>
    <t>305.86 руб.</t>
  </si>
  <si>
    <t>PND-211278</t>
  </si>
  <si>
    <t>9910000000F040</t>
  </si>
  <si>
    <t>ПНД Шаровой кран муфта-вр 40х11/4</t>
  </si>
  <si>
    <t>645.24 руб.</t>
  </si>
  <si>
    <t>PND-211279</t>
  </si>
  <si>
    <t>9910000000F050</t>
  </si>
  <si>
    <t>ПНД Шаровой кран муфта-вр 50х11/2</t>
  </si>
  <si>
    <t>1 046.73 руб.</t>
  </si>
  <si>
    <t>PND-211280</t>
  </si>
  <si>
    <t>9910000000F063</t>
  </si>
  <si>
    <t>ПНД Шаровой кран муфта-вр 63х2</t>
  </si>
  <si>
    <t>1 544.26 руб.</t>
  </si>
  <si>
    <t>PND-211281</t>
  </si>
  <si>
    <t>T-ПНД.Кш.0.20-20.CN</t>
  </si>
  <si>
    <t>ПНД Шаровой кран муфта-муфта 20х20 (10/160шт)</t>
  </si>
  <si>
    <t>183.04 руб.</t>
  </si>
  <si>
    <t>PND-211282</t>
  </si>
  <si>
    <t>T-ПНД.Кш.0.25-25.CN</t>
  </si>
  <si>
    <t>ПНД Шаровой кран муфта-муфта 25х25 (8/104шт)</t>
  </si>
  <si>
    <t>263.98 руб.</t>
  </si>
  <si>
    <t>PND-211283</t>
  </si>
  <si>
    <t>017031803</t>
  </si>
  <si>
    <t>ПНД Шаровой кран муфта-муфта 32х32 (5/70шт)</t>
  </si>
  <si>
    <t>410.40 руб.</t>
  </si>
  <si>
    <t>PND-211284</t>
  </si>
  <si>
    <t>9950000000X040</t>
  </si>
  <si>
    <t>ПНД Шаровой кран муфта-муфта 40x40</t>
  </si>
  <si>
    <t>537.42 руб.</t>
  </si>
  <si>
    <t>PND-211285</t>
  </si>
  <si>
    <t>017031805</t>
  </si>
  <si>
    <t>ПНД Шаровой кран муфта-муфта 50x50</t>
  </si>
  <si>
    <t>858.51 руб.</t>
  </si>
  <si>
    <t>PND-211286</t>
  </si>
  <si>
    <t>017031806</t>
  </si>
  <si>
    <t>ПНД Шаровой кран муфта-муфта 63x63</t>
  </si>
  <si>
    <t>1 418.40 руб.</t>
  </si>
  <si>
    <t>PND-211287</t>
  </si>
  <si>
    <t>T-ПНД.Кш.5.20-12.CN</t>
  </si>
  <si>
    <t>ПНД Шаровой кран муфта-НР 20х1/2</t>
  </si>
  <si>
    <t>126.36 руб.</t>
  </si>
  <si>
    <t>PND-211288</t>
  </si>
  <si>
    <t>T-ПНД.Кш.5.25-34.CN</t>
  </si>
  <si>
    <t>ПНД Шаровой кран муфта-НР 25х3/4</t>
  </si>
  <si>
    <t>196.99 руб.</t>
  </si>
  <si>
    <t>PND-211289</t>
  </si>
  <si>
    <t>T-ПНД.Кш.5.32-1.CN</t>
  </si>
  <si>
    <t>ПНД Шаровой кран муфта-НР 32х1</t>
  </si>
  <si>
    <t>267.30 руб.</t>
  </si>
  <si>
    <t>PND-211290</t>
  </si>
  <si>
    <t>9930000000M040</t>
  </si>
  <si>
    <t>ПНД Шаровой кран муфта-НР 40Х11/4</t>
  </si>
  <si>
    <t>693.10 руб.</t>
  </si>
  <si>
    <t>PND-211291</t>
  </si>
  <si>
    <t>9930000000M050</t>
  </si>
  <si>
    <t>ПНД Шаровой кран муфта-НР 50Х11/2</t>
  </si>
  <si>
    <t>1 022.01 руб.</t>
  </si>
  <si>
    <t>PND-211292</t>
  </si>
  <si>
    <t>9930000000M063</t>
  </si>
  <si>
    <t>ПНД Шаровой кран муфта-НР 63Х2</t>
  </si>
  <si>
    <t>1 409.00 руб.</t>
  </si>
  <si>
    <t>PND-211293</t>
  </si>
  <si>
    <t>999000M015F015</t>
  </si>
  <si>
    <t>ПНД Шаровой кран НР-ВР 1/2x1/2</t>
  </si>
  <si>
    <t>161.21 руб.</t>
  </si>
  <si>
    <t>PND-211294</t>
  </si>
  <si>
    <t>999000M020F020</t>
  </si>
  <si>
    <t>ПНД Шаровой кран НР-ВР 3/4x3/4</t>
  </si>
  <si>
    <t>270.76 руб.</t>
  </si>
  <si>
    <t>PND-211295</t>
  </si>
  <si>
    <t>999000M025F025</t>
  </si>
  <si>
    <t>ПНД Шаровой кран НР-ВР 1x1</t>
  </si>
  <si>
    <t>257.38 руб.</t>
  </si>
  <si>
    <t>PND-211296</t>
  </si>
  <si>
    <t>999000M032F032</t>
  </si>
  <si>
    <t>ПНД Шаровой кран НР-ВР 11/4Х11/4</t>
  </si>
  <si>
    <t>600.94 руб.</t>
  </si>
  <si>
    <t>PND-211297</t>
  </si>
  <si>
    <t>999000M040F040</t>
  </si>
  <si>
    <t>ПНД Шаровой кран НР-ВР 11/2Х11/2</t>
  </si>
  <si>
    <t>795.97 руб.</t>
  </si>
  <si>
    <t>PND-211298</t>
  </si>
  <si>
    <t>999000M050F050</t>
  </si>
  <si>
    <t>ПНД Шаровой кран НР-ВР 2Х2</t>
  </si>
  <si>
    <t>1 156.20 руб.</t>
  </si>
  <si>
    <t>PND-211299</t>
  </si>
  <si>
    <t>017032201</t>
  </si>
  <si>
    <t>ПНД Шаровой кран НР-НР 1/2x1/2</t>
  </si>
  <si>
    <t>PND-211300</t>
  </si>
  <si>
    <t>017032202</t>
  </si>
  <si>
    <t>ПНД Шаровой кран НР-НР 3/4x3/4</t>
  </si>
  <si>
    <t>197.45 руб.</t>
  </si>
  <si>
    <t>PND-211301</t>
  </si>
  <si>
    <t>017032203</t>
  </si>
  <si>
    <t>ПНД Шаровой кран НР-НР 1x1</t>
  </si>
  <si>
    <t>232.70 руб.</t>
  </si>
  <si>
    <t>PND-211302</t>
  </si>
  <si>
    <t>998000M032M032</t>
  </si>
  <si>
    <t>ПНД Шаровой кран НР-НР 11/4Х11/4</t>
  </si>
  <si>
    <t>583.22 руб.</t>
  </si>
  <si>
    <t>PND-211303</t>
  </si>
  <si>
    <t>998000M040M040</t>
  </si>
  <si>
    <t>ПНД Шаровой кран НР-НР 11/2Х11/2</t>
  </si>
  <si>
    <t>784.24 руб.</t>
  </si>
  <si>
    <t>PND-211304</t>
  </si>
  <si>
    <t>998000M050M050</t>
  </si>
  <si>
    <t>ПНД Шаровой кран НР-НР 2Х2</t>
  </si>
  <si>
    <t>1 026.80 руб.</t>
  </si>
  <si>
    <t>PND-211311</t>
  </si>
  <si>
    <t>93032000000M012</t>
  </si>
  <si>
    <t>ПНД Водоотвод седло-врезка с НАРУЖНЕЙ резьбой 32х1/2</t>
  </si>
  <si>
    <t>74.18 руб.</t>
  </si>
  <si>
    <t>PND-211312</t>
  </si>
  <si>
    <t>93032000000M034</t>
  </si>
  <si>
    <t>ПНД Водоотвод седло-врезка с НАРУЖНЕЙ резьбой 32х3/4</t>
  </si>
  <si>
    <t>79.07 руб.</t>
  </si>
  <si>
    <t>PND-211313</t>
  </si>
  <si>
    <t>93032000000M100</t>
  </si>
  <si>
    <t>ПНД Водоотвод седло-врезка с НАРУЖНЕЙ резьбой 32х1</t>
  </si>
  <si>
    <t>80.66 руб.</t>
  </si>
  <si>
    <t>PND-211314</t>
  </si>
  <si>
    <t>93040000000M012</t>
  </si>
  <si>
    <t>ПНД Водоотвод седло-врезка с НАРУЖНЕЙ резьбой 40х1/2</t>
  </si>
  <si>
    <t>100.02 руб.</t>
  </si>
  <si>
    <t>PND-211315</t>
  </si>
  <si>
    <t>93040000000M034</t>
  </si>
  <si>
    <t>ПНД Водоотвод седло-врезка с НАРУЖНЕЙ резьбой 40х3/4</t>
  </si>
  <si>
    <t>101.01 руб.</t>
  </si>
  <si>
    <t>PND-211316</t>
  </si>
  <si>
    <t>93040000000M100</t>
  </si>
  <si>
    <t>ПНД Водоотвод седло-врезка с НАРУЖНЕЙ резьбой 40х1</t>
  </si>
  <si>
    <t>106.49 руб.</t>
  </si>
  <si>
    <t>PND-211317</t>
  </si>
  <si>
    <t>93050000000M012</t>
  </si>
  <si>
    <t>ПНД Водоотвод седло-врезка с НАРУЖНЕЙ резьбой 50х1/2</t>
  </si>
  <si>
    <t>158.90 руб.</t>
  </si>
  <si>
    <t>PND-211318</t>
  </si>
  <si>
    <t>93050000000M034</t>
  </si>
  <si>
    <t>ПНД Водоотвод седло-врезка с НАРУЖНЕЙ резьбой 50х3/4</t>
  </si>
  <si>
    <t>160.47 руб.</t>
  </si>
  <si>
    <t>PND-211319</t>
  </si>
  <si>
    <t>93050000000M100</t>
  </si>
  <si>
    <t>ПНД Водоотвод седло-врезка с НАРУЖНЕЙ резьбой 50х1</t>
  </si>
  <si>
    <t>173.41 руб.</t>
  </si>
  <si>
    <t>PND-211320</t>
  </si>
  <si>
    <t>93050000000M114</t>
  </si>
  <si>
    <t>ПНД Водоотвод седло-врезка с НАРУЖНЕЙ резьбой 50х11/4</t>
  </si>
  <si>
    <t>177.43 руб.</t>
  </si>
  <si>
    <t>PND-211321</t>
  </si>
  <si>
    <t>94032020032X000</t>
  </si>
  <si>
    <t>ПНД Водоотвод седло-врезка с муфтой 32х20</t>
  </si>
  <si>
    <t>116.95 руб.</t>
  </si>
  <si>
    <t>PND-211322</t>
  </si>
  <si>
    <t>94032025032X000</t>
  </si>
  <si>
    <t>ПНД Водоотвод седло-врезка с муфтой 32х25</t>
  </si>
  <si>
    <t>136.30 руб.</t>
  </si>
  <si>
    <t>PND-211323</t>
  </si>
  <si>
    <t>94040020040X000</t>
  </si>
  <si>
    <t>ПНД Водоотвод седло-врезка с муфтой 40х20</t>
  </si>
  <si>
    <t>138.20 руб.</t>
  </si>
  <si>
    <t>PND-211324</t>
  </si>
  <si>
    <t>94040025040X000</t>
  </si>
  <si>
    <t>ПНД Водоотвод седло-врезка с муфтой 40х25</t>
  </si>
  <si>
    <t>153.23 руб.</t>
  </si>
  <si>
    <t>PND-211325</t>
  </si>
  <si>
    <t>94040032040X000</t>
  </si>
  <si>
    <t>ПНД Водоотвод седло-врезка с муфтой 40х32</t>
  </si>
  <si>
    <t>183.88 руб.</t>
  </si>
  <si>
    <t>PND-211326</t>
  </si>
  <si>
    <t>94050020050X000</t>
  </si>
  <si>
    <t>ПНД Водоотвод седло-врезка с муфтой 50х20</t>
  </si>
  <si>
    <t>180.67 руб.</t>
  </si>
  <si>
    <t>PND-211327</t>
  </si>
  <si>
    <t>94050025050X000</t>
  </si>
  <si>
    <t>ПНД Водоотвод седло-врезка с муфтой 50х25</t>
  </si>
  <si>
    <t>212.92 руб.</t>
  </si>
  <si>
    <t>PND-211328</t>
  </si>
  <si>
    <t>94050032050X000</t>
  </si>
  <si>
    <t>ПНД Водоотвод седло-врезка с муфтой 50х32</t>
  </si>
  <si>
    <t>233.88 руб.</t>
  </si>
  <si>
    <t>PND-211329</t>
  </si>
  <si>
    <t>94050040050X000</t>
  </si>
  <si>
    <t>ПНД Водоотвод седло-врезка с муфтой 50х40</t>
  </si>
  <si>
    <t>274.22 руб.</t>
  </si>
  <si>
    <t>PND-211330</t>
  </si>
  <si>
    <t>94063020063X000</t>
  </si>
  <si>
    <t>ПНД Водоотвод седло-врезка с муфтой 63х20</t>
  </si>
  <si>
    <t>219.50 руб.</t>
  </si>
  <si>
    <t>PND-211331</t>
  </si>
  <si>
    <t>94063025063X000</t>
  </si>
  <si>
    <t>ПНД Водоотвод седло-врезка с муфтой 63х25</t>
  </si>
  <si>
    <t>237.21 руб.</t>
  </si>
  <si>
    <t>PND-211332</t>
  </si>
  <si>
    <t>94063032063X000</t>
  </si>
  <si>
    <t>ПНД Водоотвод седло-врезка с муфтой 63х32</t>
  </si>
  <si>
    <t>255.20 руб.</t>
  </si>
  <si>
    <t>PND-211333</t>
  </si>
  <si>
    <t>94063040063X000</t>
  </si>
  <si>
    <t>ПНД Водоотвод седло-врезка с муфтой 63х40</t>
  </si>
  <si>
    <t>313.28 руб.</t>
  </si>
  <si>
    <t>PND-211334</t>
  </si>
  <si>
    <t>94063050063X000</t>
  </si>
  <si>
    <t>ПНД Водоотвод седло-врезка с муфтой 63х50</t>
  </si>
  <si>
    <t>399.16 руб.</t>
  </si>
  <si>
    <t>PND-211335</t>
  </si>
  <si>
    <t>91020000000F012</t>
  </si>
  <si>
    <t>ПНД Водоотвод седло-врезка с ВНУТР. резьбой  20x1/2</t>
  </si>
  <si>
    <t>65.39 руб.</t>
  </si>
  <si>
    <t>PND-211336</t>
  </si>
  <si>
    <t>PK-25-02</t>
  </si>
  <si>
    <t>ПНД Водоотвод седло-врезка с ВНУТР. резьбой  25x1/2</t>
  </si>
  <si>
    <t>94.39 руб.</t>
  </si>
  <si>
    <t>PND-211337</t>
  </si>
  <si>
    <t>PK-26-03</t>
  </si>
  <si>
    <t>ПНД Водоотвод седло-врезка с ВНУТР. резьбой  25x3/4</t>
  </si>
  <si>
    <t>117.20 руб.</t>
  </si>
  <si>
    <t>PND-211338</t>
  </si>
  <si>
    <t>PK-32-01</t>
  </si>
  <si>
    <t>ПНД Водоотвод седло-врезка с ВНУТР. резьбой  32x1/2</t>
  </si>
  <si>
    <t>74.68 руб.</t>
  </si>
  <si>
    <t>PND-211339</t>
  </si>
  <si>
    <t>PK-33-01</t>
  </si>
  <si>
    <t>ПНД Водоотвод седло-врезка с ВНУТР. резьбой  32x3/4</t>
  </si>
  <si>
    <t>85.99 руб.</t>
  </si>
  <si>
    <t>PND-211340</t>
  </si>
  <si>
    <t>91032000000F100</t>
  </si>
  <si>
    <t>ПНД Водоотвод седло-врезка с ВНУТР. резьбой  32x1</t>
  </si>
  <si>
    <t>87.37 руб.</t>
  </si>
  <si>
    <t>PND-211341</t>
  </si>
  <si>
    <t>PK-40-03</t>
  </si>
  <si>
    <t>ПНД Водоотвод седло-врезка с ВНУТР. резьбой  40x1/2</t>
  </si>
  <si>
    <t>149.46 руб.</t>
  </si>
  <si>
    <t>PND-211342</t>
  </si>
  <si>
    <t>PK-41-03</t>
  </si>
  <si>
    <t>ПНД Водоотвод седло-врезка с ВНУТР. резьбой  40x3/4</t>
  </si>
  <si>
    <t>153.46 руб.</t>
  </si>
  <si>
    <t>PND-211343</t>
  </si>
  <si>
    <t>PK-42</t>
  </si>
  <si>
    <t>ПНД Водоотвод седло-врезка с ВНУТР. резьбой  40x1</t>
  </si>
  <si>
    <t>162.48 руб.</t>
  </si>
  <si>
    <t>PND-211344</t>
  </si>
  <si>
    <t>PK-50-03</t>
  </si>
  <si>
    <t>ПНД Водоотвод седло-врезка с ВНУТР. резьбой  50x1/2</t>
  </si>
  <si>
    <t>248.85 руб.</t>
  </si>
  <si>
    <t>PND-211345</t>
  </si>
  <si>
    <t>PK-51-03</t>
  </si>
  <si>
    <t>ПНД Водоотвод седло-врезка с ВНУТР. резьбой  50x3/4</t>
  </si>
  <si>
    <t>PND-211346</t>
  </si>
  <si>
    <t>PK-52-03</t>
  </si>
  <si>
    <t>ПНД Водоотвод седло-врезка с ВНУТР. резьбой  50x1</t>
  </si>
  <si>
    <t>PND-211347</t>
  </si>
  <si>
    <t>91050000000F114</t>
  </si>
  <si>
    <t>ПНД Водоотвод седло-врезка с ВНУТР. резьбой  50x1 1/4</t>
  </si>
  <si>
    <t>165.69 руб.</t>
  </si>
  <si>
    <t>PND-211348</t>
  </si>
  <si>
    <t>PK-63-03</t>
  </si>
  <si>
    <t>ПНД Водоотвод седло-врезка с ВНУТР. резьбой  63x1/2</t>
  </si>
  <si>
    <t>168.35 руб.</t>
  </si>
  <si>
    <t>PND-211349</t>
  </si>
  <si>
    <t>PK-64-03</t>
  </si>
  <si>
    <t>ПНД Водоотвод седло-врезка с ВНУТР. резьбой  63x3/4</t>
  </si>
  <si>
    <t>167.89 руб.</t>
  </si>
  <si>
    <t>PND-211350</t>
  </si>
  <si>
    <t>PK-65-03</t>
  </si>
  <si>
    <t>ПНД Водоотвод седло-врезка с ВНУТР. резьбой  63x1</t>
  </si>
  <si>
    <t>193.37 руб.</t>
  </si>
  <si>
    <t>PND-211351</t>
  </si>
  <si>
    <t>PK-66</t>
  </si>
  <si>
    <t>ПНД Водоотвод седло-врезка с ВНУТР. резьбой  63x1 1/4</t>
  </si>
  <si>
    <t>293.18 руб.</t>
  </si>
  <si>
    <t>PND-211352</t>
  </si>
  <si>
    <t>PK-63-05</t>
  </si>
  <si>
    <t>ПНД Водоотвод седло-врезка с ВНУТР. резьбой  63x1 1/2</t>
  </si>
  <si>
    <t>296.53 руб.</t>
  </si>
  <si>
    <t>PND-211353</t>
  </si>
  <si>
    <t>91075000000F012</t>
  </si>
  <si>
    <t>ПНД Водоотвод седло-врезка с ВНУТР. резьбой  75x1/2</t>
  </si>
  <si>
    <t>235.96 руб.</t>
  </si>
  <si>
    <t>PND-211354</t>
  </si>
  <si>
    <t>PK-76-03</t>
  </si>
  <si>
    <t>ПНД Водоотвод седло-врезка с ВНУТР. резьбой  75x3/4</t>
  </si>
  <si>
    <t>171.99 руб.</t>
  </si>
  <si>
    <t>PND-211355</t>
  </si>
  <si>
    <t>PK-77-01</t>
  </si>
  <si>
    <t>ПНД Водоотвод седло-врезка с ВНУТР. резьбой  75x1</t>
  </si>
  <si>
    <t>334.56 руб.</t>
  </si>
  <si>
    <t>PND-211356</t>
  </si>
  <si>
    <t>91075000000F112</t>
  </si>
  <si>
    <t>ПНД Водоотвод седло-врезка с ВНУТР. резьбой  75x1 1/2</t>
  </si>
  <si>
    <t>362.09 руб.</t>
  </si>
  <si>
    <t>PND-211357</t>
  </si>
  <si>
    <t>PK-76-04</t>
  </si>
  <si>
    <t>ПНД Водоотвод седло-врезка с ВНУТР. резьбой  75x1 1/4</t>
  </si>
  <si>
    <t>399.21 руб.</t>
  </si>
  <si>
    <t>PND-211358</t>
  </si>
  <si>
    <t>PK-75-06</t>
  </si>
  <si>
    <t>ПНД Водоотвод седло-врезка с ВНУТР. резьбой  75x2</t>
  </si>
  <si>
    <t>365.89 руб.</t>
  </si>
  <si>
    <t>PND-211359</t>
  </si>
  <si>
    <t>ПНД Водоотвод седло-врезка с ВНУТР. резьбой  90x1/2</t>
  </si>
  <si>
    <t>PND-211360</t>
  </si>
  <si>
    <t>PK-90-03</t>
  </si>
  <si>
    <t>ПНД Водоотвод седло-врезка с ВНУТР. резьбой  90x3/4</t>
  </si>
  <si>
    <t>PND-211361</t>
  </si>
  <si>
    <t>PK-91-03</t>
  </si>
  <si>
    <t>ПНД Водоотвод седло-врезка с ВНУТР. резьбой  90x1</t>
  </si>
  <si>
    <t>314.30 руб.</t>
  </si>
  <si>
    <t>PND-211362</t>
  </si>
  <si>
    <t>PK-90-05</t>
  </si>
  <si>
    <t>ПНД Водоотвод седло-врезка с ВНУТР. резьбой  90x1 1/2</t>
  </si>
  <si>
    <t>507.38 руб.</t>
  </si>
  <si>
    <t>PND-211363</t>
  </si>
  <si>
    <t>PK-90-06</t>
  </si>
  <si>
    <t>ПНД Водоотвод седло-врезка с ВНУТР. резьбой  90x1 1/4</t>
  </si>
  <si>
    <t>PND-211364</t>
  </si>
  <si>
    <t>PK-94-01</t>
  </si>
  <si>
    <t>ПНД Водоотвод седло-врезка с ВНУТР. резьбой  90x2</t>
  </si>
  <si>
    <t>PND-211365</t>
  </si>
  <si>
    <t>PK-111-03</t>
  </si>
  <si>
    <t>ПНД Водоотвод седло-врезка с ВНУТР. резьбой  110x1</t>
  </si>
  <si>
    <t>485.58 руб.</t>
  </si>
  <si>
    <t>PND-211366</t>
  </si>
  <si>
    <t>PK-113-03</t>
  </si>
  <si>
    <t>ПНД Водоотвод седло-врезка с ВНУТР. резьбой  110x1 1/2</t>
  </si>
  <si>
    <t>568.10 руб.</t>
  </si>
  <si>
    <t>PND-211367</t>
  </si>
  <si>
    <t>PK-112-03</t>
  </si>
  <si>
    <t>ПНД Водоотвод седло-врезка с ВНУТР. резьбой  110x1 1/4</t>
  </si>
  <si>
    <t>PND-211368</t>
  </si>
  <si>
    <t>PK-110-06</t>
  </si>
  <si>
    <t>ПНД Водоотвод седло-врезка с ВНУТР. резьбой  110x2</t>
  </si>
  <si>
    <t>PND-211369</t>
  </si>
  <si>
    <t>PK-115-01</t>
  </si>
  <si>
    <t>ПНД Водоотвод седло-врезка с ВНУТР. резьбой  110x1/2</t>
  </si>
  <si>
    <t>PND-211370</t>
  </si>
  <si>
    <t>PK-110-03</t>
  </si>
  <si>
    <t>ПНД Водоотвод седло-врезка с ВНУТР. резьбой  110x3/4</t>
  </si>
  <si>
    <t>PND-211371</t>
  </si>
  <si>
    <t>91250000000F034</t>
  </si>
  <si>
    <t>ПНД Водоотвод седло-врезка с ВНУТР. резьбой  125x3/4</t>
  </si>
  <si>
    <t>540.01 руб.</t>
  </si>
  <si>
    <t>PND-211372</t>
  </si>
  <si>
    <t>PK-129-01</t>
  </si>
  <si>
    <t>ПНД Водоотвод седло-врезка с ВНУТР. резьбой  125x1</t>
  </si>
  <si>
    <t>723.19 руб.</t>
  </si>
  <si>
    <t>PND-211373</t>
  </si>
  <si>
    <t>91250000000F112</t>
  </si>
  <si>
    <t>ПНД Водоотвод седло-врезка с ВНУТР. резьбой  125X1 1/2</t>
  </si>
  <si>
    <t>559.87 руб.</t>
  </si>
  <si>
    <t>PND-211374</t>
  </si>
  <si>
    <t>91250000000F114</t>
  </si>
  <si>
    <t>ПНД Водоотвод седло-врезка с ВНУТР. резьбой  125X1 1/4</t>
  </si>
  <si>
    <t>554.32 руб.</t>
  </si>
  <si>
    <t>PND-211375</t>
  </si>
  <si>
    <t>PK-125-06</t>
  </si>
  <si>
    <t>ПНД Водоотвод седло-врезка с ВНУТР. резьбой  125X2</t>
  </si>
  <si>
    <t>PND-211376</t>
  </si>
  <si>
    <t>PK-160-3/4</t>
  </si>
  <si>
    <t>ПНД Водоотвод седло-врезка с ВНУТР. резьбой  160x3/4</t>
  </si>
  <si>
    <t>1 011.16 руб.</t>
  </si>
  <si>
    <t>PND-211377</t>
  </si>
  <si>
    <t>PK-160-03</t>
  </si>
  <si>
    <t>ПНД Водоотвод седло-врезка с ВНУТР. резьбой  160X1</t>
  </si>
  <si>
    <t>1 314.50 руб.</t>
  </si>
  <si>
    <t>PND-211378</t>
  </si>
  <si>
    <t>PK-160-01</t>
  </si>
  <si>
    <t>ПНД Водоотвод седло-врезка с ВНУТР. резьбой  160x1 1/4</t>
  </si>
  <si>
    <t>PND-211379</t>
  </si>
  <si>
    <t>ПНД Тройник переходной 25x32x25</t>
  </si>
  <si>
    <t>176.18 руб.</t>
  </si>
  <si>
    <t>PND-211380</t>
  </si>
  <si>
    <t>017031150</t>
  </si>
  <si>
    <t>ПНД Тройник переходной 110x75x110</t>
  </si>
  <si>
    <t>3 245.11 руб.</t>
  </si>
  <si>
    <t>PND-211381</t>
  </si>
  <si>
    <t>017033207</t>
  </si>
  <si>
    <t>ПНД Фланцевое соединение 50x1.1/2" с ответн. фланц. кольцом ст.3</t>
  </si>
  <si>
    <t>874.52 руб.</t>
  </si>
  <si>
    <t>PND-211382</t>
  </si>
  <si>
    <t>017033208</t>
  </si>
  <si>
    <t>ПНД Фланцевое соединение 50x2" с ответн. фланц. кольцом ст.3</t>
  </si>
  <si>
    <t>1 064.77 руб.</t>
  </si>
  <si>
    <t>PND-211383</t>
  </si>
  <si>
    <t>017033211</t>
  </si>
  <si>
    <t>ПНД Фланцевое соединение 63x2.1/2" с ответн. фланц. кольцом ст.3</t>
  </si>
  <si>
    <t>1 480.28 руб.</t>
  </si>
  <si>
    <t>PND-211384</t>
  </si>
  <si>
    <t>017033215</t>
  </si>
  <si>
    <t>ПНД Фланцевое соединение 75x3" с ответн. фланц. кольцом ст.3</t>
  </si>
  <si>
    <t>2 063.40 руб.</t>
  </si>
  <si>
    <t>PND-211385</t>
  </si>
  <si>
    <t>017033219</t>
  </si>
  <si>
    <t>ПНД Фланцевое соединение 90x4" с ответн. фланц. кольцом ст.3</t>
  </si>
  <si>
    <t>2 934.36 руб.</t>
  </si>
  <si>
    <t>PND-211500</t>
  </si>
  <si>
    <t>ПНД труба 20х2,0 PREMIUM ПЭ-100 SDR-11, 16 атм. (100 м) ГОСТ питьевая СИНЯЯ напорная</t>
  </si>
  <si>
    <t>46.03 руб.</t>
  </si>
  <si>
    <t>PND-211501</t>
  </si>
  <si>
    <t>ПНД труба 25х2,0 PREMIUM ПЭ-100 SDR-13,6, 12,5 атм. (100 м) ГОСТ питьевая СИНЯЯ напорная</t>
  </si>
  <si>
    <t>62.08 руб.</t>
  </si>
  <si>
    <t>PND-211502</t>
  </si>
  <si>
    <t>ПНД труба 32х3,0 PREMIUM ПЭ-100 SDR-11, 16 атм. (50 м) ГОСТ питьевая СИНЯЯ напорная</t>
  </si>
  <si>
    <t>104.53 руб.</t>
  </si>
  <si>
    <t>PND-211503</t>
  </si>
  <si>
    <t>ПНД труба 32х3,0 PREMIUM ПЭ-100 SDR-11, 16 атм. (100 м) ГОСТ питьевая СИНЯЯ напорная</t>
  </si>
  <si>
    <t>PND-251001</t>
  </si>
  <si>
    <t>VER362</t>
  </si>
  <si>
    <t>ПНД ЛАТУННАЯ муфта с наружней резьбой 32х1 (5/50шт)</t>
  </si>
  <si>
    <t>495.27 руб.</t>
  </si>
  <si>
    <t>PND-251002</t>
  </si>
  <si>
    <t>VER363</t>
  </si>
  <si>
    <t>ПНД ЛАТУННАЯ муфта с наружней резьбой 32х1 1/4 (5/40шт)</t>
  </si>
  <si>
    <t>568.52 руб.</t>
  </si>
  <si>
    <t>PND-251003</t>
  </si>
  <si>
    <t>VER364</t>
  </si>
  <si>
    <t>ПНД ЛАТУННАЯ муфта с наружней резьбой 40х1 (5/40шт)</t>
  </si>
  <si>
    <t>705.48 руб.</t>
  </si>
  <si>
    <t>PND-251004</t>
  </si>
  <si>
    <t>VER365</t>
  </si>
  <si>
    <t>ПНД ЛАТУННАЯ муфта с наружней резьбой 40х1 1/4 (4/36шт)</t>
  </si>
  <si>
    <t>668.85 руб.</t>
  </si>
  <si>
    <t>PND-260001</t>
  </si>
  <si>
    <t>ПНД эл/св муфта 32мм ПЭ100 SDR11</t>
  </si>
  <si>
    <t>528.08 руб.</t>
  </si>
  <si>
    <t>PND-260002</t>
  </si>
  <si>
    <t xml:space="preserve">ПНД эл/св муфта 32х1 нр </t>
  </si>
  <si>
    <t>1 761.94 руб.</t>
  </si>
  <si>
    <t>PND-260003</t>
  </si>
  <si>
    <t>ПНД эл/св муфта 32х1 вр</t>
  </si>
  <si>
    <t>2 619.00 руб.</t>
  </si>
  <si>
    <t>PND-260004</t>
  </si>
  <si>
    <t>ПНД эл/св отвод 90* 32мм ПЭ100 SDR11</t>
  </si>
  <si>
    <t>493.58 руб.</t>
  </si>
  <si>
    <t>PND-260005</t>
  </si>
  <si>
    <t>ПНД эл/св тройник 90* 32мм ПЭ100 SDR11</t>
  </si>
  <si>
    <t>1 834.56 руб.</t>
  </si>
  <si>
    <t>VER-000373</t>
  </si>
  <si>
    <t>VER370</t>
  </si>
  <si>
    <t>ПНД ЛАТУННАЯ муфта с наружней  резьбой 25х3/4 (10/100шт)</t>
  </si>
  <si>
    <t>291.43 руб.</t>
  </si>
  <si>
    <t>VER-000374</t>
  </si>
  <si>
    <t>VER371</t>
  </si>
  <si>
    <t>ПНД ЛАТУННАЯ муфта с внутр.  резьбой 25х3/4 (10/100шт)</t>
  </si>
  <si>
    <t>334.43 руб.</t>
  </si>
  <si>
    <t>VER-000375</t>
  </si>
  <si>
    <t>VER372</t>
  </si>
  <si>
    <t>ПНД ЛАТУННАЯ муфта с внутр.  резьбой 32х1 (5/50шт)</t>
  </si>
  <si>
    <t>512.79 руб.</t>
  </si>
  <si>
    <t>VER-000376</t>
  </si>
  <si>
    <t>VER373</t>
  </si>
  <si>
    <t>ПНД ЛАТУННАЯ муфта 32х32 (5/40шт)</t>
  </si>
  <si>
    <t>656.11 руб.</t>
  </si>
  <si>
    <t>VER-000377</t>
  </si>
  <si>
    <t>VER374</t>
  </si>
  <si>
    <t>ПНД ЛАТУННЫЙ угольник 25Х25 (5/40шт)</t>
  </si>
  <si>
    <t>723.00 руб.</t>
  </si>
  <si>
    <t>VER-000378</t>
  </si>
  <si>
    <t>VER375</t>
  </si>
  <si>
    <t>ПНД ЛАТУННЫЙ угольник 32Х32 (2/25шт)</t>
  </si>
  <si>
    <t>1 038.31 руб.</t>
  </si>
  <si>
    <t>VER-000379</t>
  </si>
  <si>
    <t>VER376</t>
  </si>
  <si>
    <t>ПНД ЛАТУННЫЙ тройник 32Х32Х32 (2/16шт)</t>
  </si>
  <si>
    <t>1 361.59 руб.</t>
  </si>
  <si>
    <t>VER-001007</t>
  </si>
  <si>
    <t>VER390</t>
  </si>
  <si>
    <t>Cкваженный адаптер с встроенным сливным клапаном 1" (20/1шт)</t>
  </si>
  <si>
    <t>3 220.04 руб.</t>
  </si>
  <si>
    <t>VER-001277</t>
  </si>
  <si>
    <t>VER377</t>
  </si>
  <si>
    <t>ПНД ЛАТУННЫЙ угольник 25х3/4 внутр.  резьба (5/60шт)</t>
  </si>
  <si>
    <t>498.45 руб.</t>
  </si>
  <si>
    <t>VER-001278</t>
  </si>
  <si>
    <t>VER378</t>
  </si>
  <si>
    <t>ПНД ЛАТУННЫЙ угольник 32х1 внутр.  резьба (5/35шт)</t>
  </si>
  <si>
    <t>778.73 руб.</t>
  </si>
  <si>
    <t>VER-001279</t>
  </si>
  <si>
    <t>VER379</t>
  </si>
  <si>
    <t>ПНД ЛАТУННЫЙ угольник 32х1 нар.  резьба (5/40шт)</t>
  </si>
  <si>
    <t>777.14 руб.</t>
  </si>
  <si>
    <t>VER-001346</t>
  </si>
  <si>
    <t>VER382</t>
  </si>
  <si>
    <t>Угольник для трубы ПНД 32 x 1"F (40/2шт)</t>
  </si>
  <si>
    <t>756.44 руб.</t>
  </si>
  <si>
    <t>VER-001567</t>
  </si>
  <si>
    <t>VER381</t>
  </si>
  <si>
    <t>Угольник для трубы ПНД L32x1''M (40/2шт)</t>
  </si>
  <si>
    <t>748.48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</si>
</sst>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3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SUM(L2:L435)</f>
        <v>0</v>
      </c>
    </row>
    <row r="2" spans="1:12">
      <c r="A2" s="1"/>
      <c r="B2" s="1">
        <v>829336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K2*2831.47</f>
        <v>0</v>
      </c>
    </row>
    <row r="3" spans="1:12">
      <c r="A3" s="1"/>
      <c r="B3" s="1">
        <v>822264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21</v>
      </c>
      <c r="K3" s="2"/>
      <c r="L3" s="5">
        <f>K3*42.12</f>
        <v>0</v>
      </c>
    </row>
    <row r="4" spans="1:12">
      <c r="A4" s="1"/>
      <c r="B4" s="1">
        <v>822266</v>
      </c>
      <c r="C4" s="1" t="s">
        <v>22</v>
      </c>
      <c r="D4" s="1" t="s">
        <v>23</v>
      </c>
      <c r="E4" s="3" t="s">
        <v>24</v>
      </c>
      <c r="F4" s="1" t="s">
        <v>25</v>
      </c>
      <c r="G4" s="1" t="s">
        <v>15</v>
      </c>
      <c r="H4" s="1" t="s">
        <v>15</v>
      </c>
      <c r="I4" s="1" t="s">
        <v>15</v>
      </c>
      <c r="J4" s="1" t="s">
        <v>21</v>
      </c>
      <c r="K4" s="2"/>
      <c r="L4" s="5">
        <f>K4*58.45</f>
        <v>0</v>
      </c>
    </row>
    <row r="5" spans="1:12">
      <c r="A5" s="1"/>
      <c r="B5" s="1">
        <v>822268</v>
      </c>
      <c r="C5" s="1" t="s">
        <v>26</v>
      </c>
      <c r="D5" s="1" t="s">
        <v>27</v>
      </c>
      <c r="E5" s="3" t="s">
        <v>28</v>
      </c>
      <c r="F5" s="1" t="s">
        <v>29</v>
      </c>
      <c r="G5" s="1" t="s">
        <v>15</v>
      </c>
      <c r="H5" s="1" t="s">
        <v>15</v>
      </c>
      <c r="I5" s="1" t="s">
        <v>15</v>
      </c>
      <c r="J5" s="1" t="s">
        <v>21</v>
      </c>
      <c r="K5" s="2"/>
      <c r="L5" s="5">
        <f>K5*97.97</f>
        <v>0</v>
      </c>
    </row>
    <row r="6" spans="1:12">
      <c r="A6" s="1"/>
      <c r="B6" s="1">
        <v>871416</v>
      </c>
      <c r="C6" s="1" t="s">
        <v>30</v>
      </c>
      <c r="D6" s="1">
        <v>4011</v>
      </c>
      <c r="E6" s="3" t="s">
        <v>31</v>
      </c>
      <c r="F6" s="1" t="s">
        <v>32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K6*194.34</f>
        <v>0</v>
      </c>
    </row>
    <row r="7" spans="1:12">
      <c r="A7" s="1"/>
      <c r="B7" s="1">
        <v>871417</v>
      </c>
      <c r="C7" s="1" t="s">
        <v>33</v>
      </c>
      <c r="D7" s="1">
        <v>4022</v>
      </c>
      <c r="E7" s="3" t="s">
        <v>34</v>
      </c>
      <c r="F7" s="1" t="s">
        <v>35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K7*509.38</f>
        <v>0</v>
      </c>
    </row>
    <row r="8" spans="1:12">
      <c r="A8" s="1"/>
      <c r="B8" s="1">
        <v>877726</v>
      </c>
      <c r="C8" s="1" t="s">
        <v>36</v>
      </c>
      <c r="D8" s="1"/>
      <c r="E8" s="3" t="s">
        <v>37</v>
      </c>
      <c r="F8" s="1" t="s">
        <v>38</v>
      </c>
      <c r="G8" s="1" t="s">
        <v>15</v>
      </c>
      <c r="H8" s="1" t="s">
        <v>15</v>
      </c>
      <c r="I8" s="1" t="s">
        <v>15</v>
      </c>
      <c r="J8" s="1" t="s">
        <v>21</v>
      </c>
      <c r="K8" s="2"/>
      <c r="L8" s="5">
        <f>K8*39.10</f>
        <v>0</v>
      </c>
    </row>
    <row r="9" spans="1:12">
      <c r="A9" s="1"/>
      <c r="B9" s="1">
        <v>877727</v>
      </c>
      <c r="C9" s="1" t="s">
        <v>39</v>
      </c>
      <c r="D9" s="1"/>
      <c r="E9" s="3" t="s">
        <v>40</v>
      </c>
      <c r="F9" s="1" t="s">
        <v>41</v>
      </c>
      <c r="G9" s="1" t="s">
        <v>15</v>
      </c>
      <c r="H9" s="1" t="s">
        <v>15</v>
      </c>
      <c r="I9" s="1" t="s">
        <v>15</v>
      </c>
      <c r="J9" s="1" t="s">
        <v>21</v>
      </c>
      <c r="K9" s="2"/>
      <c r="L9" s="5">
        <f>K9*44.20</f>
        <v>0</v>
      </c>
    </row>
    <row r="10" spans="1:12">
      <c r="A10" s="1"/>
      <c r="B10" s="1">
        <v>877731</v>
      </c>
      <c r="C10" s="1" t="s">
        <v>42</v>
      </c>
      <c r="D10" s="1"/>
      <c r="E10" s="3" t="s">
        <v>43</v>
      </c>
      <c r="F10" s="1" t="s">
        <v>44</v>
      </c>
      <c r="G10" s="1" t="s">
        <v>15</v>
      </c>
      <c r="H10" s="1" t="s">
        <v>15</v>
      </c>
      <c r="I10" s="1" t="s">
        <v>15</v>
      </c>
      <c r="J10" s="1" t="s">
        <v>21</v>
      </c>
      <c r="K10" s="2"/>
      <c r="L10" s="5">
        <f>K10*54.40</f>
        <v>0</v>
      </c>
    </row>
    <row r="11" spans="1:12">
      <c r="A11" s="1"/>
      <c r="B11" s="1">
        <v>877732</v>
      </c>
      <c r="C11" s="1" t="s">
        <v>45</v>
      </c>
      <c r="D11" s="1"/>
      <c r="E11" s="3" t="s">
        <v>46</v>
      </c>
      <c r="F11" s="1" t="s">
        <v>47</v>
      </c>
      <c r="G11" s="1" t="s">
        <v>15</v>
      </c>
      <c r="H11" s="1" t="s">
        <v>15</v>
      </c>
      <c r="I11" s="1" t="s">
        <v>15</v>
      </c>
      <c r="J11" s="1" t="s">
        <v>21</v>
      </c>
      <c r="K11" s="2"/>
      <c r="L11" s="5">
        <f>K11*62.90</f>
        <v>0</v>
      </c>
    </row>
    <row r="12" spans="1:12">
      <c r="A12" s="1"/>
      <c r="B12" s="1">
        <v>873571</v>
      </c>
      <c r="C12" s="1" t="s">
        <v>48</v>
      </c>
      <c r="D12" s="1"/>
      <c r="E12" s="3" t="s">
        <v>49</v>
      </c>
      <c r="F12" s="1" t="s">
        <v>50</v>
      </c>
      <c r="G12" s="1" t="s">
        <v>15</v>
      </c>
      <c r="H12" s="1" t="s">
        <v>15</v>
      </c>
      <c r="I12" s="1" t="s">
        <v>15</v>
      </c>
      <c r="J12" s="1" t="s">
        <v>21</v>
      </c>
      <c r="K12" s="2"/>
      <c r="L12" s="5">
        <f>K12*76.00</f>
        <v>0</v>
      </c>
    </row>
    <row r="13" spans="1:12">
      <c r="A13" s="1"/>
      <c r="B13" s="1">
        <v>822269</v>
      </c>
      <c r="C13" s="1" t="s">
        <v>51</v>
      </c>
      <c r="D13" s="1" t="s">
        <v>52</v>
      </c>
      <c r="E13" s="3" t="s">
        <v>53</v>
      </c>
      <c r="F13" s="1" t="s">
        <v>54</v>
      </c>
      <c r="G13" s="1" t="s">
        <v>15</v>
      </c>
      <c r="H13" s="1" t="s">
        <v>15</v>
      </c>
      <c r="I13" s="1" t="s">
        <v>15</v>
      </c>
      <c r="J13" s="1" t="s">
        <v>21</v>
      </c>
      <c r="K13" s="2"/>
      <c r="L13" s="5">
        <f>K13*54.94</f>
        <v>0</v>
      </c>
    </row>
    <row r="14" spans="1:12">
      <c r="A14" s="1"/>
      <c r="B14" s="1">
        <v>822271</v>
      </c>
      <c r="C14" s="1" t="s">
        <v>55</v>
      </c>
      <c r="D14" s="1" t="s">
        <v>56</v>
      </c>
      <c r="E14" s="3" t="s">
        <v>57</v>
      </c>
      <c r="F14" s="1" t="s">
        <v>58</v>
      </c>
      <c r="G14" s="1" t="s">
        <v>15</v>
      </c>
      <c r="H14" s="1" t="s">
        <v>15</v>
      </c>
      <c r="I14" s="1" t="s">
        <v>15</v>
      </c>
      <c r="J14" s="1" t="s">
        <v>21</v>
      </c>
      <c r="K14" s="2"/>
      <c r="L14" s="5">
        <f>K14*81.97</f>
        <v>0</v>
      </c>
    </row>
    <row r="15" spans="1:12">
      <c r="A15" s="1"/>
      <c r="B15" s="1">
        <v>822273</v>
      </c>
      <c r="C15" s="1" t="s">
        <v>59</v>
      </c>
      <c r="D15" s="1" t="s">
        <v>60</v>
      </c>
      <c r="E15" s="3" t="s">
        <v>61</v>
      </c>
      <c r="F15" s="1" t="s">
        <v>62</v>
      </c>
      <c r="G15" s="1" t="s">
        <v>15</v>
      </c>
      <c r="H15" s="1" t="s">
        <v>15</v>
      </c>
      <c r="I15" s="1" t="s">
        <v>15</v>
      </c>
      <c r="J15" s="1" t="s">
        <v>21</v>
      </c>
      <c r="K15" s="2"/>
      <c r="L15" s="5">
        <f>K15*67.93</f>
        <v>0</v>
      </c>
    </row>
    <row r="16" spans="1:12">
      <c r="A16" s="1"/>
      <c r="B16" s="1">
        <v>885565</v>
      </c>
      <c r="C16" s="1" t="s">
        <v>63</v>
      </c>
      <c r="D16" s="1" t="s">
        <v>64</v>
      </c>
      <c r="E16" s="3" t="s">
        <v>65</v>
      </c>
      <c r="F16" s="1" t="s">
        <v>66</v>
      </c>
      <c r="G16" s="1" t="s">
        <v>15</v>
      </c>
      <c r="H16" s="1" t="s">
        <v>15</v>
      </c>
      <c r="I16" s="1" t="s">
        <v>15</v>
      </c>
      <c r="J16" s="1" t="s">
        <v>21</v>
      </c>
      <c r="K16" s="2"/>
      <c r="L16" s="5">
        <f>K16*34.04</f>
        <v>0</v>
      </c>
    </row>
    <row r="17" spans="1:12">
      <c r="A17" s="1"/>
      <c r="B17" s="1">
        <v>885566</v>
      </c>
      <c r="C17" s="1" t="s">
        <v>67</v>
      </c>
      <c r="D17" s="1" t="s">
        <v>68</v>
      </c>
      <c r="E17" s="3" t="s">
        <v>69</v>
      </c>
      <c r="F17" s="1" t="s">
        <v>70</v>
      </c>
      <c r="G17" s="1" t="s">
        <v>15</v>
      </c>
      <c r="H17" s="1" t="s">
        <v>15</v>
      </c>
      <c r="I17" s="1" t="s">
        <v>15</v>
      </c>
      <c r="J17" s="1" t="s">
        <v>21</v>
      </c>
      <c r="K17" s="2"/>
      <c r="L17" s="5">
        <f>K17*49.59</f>
        <v>0</v>
      </c>
    </row>
    <row r="18" spans="1:12">
      <c r="A18" s="1"/>
      <c r="B18" s="1">
        <v>885567</v>
      </c>
      <c r="C18" s="1" t="s">
        <v>71</v>
      </c>
      <c r="D18" s="1" t="s">
        <v>72</v>
      </c>
      <c r="E18" s="3" t="s">
        <v>73</v>
      </c>
      <c r="F18" s="1" t="s">
        <v>74</v>
      </c>
      <c r="G18" s="1" t="s">
        <v>15</v>
      </c>
      <c r="H18" s="1" t="s">
        <v>15</v>
      </c>
      <c r="I18" s="1" t="s">
        <v>15</v>
      </c>
      <c r="J18" s="1" t="s">
        <v>21</v>
      </c>
      <c r="K18" s="2"/>
      <c r="L18" s="5">
        <f>K18*81.27</f>
        <v>0</v>
      </c>
    </row>
    <row r="19" spans="1:12">
      <c r="A19" s="1"/>
      <c r="B19" s="1">
        <v>885568</v>
      </c>
      <c r="C19" s="1" t="s">
        <v>75</v>
      </c>
      <c r="D19" s="1" t="s">
        <v>76</v>
      </c>
      <c r="E19" s="3" t="s">
        <v>77</v>
      </c>
      <c r="F19" s="1" t="s">
        <v>78</v>
      </c>
      <c r="G19" s="1" t="s">
        <v>15</v>
      </c>
      <c r="H19" s="1" t="s">
        <v>15</v>
      </c>
      <c r="I19" s="1" t="s">
        <v>15</v>
      </c>
      <c r="J19" s="1" t="s">
        <v>21</v>
      </c>
      <c r="K19" s="2"/>
      <c r="L19" s="5">
        <f>K19*125.28</f>
        <v>0</v>
      </c>
    </row>
    <row r="20" spans="1:12">
      <c r="A20" s="1"/>
      <c r="B20" s="1">
        <v>885569</v>
      </c>
      <c r="C20" s="1" t="s">
        <v>79</v>
      </c>
      <c r="D20" s="1" t="s">
        <v>80</v>
      </c>
      <c r="E20" s="3" t="s">
        <v>81</v>
      </c>
      <c r="F20" s="1" t="s">
        <v>82</v>
      </c>
      <c r="G20" s="1" t="s">
        <v>15</v>
      </c>
      <c r="H20" s="1" t="s">
        <v>15</v>
      </c>
      <c r="I20" s="1" t="s">
        <v>15</v>
      </c>
      <c r="J20" s="1" t="s">
        <v>21</v>
      </c>
      <c r="K20" s="2"/>
      <c r="L20" s="5">
        <f>K20*194.53</f>
        <v>0</v>
      </c>
    </row>
    <row r="21" spans="1:12">
      <c r="A21" s="1"/>
      <c r="B21" s="1">
        <v>885570</v>
      </c>
      <c r="C21" s="1" t="s">
        <v>83</v>
      </c>
      <c r="D21" s="1" t="s">
        <v>84</v>
      </c>
      <c r="E21" s="3" t="s">
        <v>85</v>
      </c>
      <c r="F21" s="1" t="s">
        <v>86</v>
      </c>
      <c r="G21" s="1" t="s">
        <v>15</v>
      </c>
      <c r="H21" s="1" t="s">
        <v>15</v>
      </c>
      <c r="I21" s="1" t="s">
        <v>15</v>
      </c>
      <c r="J21" s="1" t="s">
        <v>21</v>
      </c>
      <c r="K21" s="2"/>
      <c r="L21" s="5">
        <f>K21*308.07</f>
        <v>0</v>
      </c>
    </row>
    <row r="22" spans="1:12">
      <c r="A22" s="1"/>
      <c r="B22" s="1">
        <v>885571</v>
      </c>
      <c r="C22" s="1" t="s">
        <v>87</v>
      </c>
      <c r="D22" s="1" t="s">
        <v>88</v>
      </c>
      <c r="E22" s="3" t="s">
        <v>89</v>
      </c>
      <c r="F22" s="1" t="s">
        <v>90</v>
      </c>
      <c r="G22" s="1" t="s">
        <v>15</v>
      </c>
      <c r="H22" s="1" t="s">
        <v>15</v>
      </c>
      <c r="I22" s="1" t="s">
        <v>15</v>
      </c>
      <c r="J22" s="1" t="s">
        <v>21</v>
      </c>
      <c r="K22" s="2"/>
      <c r="L22" s="5">
        <f>K22*43.42</f>
        <v>0</v>
      </c>
    </row>
    <row r="23" spans="1:12">
      <c r="A23" s="1"/>
      <c r="B23" s="1">
        <v>885572</v>
      </c>
      <c r="C23" s="1" t="s">
        <v>91</v>
      </c>
      <c r="D23" s="1" t="s">
        <v>92</v>
      </c>
      <c r="E23" s="3" t="s">
        <v>93</v>
      </c>
      <c r="F23" s="1" t="s">
        <v>94</v>
      </c>
      <c r="G23" s="1" t="s">
        <v>15</v>
      </c>
      <c r="H23" s="1" t="s">
        <v>15</v>
      </c>
      <c r="I23" s="1" t="s">
        <v>15</v>
      </c>
      <c r="J23" s="1" t="s">
        <v>21</v>
      </c>
      <c r="K23" s="2"/>
      <c r="L23" s="5">
        <f>K23*67.19</f>
        <v>0</v>
      </c>
    </row>
    <row r="24" spans="1:12">
      <c r="A24" s="1"/>
      <c r="B24" s="1">
        <v>885573</v>
      </c>
      <c r="C24" s="1" t="s">
        <v>95</v>
      </c>
      <c r="D24" s="1" t="s">
        <v>96</v>
      </c>
      <c r="E24" s="3" t="s">
        <v>97</v>
      </c>
      <c r="F24" s="1" t="s">
        <v>98</v>
      </c>
      <c r="G24" s="1" t="s">
        <v>15</v>
      </c>
      <c r="H24" s="1" t="s">
        <v>15</v>
      </c>
      <c r="I24" s="1" t="s">
        <v>15</v>
      </c>
      <c r="J24" s="1" t="s">
        <v>21</v>
      </c>
      <c r="K24" s="2"/>
      <c r="L24" s="5">
        <f>K24*103.57</f>
        <v>0</v>
      </c>
    </row>
    <row r="25" spans="1:12">
      <c r="A25" s="1"/>
      <c r="B25" s="1">
        <v>885574</v>
      </c>
      <c r="C25" s="1" t="s">
        <v>99</v>
      </c>
      <c r="D25" s="1" t="s">
        <v>100</v>
      </c>
      <c r="E25" s="3" t="s">
        <v>101</v>
      </c>
      <c r="F25" s="1" t="s">
        <v>102</v>
      </c>
      <c r="G25" s="1" t="s">
        <v>15</v>
      </c>
      <c r="H25" s="1" t="s">
        <v>15</v>
      </c>
      <c r="I25" s="1" t="s">
        <v>15</v>
      </c>
      <c r="J25" s="1" t="s">
        <v>21</v>
      </c>
      <c r="K25" s="2"/>
      <c r="L25" s="5">
        <f>K25*159.91</f>
        <v>0</v>
      </c>
    </row>
    <row r="26" spans="1:12">
      <c r="A26" s="1"/>
      <c r="B26" s="1">
        <v>885575</v>
      </c>
      <c r="C26" s="1" t="s">
        <v>103</v>
      </c>
      <c r="D26" s="1" t="s">
        <v>104</v>
      </c>
      <c r="E26" s="3" t="s">
        <v>105</v>
      </c>
      <c r="F26" s="1" t="s">
        <v>106</v>
      </c>
      <c r="G26" s="1" t="s">
        <v>15</v>
      </c>
      <c r="H26" s="1" t="s">
        <v>15</v>
      </c>
      <c r="I26" s="1" t="s">
        <v>15</v>
      </c>
      <c r="J26" s="1" t="s">
        <v>21</v>
      </c>
      <c r="K26" s="2"/>
      <c r="L26" s="5">
        <f>K26*254.97</f>
        <v>0</v>
      </c>
    </row>
    <row r="27" spans="1:12">
      <c r="A27" s="1"/>
      <c r="B27" s="1">
        <v>885576</v>
      </c>
      <c r="C27" s="1" t="s">
        <v>107</v>
      </c>
      <c r="D27" s="1" t="s">
        <v>108</v>
      </c>
      <c r="E27" s="3" t="s">
        <v>109</v>
      </c>
      <c r="F27" s="1" t="s">
        <v>110</v>
      </c>
      <c r="G27" s="1" t="s">
        <v>15</v>
      </c>
      <c r="H27" s="1" t="s">
        <v>15</v>
      </c>
      <c r="I27" s="1" t="s">
        <v>15</v>
      </c>
      <c r="J27" s="1" t="s">
        <v>21</v>
      </c>
      <c r="K27" s="2"/>
      <c r="L27" s="5">
        <f>K27*56.63</f>
        <v>0</v>
      </c>
    </row>
    <row r="28" spans="1:12">
      <c r="A28" s="1"/>
      <c r="B28" s="1">
        <v>885577</v>
      </c>
      <c r="C28" s="1" t="s">
        <v>111</v>
      </c>
      <c r="D28" s="1" t="s">
        <v>112</v>
      </c>
      <c r="E28" s="3" t="s">
        <v>113</v>
      </c>
      <c r="F28" s="1" t="s">
        <v>114</v>
      </c>
      <c r="G28" s="1" t="s">
        <v>15</v>
      </c>
      <c r="H28" s="1" t="s">
        <v>15</v>
      </c>
      <c r="I28" s="1" t="s">
        <v>15</v>
      </c>
      <c r="J28" s="1" t="s">
        <v>21</v>
      </c>
      <c r="K28" s="2"/>
      <c r="L28" s="5">
        <f>K28*85.68</f>
        <v>0</v>
      </c>
    </row>
    <row r="29" spans="1:12">
      <c r="A29" s="1"/>
      <c r="B29" s="1">
        <v>885578</v>
      </c>
      <c r="C29" s="1" t="s">
        <v>115</v>
      </c>
      <c r="D29" s="1" t="s">
        <v>116</v>
      </c>
      <c r="E29" s="3" t="s">
        <v>117</v>
      </c>
      <c r="F29" s="1" t="s">
        <v>118</v>
      </c>
      <c r="G29" s="1" t="s">
        <v>15</v>
      </c>
      <c r="H29" s="1" t="s">
        <v>15</v>
      </c>
      <c r="I29" s="1" t="s">
        <v>15</v>
      </c>
      <c r="J29" s="1" t="s">
        <v>21</v>
      </c>
      <c r="K29" s="2"/>
      <c r="L29" s="5">
        <f>K29*131.74</f>
        <v>0</v>
      </c>
    </row>
    <row r="30" spans="1:12">
      <c r="A30" s="1"/>
      <c r="B30" s="1">
        <v>885579</v>
      </c>
      <c r="C30" s="1" t="s">
        <v>119</v>
      </c>
      <c r="D30" s="1" t="s">
        <v>120</v>
      </c>
      <c r="E30" s="3" t="s">
        <v>121</v>
      </c>
      <c r="F30" s="1" t="s">
        <v>122</v>
      </c>
      <c r="G30" s="1" t="s">
        <v>15</v>
      </c>
      <c r="H30" s="1" t="s">
        <v>15</v>
      </c>
      <c r="I30" s="1" t="s">
        <v>15</v>
      </c>
      <c r="J30" s="1" t="s">
        <v>21</v>
      </c>
      <c r="K30" s="2"/>
      <c r="L30" s="5">
        <f>K30*209.79</f>
        <v>0</v>
      </c>
    </row>
    <row r="31" spans="1:12">
      <c r="A31" s="1"/>
      <c r="B31" s="1">
        <v>827415</v>
      </c>
      <c r="C31" s="1" t="s">
        <v>123</v>
      </c>
      <c r="D31" s="1" t="s">
        <v>124</v>
      </c>
      <c r="E31" s="3" t="s">
        <v>125</v>
      </c>
      <c r="F31" s="1" t="s">
        <v>126</v>
      </c>
      <c r="G31" s="1" t="s">
        <v>15</v>
      </c>
      <c r="H31" s="1" t="s">
        <v>15</v>
      </c>
      <c r="I31" s="1" t="s">
        <v>15</v>
      </c>
      <c r="J31" s="1" t="s">
        <v>16</v>
      </c>
      <c r="K31" s="2"/>
      <c r="L31" s="5">
        <f>K31*29.92</f>
        <v>0</v>
      </c>
    </row>
    <row r="32" spans="1:12">
      <c r="A32" s="1"/>
      <c r="B32" s="1">
        <v>827416</v>
      </c>
      <c r="C32" s="1" t="s">
        <v>127</v>
      </c>
      <c r="D32" s="1" t="s">
        <v>128</v>
      </c>
      <c r="E32" s="3" t="s">
        <v>129</v>
      </c>
      <c r="F32" s="1" t="s">
        <v>130</v>
      </c>
      <c r="G32" s="1" t="s">
        <v>15</v>
      </c>
      <c r="H32" s="1" t="s">
        <v>15</v>
      </c>
      <c r="I32" s="1" t="s">
        <v>15</v>
      </c>
      <c r="J32" s="1" t="s">
        <v>16</v>
      </c>
      <c r="K32" s="2"/>
      <c r="L32" s="5">
        <f>K32*44.21</f>
        <v>0</v>
      </c>
    </row>
    <row r="33" spans="1:12">
      <c r="A33" s="1"/>
      <c r="B33" s="1">
        <v>827417</v>
      </c>
      <c r="C33" s="1" t="s">
        <v>131</v>
      </c>
      <c r="D33" s="1" t="s">
        <v>132</v>
      </c>
      <c r="E33" s="3" t="s">
        <v>133</v>
      </c>
      <c r="F33" s="1" t="s">
        <v>134</v>
      </c>
      <c r="G33" s="1" t="s">
        <v>15</v>
      </c>
      <c r="H33" s="1" t="s">
        <v>15</v>
      </c>
      <c r="I33" s="1" t="s">
        <v>15</v>
      </c>
      <c r="J33" s="1" t="s">
        <v>16</v>
      </c>
      <c r="K33" s="2"/>
      <c r="L33" s="5">
        <f>K33*64.31</f>
        <v>0</v>
      </c>
    </row>
    <row r="34" spans="1:12">
      <c r="A34" s="1"/>
      <c r="B34" s="1">
        <v>827418</v>
      </c>
      <c r="C34" s="1" t="s">
        <v>135</v>
      </c>
      <c r="D34" s="1" t="s">
        <v>136</v>
      </c>
      <c r="E34" s="3" t="s">
        <v>137</v>
      </c>
      <c r="F34" s="1" t="s">
        <v>138</v>
      </c>
      <c r="G34" s="1" t="s">
        <v>15</v>
      </c>
      <c r="H34" s="1" t="s">
        <v>15</v>
      </c>
      <c r="I34" s="1" t="s">
        <v>15</v>
      </c>
      <c r="J34" s="1" t="s">
        <v>16</v>
      </c>
      <c r="K34" s="2"/>
      <c r="L34" s="5">
        <f>K34*101.83</f>
        <v>0</v>
      </c>
    </row>
    <row r="35" spans="1:12">
      <c r="A35" s="1"/>
      <c r="B35" s="1">
        <v>827419</v>
      </c>
      <c r="C35" s="1" t="s">
        <v>139</v>
      </c>
      <c r="D35" s="1" t="s">
        <v>140</v>
      </c>
      <c r="E35" s="3" t="s">
        <v>141</v>
      </c>
      <c r="F35" s="1" t="s">
        <v>142</v>
      </c>
      <c r="G35" s="1" t="s">
        <v>15</v>
      </c>
      <c r="H35" s="1" t="s">
        <v>15</v>
      </c>
      <c r="I35" s="1" t="s">
        <v>15</v>
      </c>
      <c r="J35" s="1" t="s">
        <v>16</v>
      </c>
      <c r="K35" s="2"/>
      <c r="L35" s="5">
        <f>K35*175.63</f>
        <v>0</v>
      </c>
    </row>
    <row r="36" spans="1:12">
      <c r="A36" s="1"/>
      <c r="B36" s="1">
        <v>827420</v>
      </c>
      <c r="C36" s="1" t="s">
        <v>143</v>
      </c>
      <c r="D36" s="1" t="s">
        <v>144</v>
      </c>
      <c r="E36" s="3" t="s">
        <v>145</v>
      </c>
      <c r="F36" s="1" t="s">
        <v>146</v>
      </c>
      <c r="G36" s="1" t="s">
        <v>15</v>
      </c>
      <c r="H36" s="1" t="s">
        <v>15</v>
      </c>
      <c r="I36" s="1" t="s">
        <v>15</v>
      </c>
      <c r="J36" s="1" t="s">
        <v>16</v>
      </c>
      <c r="K36" s="2"/>
      <c r="L36" s="5">
        <f>K36*274.73</f>
        <v>0</v>
      </c>
    </row>
    <row r="37" spans="1:12">
      <c r="A37" s="1"/>
      <c r="B37" s="1">
        <v>827421</v>
      </c>
      <c r="C37" s="1" t="s">
        <v>147</v>
      </c>
      <c r="D37" s="1">
        <v>9375</v>
      </c>
      <c r="E37" s="3" t="s">
        <v>148</v>
      </c>
      <c r="F37" s="1" t="s">
        <v>149</v>
      </c>
      <c r="G37" s="1" t="s">
        <v>15</v>
      </c>
      <c r="H37" s="1" t="s">
        <v>15</v>
      </c>
      <c r="I37" s="1" t="s">
        <v>15</v>
      </c>
      <c r="J37" s="1" t="s">
        <v>16</v>
      </c>
      <c r="K37" s="2"/>
      <c r="L37" s="5">
        <f>K37*402.71</f>
        <v>0</v>
      </c>
    </row>
    <row r="38" spans="1:12">
      <c r="A38" s="1"/>
      <c r="B38" s="1">
        <v>827422</v>
      </c>
      <c r="C38" s="1" t="s">
        <v>150</v>
      </c>
      <c r="D38" s="1" t="s">
        <v>151</v>
      </c>
      <c r="E38" s="3" t="s">
        <v>152</v>
      </c>
      <c r="F38" s="1" t="s">
        <v>153</v>
      </c>
      <c r="G38" s="1" t="s">
        <v>15</v>
      </c>
      <c r="H38" s="1" t="s">
        <v>15</v>
      </c>
      <c r="I38" s="1" t="s">
        <v>15</v>
      </c>
      <c r="J38" s="1" t="s">
        <v>16</v>
      </c>
      <c r="K38" s="2"/>
      <c r="L38" s="5">
        <f>K38*622.64</f>
        <v>0</v>
      </c>
    </row>
    <row r="39" spans="1:12">
      <c r="A39" s="1"/>
      <c r="B39" s="1">
        <v>827423</v>
      </c>
      <c r="C39" s="1" t="s">
        <v>154</v>
      </c>
      <c r="D39" s="1" t="s">
        <v>155</v>
      </c>
      <c r="E39" s="3" t="s">
        <v>156</v>
      </c>
      <c r="F39" s="1" t="s">
        <v>157</v>
      </c>
      <c r="G39" s="1" t="s">
        <v>15</v>
      </c>
      <c r="H39" s="1" t="s">
        <v>15</v>
      </c>
      <c r="I39" s="1" t="s">
        <v>15</v>
      </c>
      <c r="J39" s="1" t="s">
        <v>16</v>
      </c>
      <c r="K39" s="2"/>
      <c r="L39" s="5">
        <f>K39*1139.78</f>
        <v>0</v>
      </c>
    </row>
    <row r="40" spans="1:12">
      <c r="A40" s="1"/>
      <c r="B40" s="1">
        <v>827424</v>
      </c>
      <c r="C40" s="1" t="s">
        <v>158</v>
      </c>
      <c r="D40" s="1">
        <v>8320</v>
      </c>
      <c r="E40" s="3" t="s">
        <v>159</v>
      </c>
      <c r="F40" s="1" t="s">
        <v>160</v>
      </c>
      <c r="G40" s="1" t="s">
        <v>15</v>
      </c>
      <c r="H40" s="1" t="s">
        <v>15</v>
      </c>
      <c r="I40" s="1" t="s">
        <v>15</v>
      </c>
      <c r="J40" s="1" t="s">
        <v>16</v>
      </c>
      <c r="K40" s="2"/>
      <c r="L40" s="5">
        <f>K40*66.99</f>
        <v>0</v>
      </c>
    </row>
    <row r="41" spans="1:12">
      <c r="A41" s="1"/>
      <c r="B41" s="1">
        <v>827425</v>
      </c>
      <c r="C41" s="1" t="s">
        <v>161</v>
      </c>
      <c r="D41" s="1" t="s">
        <v>162</v>
      </c>
      <c r="E41" s="3" t="s">
        <v>163</v>
      </c>
      <c r="F41" s="1" t="s">
        <v>164</v>
      </c>
      <c r="G41" s="1" t="s">
        <v>15</v>
      </c>
      <c r="H41" s="1" t="s">
        <v>15</v>
      </c>
      <c r="I41" s="1" t="s">
        <v>15</v>
      </c>
      <c r="J41" s="1" t="s">
        <v>16</v>
      </c>
      <c r="K41" s="2"/>
      <c r="L41" s="5">
        <f>K41*108.53</f>
        <v>0</v>
      </c>
    </row>
    <row r="42" spans="1:12">
      <c r="A42" s="1"/>
      <c r="B42" s="1">
        <v>827426</v>
      </c>
      <c r="C42" s="1" t="s">
        <v>165</v>
      </c>
      <c r="D42" s="1">
        <v>8325</v>
      </c>
      <c r="E42" s="3" t="s">
        <v>166</v>
      </c>
      <c r="F42" s="1" t="s">
        <v>167</v>
      </c>
      <c r="G42" s="1" t="s">
        <v>15</v>
      </c>
      <c r="H42" s="1" t="s">
        <v>15</v>
      </c>
      <c r="I42" s="1" t="s">
        <v>15</v>
      </c>
      <c r="J42" s="1" t="s">
        <v>16</v>
      </c>
      <c r="K42" s="2"/>
      <c r="L42" s="5">
        <f>K42*119.24</f>
        <v>0</v>
      </c>
    </row>
    <row r="43" spans="1:12">
      <c r="A43" s="1"/>
      <c r="B43" s="1">
        <v>827427</v>
      </c>
      <c r="C43" s="1" t="s">
        <v>168</v>
      </c>
      <c r="D43" s="1" t="s">
        <v>169</v>
      </c>
      <c r="E43" s="3" t="s">
        <v>170</v>
      </c>
      <c r="F43" s="1" t="s">
        <v>171</v>
      </c>
      <c r="G43" s="1" t="s">
        <v>15</v>
      </c>
      <c r="H43" s="1" t="s">
        <v>15</v>
      </c>
      <c r="I43" s="1" t="s">
        <v>15</v>
      </c>
      <c r="J43" s="1" t="s">
        <v>16</v>
      </c>
      <c r="K43" s="2"/>
      <c r="L43" s="5">
        <f>K43*130.53</f>
        <v>0</v>
      </c>
    </row>
    <row r="44" spans="1:12">
      <c r="A44" s="1"/>
      <c r="B44" s="1">
        <v>827428</v>
      </c>
      <c r="C44" s="1" t="s">
        <v>172</v>
      </c>
      <c r="D44" s="1" t="s">
        <v>173</v>
      </c>
      <c r="E44" s="3" t="s">
        <v>174</v>
      </c>
      <c r="F44" s="1" t="s">
        <v>175</v>
      </c>
      <c r="G44" s="1" t="s">
        <v>15</v>
      </c>
      <c r="H44" s="1" t="s">
        <v>15</v>
      </c>
      <c r="I44" s="1" t="s">
        <v>15</v>
      </c>
      <c r="J44" s="1" t="s">
        <v>16</v>
      </c>
      <c r="K44" s="2"/>
      <c r="L44" s="5">
        <f>K44*96.86</f>
        <v>0</v>
      </c>
    </row>
    <row r="45" spans="1:12">
      <c r="A45" s="1"/>
      <c r="B45" s="1">
        <v>827429</v>
      </c>
      <c r="C45" s="1" t="s">
        <v>176</v>
      </c>
      <c r="D45" s="1">
        <v>8332</v>
      </c>
      <c r="E45" s="3" t="s">
        <v>177</v>
      </c>
      <c r="F45" s="1" t="s">
        <v>178</v>
      </c>
      <c r="G45" s="1" t="s">
        <v>15</v>
      </c>
      <c r="H45" s="1" t="s">
        <v>15</v>
      </c>
      <c r="I45" s="1" t="s">
        <v>15</v>
      </c>
      <c r="J45" s="1" t="s">
        <v>16</v>
      </c>
      <c r="K45" s="2"/>
      <c r="L45" s="5">
        <f>K45*102.47</f>
        <v>0</v>
      </c>
    </row>
    <row r="46" spans="1:12">
      <c r="A46" s="1"/>
      <c r="B46" s="1">
        <v>827430</v>
      </c>
      <c r="C46" s="1" t="s">
        <v>179</v>
      </c>
      <c r="D46" s="1" t="s">
        <v>180</v>
      </c>
      <c r="E46" s="3" t="s">
        <v>181</v>
      </c>
      <c r="F46" s="1" t="s">
        <v>182</v>
      </c>
      <c r="G46" s="1" t="s">
        <v>15</v>
      </c>
      <c r="H46" s="1" t="s">
        <v>15</v>
      </c>
      <c r="I46" s="1" t="s">
        <v>15</v>
      </c>
      <c r="J46" s="1" t="s">
        <v>16</v>
      </c>
      <c r="K46" s="2"/>
      <c r="L46" s="5">
        <f>K46*219.23</f>
        <v>0</v>
      </c>
    </row>
    <row r="47" spans="1:12">
      <c r="A47" s="1"/>
      <c r="B47" s="1">
        <v>827431</v>
      </c>
      <c r="C47" s="1" t="s">
        <v>183</v>
      </c>
      <c r="D47" s="1">
        <v>9150</v>
      </c>
      <c r="E47" s="3" t="s">
        <v>184</v>
      </c>
      <c r="F47" s="1" t="s">
        <v>185</v>
      </c>
      <c r="G47" s="1" t="s">
        <v>15</v>
      </c>
      <c r="H47" s="1" t="s">
        <v>15</v>
      </c>
      <c r="I47" s="1" t="s">
        <v>15</v>
      </c>
      <c r="J47" s="1" t="s">
        <v>16</v>
      </c>
      <c r="K47" s="2"/>
      <c r="L47" s="5">
        <f>K47*218.29</f>
        <v>0</v>
      </c>
    </row>
    <row r="48" spans="1:12">
      <c r="A48" s="1"/>
      <c r="B48" s="1">
        <v>827432</v>
      </c>
      <c r="C48" s="1" t="s">
        <v>186</v>
      </c>
      <c r="D48" s="1" t="s">
        <v>187</v>
      </c>
      <c r="E48" s="3" t="s">
        <v>188</v>
      </c>
      <c r="F48" s="1" t="s">
        <v>189</v>
      </c>
      <c r="G48" s="1" t="s">
        <v>15</v>
      </c>
      <c r="H48" s="1" t="s">
        <v>15</v>
      </c>
      <c r="I48" s="1" t="s">
        <v>15</v>
      </c>
      <c r="J48" s="1" t="s">
        <v>16</v>
      </c>
      <c r="K48" s="2"/>
      <c r="L48" s="5">
        <f>K48*158.36</f>
        <v>0</v>
      </c>
    </row>
    <row r="49" spans="1:12">
      <c r="A49" s="1"/>
      <c r="B49" s="1">
        <v>827433</v>
      </c>
      <c r="C49" s="1" t="s">
        <v>190</v>
      </c>
      <c r="D49" s="1">
        <v>8340</v>
      </c>
      <c r="E49" s="3" t="s">
        <v>191</v>
      </c>
      <c r="F49" s="1" t="s">
        <v>192</v>
      </c>
      <c r="G49" s="1" t="s">
        <v>15</v>
      </c>
      <c r="H49" s="1" t="s">
        <v>15</v>
      </c>
      <c r="I49" s="1" t="s">
        <v>15</v>
      </c>
      <c r="J49" s="1" t="s">
        <v>16</v>
      </c>
      <c r="K49" s="2"/>
      <c r="L49" s="5">
        <f>K49*231.41</f>
        <v>0</v>
      </c>
    </row>
    <row r="50" spans="1:12">
      <c r="A50" s="1"/>
      <c r="B50" s="1">
        <v>827434</v>
      </c>
      <c r="C50" s="1" t="s">
        <v>193</v>
      </c>
      <c r="D50" s="1" t="s">
        <v>194</v>
      </c>
      <c r="E50" s="3" t="s">
        <v>195</v>
      </c>
      <c r="F50" s="1" t="s">
        <v>196</v>
      </c>
      <c r="G50" s="1" t="s">
        <v>15</v>
      </c>
      <c r="H50" s="1" t="s">
        <v>15</v>
      </c>
      <c r="I50" s="1" t="s">
        <v>15</v>
      </c>
      <c r="J50" s="1" t="s">
        <v>16</v>
      </c>
      <c r="K50" s="2"/>
      <c r="L50" s="5">
        <f>K50*329.35</f>
        <v>0</v>
      </c>
    </row>
    <row r="51" spans="1:12">
      <c r="A51" s="1"/>
      <c r="B51" s="1">
        <v>827435</v>
      </c>
      <c r="C51" s="1" t="s">
        <v>197</v>
      </c>
      <c r="D51" s="1" t="s">
        <v>198</v>
      </c>
      <c r="E51" s="3" t="s">
        <v>199</v>
      </c>
      <c r="F51" s="1" t="s">
        <v>200</v>
      </c>
      <c r="G51" s="1" t="s">
        <v>15</v>
      </c>
      <c r="H51" s="1" t="s">
        <v>15</v>
      </c>
      <c r="I51" s="1" t="s">
        <v>15</v>
      </c>
      <c r="J51" s="1" t="s">
        <v>16</v>
      </c>
      <c r="K51" s="2"/>
      <c r="L51" s="5">
        <f>K51*321.34</f>
        <v>0</v>
      </c>
    </row>
    <row r="52" spans="1:12">
      <c r="A52" s="1"/>
      <c r="B52" s="1">
        <v>827436</v>
      </c>
      <c r="C52" s="1" t="s">
        <v>201</v>
      </c>
      <c r="D52" s="1" t="s">
        <v>202</v>
      </c>
      <c r="E52" s="3" t="s">
        <v>203</v>
      </c>
      <c r="F52" s="1" t="s">
        <v>204</v>
      </c>
      <c r="G52" s="1" t="s">
        <v>15</v>
      </c>
      <c r="H52" s="1" t="s">
        <v>15</v>
      </c>
      <c r="I52" s="1" t="s">
        <v>15</v>
      </c>
      <c r="J52" s="1" t="s">
        <v>16</v>
      </c>
      <c r="K52" s="2"/>
      <c r="L52" s="5">
        <f>K52*220.16</f>
        <v>0</v>
      </c>
    </row>
    <row r="53" spans="1:12">
      <c r="A53" s="1"/>
      <c r="B53" s="1">
        <v>827437</v>
      </c>
      <c r="C53" s="1" t="s">
        <v>205</v>
      </c>
      <c r="D53" s="1" t="s">
        <v>206</v>
      </c>
      <c r="E53" s="3" t="s">
        <v>207</v>
      </c>
      <c r="F53" s="1" t="s">
        <v>208</v>
      </c>
      <c r="G53" s="1" t="s">
        <v>15</v>
      </c>
      <c r="H53" s="1" t="s">
        <v>15</v>
      </c>
      <c r="I53" s="1" t="s">
        <v>15</v>
      </c>
      <c r="J53" s="1" t="s">
        <v>16</v>
      </c>
      <c r="K53" s="2"/>
      <c r="L53" s="5">
        <f>K53*250.13</f>
        <v>0</v>
      </c>
    </row>
    <row r="54" spans="1:12">
      <c r="A54" s="1"/>
      <c r="B54" s="1">
        <v>827438</v>
      </c>
      <c r="C54" s="1" t="s">
        <v>209</v>
      </c>
      <c r="D54" s="1">
        <v>8350</v>
      </c>
      <c r="E54" s="3" t="s">
        <v>210</v>
      </c>
      <c r="F54" s="1" t="s">
        <v>211</v>
      </c>
      <c r="G54" s="1" t="s">
        <v>15</v>
      </c>
      <c r="H54" s="1" t="s">
        <v>15</v>
      </c>
      <c r="I54" s="1" t="s">
        <v>15</v>
      </c>
      <c r="J54" s="1" t="s">
        <v>16</v>
      </c>
      <c r="K54" s="2"/>
      <c r="L54" s="5">
        <f>K54*294.41</f>
        <v>0</v>
      </c>
    </row>
    <row r="55" spans="1:12">
      <c r="A55" s="1"/>
      <c r="B55" s="1">
        <v>827439</v>
      </c>
      <c r="C55" s="1" t="s">
        <v>212</v>
      </c>
      <c r="D55" s="1" t="s">
        <v>213</v>
      </c>
      <c r="E55" s="3" t="s">
        <v>214</v>
      </c>
      <c r="F55" s="1" t="s">
        <v>215</v>
      </c>
      <c r="G55" s="1" t="s">
        <v>15</v>
      </c>
      <c r="H55" s="1" t="s">
        <v>15</v>
      </c>
      <c r="I55" s="1" t="s">
        <v>15</v>
      </c>
      <c r="J55" s="1" t="s">
        <v>16</v>
      </c>
      <c r="K55" s="2"/>
      <c r="L55" s="5">
        <f>K55*522.72</f>
        <v>0</v>
      </c>
    </row>
    <row r="56" spans="1:12">
      <c r="A56" s="1"/>
      <c r="B56" s="1">
        <v>827440</v>
      </c>
      <c r="C56" s="1" t="s">
        <v>216</v>
      </c>
      <c r="D56" s="1">
        <v>8363</v>
      </c>
      <c r="E56" s="3" t="s">
        <v>217</v>
      </c>
      <c r="F56" s="1" t="s">
        <v>218</v>
      </c>
      <c r="G56" s="1" t="s">
        <v>15</v>
      </c>
      <c r="H56" s="1" t="s">
        <v>15</v>
      </c>
      <c r="I56" s="1" t="s">
        <v>15</v>
      </c>
      <c r="J56" s="1" t="s">
        <v>16</v>
      </c>
      <c r="K56" s="2"/>
      <c r="L56" s="5">
        <f>K56*769.05</f>
        <v>0</v>
      </c>
    </row>
    <row r="57" spans="1:12">
      <c r="A57" s="1"/>
      <c r="B57" s="1">
        <v>827441</v>
      </c>
      <c r="C57" s="1" t="s">
        <v>219</v>
      </c>
      <c r="D57" s="1" t="s">
        <v>220</v>
      </c>
      <c r="E57" s="3" t="s">
        <v>221</v>
      </c>
      <c r="F57" s="1" t="s">
        <v>222</v>
      </c>
      <c r="G57" s="1" t="s">
        <v>15</v>
      </c>
      <c r="H57" s="1" t="s">
        <v>15</v>
      </c>
      <c r="I57" s="1" t="s">
        <v>15</v>
      </c>
      <c r="J57" s="1" t="s">
        <v>16</v>
      </c>
      <c r="K57" s="2"/>
      <c r="L57" s="5">
        <f>K57*899.69</f>
        <v>0</v>
      </c>
    </row>
    <row r="58" spans="1:12">
      <c r="A58" s="1"/>
      <c r="B58" s="1">
        <v>827442</v>
      </c>
      <c r="C58" s="1" t="s">
        <v>223</v>
      </c>
      <c r="D58" s="1">
        <v>8375</v>
      </c>
      <c r="E58" s="3" t="s">
        <v>224</v>
      </c>
      <c r="F58" s="1" t="s">
        <v>225</v>
      </c>
      <c r="G58" s="1" t="s">
        <v>15</v>
      </c>
      <c r="H58" s="1" t="s">
        <v>15</v>
      </c>
      <c r="I58" s="1" t="s">
        <v>15</v>
      </c>
      <c r="J58" s="1" t="s">
        <v>16</v>
      </c>
      <c r="K58" s="2"/>
      <c r="L58" s="5">
        <f>K58*1227.50</f>
        <v>0</v>
      </c>
    </row>
    <row r="59" spans="1:12">
      <c r="A59" s="1"/>
      <c r="B59" s="1">
        <v>827443</v>
      </c>
      <c r="C59" s="1" t="s">
        <v>226</v>
      </c>
      <c r="D59" s="1" t="s">
        <v>227</v>
      </c>
      <c r="E59" s="3" t="s">
        <v>228</v>
      </c>
      <c r="F59" s="1" t="s">
        <v>229</v>
      </c>
      <c r="G59" s="1" t="s">
        <v>15</v>
      </c>
      <c r="H59" s="1" t="s">
        <v>15</v>
      </c>
      <c r="I59" s="1" t="s">
        <v>15</v>
      </c>
      <c r="J59" s="1" t="s">
        <v>16</v>
      </c>
      <c r="K59" s="2"/>
      <c r="L59" s="5">
        <f>K59*1476.51</f>
        <v>0</v>
      </c>
    </row>
    <row r="60" spans="1:12">
      <c r="A60" s="1"/>
      <c r="B60" s="1">
        <v>827444</v>
      </c>
      <c r="C60" s="1" t="s">
        <v>230</v>
      </c>
      <c r="D60" s="1" t="s">
        <v>231</v>
      </c>
      <c r="E60" s="3" t="s">
        <v>232</v>
      </c>
      <c r="F60" s="1" t="s">
        <v>233</v>
      </c>
      <c r="G60" s="1" t="s">
        <v>15</v>
      </c>
      <c r="H60" s="1" t="s">
        <v>15</v>
      </c>
      <c r="I60" s="1" t="s">
        <v>15</v>
      </c>
      <c r="J60" s="1" t="s">
        <v>16</v>
      </c>
      <c r="K60" s="2"/>
      <c r="L60" s="5">
        <f>K60*1540.23</f>
        <v>0</v>
      </c>
    </row>
    <row r="61" spans="1:12">
      <c r="A61" s="1"/>
      <c r="B61" s="1">
        <v>827445</v>
      </c>
      <c r="C61" s="1" t="s">
        <v>234</v>
      </c>
      <c r="D61" s="1">
        <v>8390</v>
      </c>
      <c r="E61" s="3" t="s">
        <v>235</v>
      </c>
      <c r="F61" s="1" t="s">
        <v>236</v>
      </c>
      <c r="G61" s="1" t="s">
        <v>15</v>
      </c>
      <c r="H61" s="1" t="s">
        <v>15</v>
      </c>
      <c r="I61" s="1" t="s">
        <v>15</v>
      </c>
      <c r="J61" s="1" t="s">
        <v>16</v>
      </c>
      <c r="K61" s="2"/>
      <c r="L61" s="5">
        <f>K61*1461.11</f>
        <v>0</v>
      </c>
    </row>
    <row r="62" spans="1:12">
      <c r="A62" s="1"/>
      <c r="B62" s="1">
        <v>827446</v>
      </c>
      <c r="C62" s="1" t="s">
        <v>237</v>
      </c>
      <c r="D62" s="1" t="s">
        <v>238</v>
      </c>
      <c r="E62" s="3" t="s">
        <v>239</v>
      </c>
      <c r="F62" s="1" t="s">
        <v>240</v>
      </c>
      <c r="G62" s="1" t="s">
        <v>15</v>
      </c>
      <c r="H62" s="1" t="s">
        <v>15</v>
      </c>
      <c r="I62" s="1" t="s">
        <v>15</v>
      </c>
      <c r="J62" s="1" t="s">
        <v>16</v>
      </c>
      <c r="K62" s="2"/>
      <c r="L62" s="5">
        <f>K62*34.35</f>
        <v>0</v>
      </c>
    </row>
    <row r="63" spans="1:12">
      <c r="A63" s="1"/>
      <c r="B63" s="1">
        <v>827447</v>
      </c>
      <c r="C63" s="1" t="s">
        <v>241</v>
      </c>
      <c r="D63" s="1" t="s">
        <v>242</v>
      </c>
      <c r="E63" s="3" t="s">
        <v>243</v>
      </c>
      <c r="F63" s="1" t="s">
        <v>240</v>
      </c>
      <c r="G63" s="1" t="s">
        <v>15</v>
      </c>
      <c r="H63" s="1" t="s">
        <v>15</v>
      </c>
      <c r="I63" s="1" t="s">
        <v>15</v>
      </c>
      <c r="J63" s="1" t="s">
        <v>16</v>
      </c>
      <c r="K63" s="2"/>
      <c r="L63" s="5">
        <f>K63*34.35</f>
        <v>0</v>
      </c>
    </row>
    <row r="64" spans="1:12">
      <c r="A64" s="1"/>
      <c r="B64" s="1">
        <v>827448</v>
      </c>
      <c r="C64" s="1" t="s">
        <v>244</v>
      </c>
      <c r="D64" s="1" t="s">
        <v>245</v>
      </c>
      <c r="E64" s="3" t="s">
        <v>246</v>
      </c>
      <c r="F64" s="1" t="s">
        <v>247</v>
      </c>
      <c r="G64" s="1" t="s">
        <v>15</v>
      </c>
      <c r="H64" s="1" t="s">
        <v>15</v>
      </c>
      <c r="I64" s="1" t="s">
        <v>15</v>
      </c>
      <c r="J64" s="1" t="s">
        <v>16</v>
      </c>
      <c r="K64" s="2"/>
      <c r="L64" s="5">
        <f>K64*40.44</f>
        <v>0</v>
      </c>
    </row>
    <row r="65" spans="1:12">
      <c r="A65" s="1"/>
      <c r="B65" s="1">
        <v>827449</v>
      </c>
      <c r="C65" s="1" t="s">
        <v>248</v>
      </c>
      <c r="D65" s="1" t="s">
        <v>249</v>
      </c>
      <c r="E65" s="3" t="s">
        <v>250</v>
      </c>
      <c r="F65" s="1" t="s">
        <v>251</v>
      </c>
      <c r="G65" s="1" t="s">
        <v>15</v>
      </c>
      <c r="H65" s="1" t="s">
        <v>15</v>
      </c>
      <c r="I65" s="1" t="s">
        <v>15</v>
      </c>
      <c r="J65" s="1" t="s">
        <v>16</v>
      </c>
      <c r="K65" s="2"/>
      <c r="L65" s="5">
        <f>K65*50.92</f>
        <v>0</v>
      </c>
    </row>
    <row r="66" spans="1:12">
      <c r="A66" s="1"/>
      <c r="B66" s="1">
        <v>827450</v>
      </c>
      <c r="C66" s="1" t="s">
        <v>252</v>
      </c>
      <c r="D66" s="1" t="s">
        <v>253</v>
      </c>
      <c r="E66" s="3" t="s">
        <v>254</v>
      </c>
      <c r="F66" s="1" t="s">
        <v>130</v>
      </c>
      <c r="G66" s="1" t="s">
        <v>15</v>
      </c>
      <c r="H66" s="1" t="s">
        <v>15</v>
      </c>
      <c r="I66" s="1" t="s">
        <v>15</v>
      </c>
      <c r="J66" s="1" t="s">
        <v>16</v>
      </c>
      <c r="K66" s="2"/>
      <c r="L66" s="5">
        <f>K66*44.21</f>
        <v>0</v>
      </c>
    </row>
    <row r="67" spans="1:12">
      <c r="A67" s="1"/>
      <c r="B67" s="1">
        <v>827451</v>
      </c>
      <c r="C67" s="1" t="s">
        <v>255</v>
      </c>
      <c r="D67" s="1" t="s">
        <v>256</v>
      </c>
      <c r="E67" s="3" t="s">
        <v>257</v>
      </c>
      <c r="F67" s="1" t="s">
        <v>258</v>
      </c>
      <c r="G67" s="1" t="s">
        <v>15</v>
      </c>
      <c r="H67" s="1" t="s">
        <v>15</v>
      </c>
      <c r="I67" s="1" t="s">
        <v>15</v>
      </c>
      <c r="J67" s="1" t="s">
        <v>16</v>
      </c>
      <c r="K67" s="2"/>
      <c r="L67" s="5">
        <f>K67*45.55</f>
        <v>0</v>
      </c>
    </row>
    <row r="68" spans="1:12">
      <c r="A68" s="1"/>
      <c r="B68" s="1">
        <v>827452</v>
      </c>
      <c r="C68" s="1" t="s">
        <v>259</v>
      </c>
      <c r="D68" s="1" t="s">
        <v>260</v>
      </c>
      <c r="E68" s="3" t="s">
        <v>261</v>
      </c>
      <c r="F68" s="1" t="s">
        <v>262</v>
      </c>
      <c r="G68" s="1" t="s">
        <v>15</v>
      </c>
      <c r="H68" s="1" t="s">
        <v>15</v>
      </c>
      <c r="I68" s="1" t="s">
        <v>15</v>
      </c>
      <c r="J68" s="1" t="s">
        <v>16</v>
      </c>
      <c r="K68" s="2"/>
      <c r="L68" s="5">
        <f>K68*77.71</f>
        <v>0</v>
      </c>
    </row>
    <row r="69" spans="1:12">
      <c r="A69" s="1"/>
      <c r="B69" s="1">
        <v>827453</v>
      </c>
      <c r="C69" s="1" t="s">
        <v>263</v>
      </c>
      <c r="D69" s="1" t="s">
        <v>264</v>
      </c>
      <c r="E69" s="3" t="s">
        <v>265</v>
      </c>
      <c r="F69" s="1" t="s">
        <v>266</v>
      </c>
      <c r="G69" s="1" t="s">
        <v>15</v>
      </c>
      <c r="H69" s="1" t="s">
        <v>15</v>
      </c>
      <c r="I69" s="1" t="s">
        <v>15</v>
      </c>
      <c r="J69" s="1" t="s">
        <v>16</v>
      </c>
      <c r="K69" s="2"/>
      <c r="L69" s="5">
        <f>K69*57.12</f>
        <v>0</v>
      </c>
    </row>
    <row r="70" spans="1:12">
      <c r="A70" s="1"/>
      <c r="B70" s="1">
        <v>827454</v>
      </c>
      <c r="C70" s="1" t="s">
        <v>267</v>
      </c>
      <c r="D70" s="1" t="s">
        <v>268</v>
      </c>
      <c r="E70" s="3" t="s">
        <v>269</v>
      </c>
      <c r="F70" s="1" t="s">
        <v>270</v>
      </c>
      <c r="G70" s="1" t="s">
        <v>15</v>
      </c>
      <c r="H70" s="1" t="s">
        <v>15</v>
      </c>
      <c r="I70" s="1" t="s">
        <v>15</v>
      </c>
      <c r="J70" s="1" t="s">
        <v>16</v>
      </c>
      <c r="K70" s="2"/>
      <c r="L70" s="5">
        <f>K70*59.39</f>
        <v>0</v>
      </c>
    </row>
    <row r="71" spans="1:12">
      <c r="A71" s="1"/>
      <c r="B71" s="1">
        <v>827455</v>
      </c>
      <c r="C71" s="1" t="s">
        <v>271</v>
      </c>
      <c r="D71" s="1" t="s">
        <v>272</v>
      </c>
      <c r="E71" s="3" t="s">
        <v>273</v>
      </c>
      <c r="F71" s="1" t="s">
        <v>274</v>
      </c>
      <c r="G71" s="1" t="s">
        <v>15</v>
      </c>
      <c r="H71" s="1" t="s">
        <v>15</v>
      </c>
      <c r="I71" s="1" t="s">
        <v>15</v>
      </c>
      <c r="J71" s="1" t="s">
        <v>16</v>
      </c>
      <c r="K71" s="2"/>
      <c r="L71" s="5">
        <f>K71*75.03</f>
        <v>0</v>
      </c>
    </row>
    <row r="72" spans="1:12">
      <c r="A72" s="1"/>
      <c r="B72" s="1">
        <v>827456</v>
      </c>
      <c r="C72" s="1" t="s">
        <v>275</v>
      </c>
      <c r="D72" s="1" t="s">
        <v>276</v>
      </c>
      <c r="E72" s="3" t="s">
        <v>277</v>
      </c>
      <c r="F72" s="1" t="s">
        <v>278</v>
      </c>
      <c r="G72" s="1" t="s">
        <v>15</v>
      </c>
      <c r="H72" s="1" t="s">
        <v>15</v>
      </c>
      <c r="I72" s="1" t="s">
        <v>15</v>
      </c>
      <c r="J72" s="1" t="s">
        <v>16</v>
      </c>
      <c r="K72" s="2"/>
      <c r="L72" s="5">
        <f>K72*68.04</f>
        <v>0</v>
      </c>
    </row>
    <row r="73" spans="1:12">
      <c r="A73" s="1"/>
      <c r="B73" s="1">
        <v>827457</v>
      </c>
      <c r="C73" s="1" t="s">
        <v>279</v>
      </c>
      <c r="D73" s="1" t="s">
        <v>280</v>
      </c>
      <c r="E73" s="3" t="s">
        <v>281</v>
      </c>
      <c r="F73" s="1" t="s">
        <v>282</v>
      </c>
      <c r="G73" s="1" t="s">
        <v>15</v>
      </c>
      <c r="H73" s="1" t="s">
        <v>15</v>
      </c>
      <c r="I73" s="1" t="s">
        <v>15</v>
      </c>
      <c r="J73" s="1" t="s">
        <v>16</v>
      </c>
      <c r="K73" s="2"/>
      <c r="L73" s="5">
        <f>K73*106.76</f>
        <v>0</v>
      </c>
    </row>
    <row r="74" spans="1:12">
      <c r="A74" s="1"/>
      <c r="B74" s="1">
        <v>827458</v>
      </c>
      <c r="C74" s="1" t="s">
        <v>283</v>
      </c>
      <c r="D74" s="1" t="s">
        <v>284</v>
      </c>
      <c r="E74" s="3" t="s">
        <v>285</v>
      </c>
      <c r="F74" s="1" t="s">
        <v>286</v>
      </c>
      <c r="G74" s="1" t="s">
        <v>15</v>
      </c>
      <c r="H74" s="1" t="s">
        <v>15</v>
      </c>
      <c r="I74" s="1" t="s">
        <v>15</v>
      </c>
      <c r="J74" s="1" t="s">
        <v>16</v>
      </c>
      <c r="K74" s="2"/>
      <c r="L74" s="5">
        <f>K74*93.92</f>
        <v>0</v>
      </c>
    </row>
    <row r="75" spans="1:12">
      <c r="A75" s="1"/>
      <c r="B75" s="1">
        <v>827459</v>
      </c>
      <c r="C75" s="1" t="s">
        <v>287</v>
      </c>
      <c r="D75" s="1" t="s">
        <v>288</v>
      </c>
      <c r="E75" s="3" t="s">
        <v>289</v>
      </c>
      <c r="F75" s="1" t="s">
        <v>290</v>
      </c>
      <c r="G75" s="1" t="s">
        <v>15</v>
      </c>
      <c r="H75" s="1" t="s">
        <v>15</v>
      </c>
      <c r="I75" s="1" t="s">
        <v>15</v>
      </c>
      <c r="J75" s="1" t="s">
        <v>16</v>
      </c>
      <c r="K75" s="2"/>
      <c r="L75" s="5">
        <f>K75*186.26</f>
        <v>0</v>
      </c>
    </row>
    <row r="76" spans="1:12">
      <c r="A76" s="1"/>
      <c r="B76" s="1">
        <v>827460</v>
      </c>
      <c r="C76" s="1" t="s">
        <v>291</v>
      </c>
      <c r="D76" s="1" t="s">
        <v>292</v>
      </c>
      <c r="E76" s="3" t="s">
        <v>293</v>
      </c>
      <c r="F76" s="1" t="s">
        <v>294</v>
      </c>
      <c r="G76" s="1" t="s">
        <v>15</v>
      </c>
      <c r="H76" s="1" t="s">
        <v>15</v>
      </c>
      <c r="I76" s="1" t="s">
        <v>15</v>
      </c>
      <c r="J76" s="1" t="s">
        <v>16</v>
      </c>
      <c r="K76" s="2"/>
      <c r="L76" s="5">
        <f>K76*125.77</f>
        <v>0</v>
      </c>
    </row>
    <row r="77" spans="1:12">
      <c r="A77" s="1"/>
      <c r="B77" s="1">
        <v>827461</v>
      </c>
      <c r="C77" s="1" t="s">
        <v>295</v>
      </c>
      <c r="D77" s="1" t="s">
        <v>296</v>
      </c>
      <c r="E77" s="3" t="s">
        <v>297</v>
      </c>
      <c r="F77" s="1" t="s">
        <v>298</v>
      </c>
      <c r="G77" s="1" t="s">
        <v>15</v>
      </c>
      <c r="H77" s="1" t="s">
        <v>15</v>
      </c>
      <c r="I77" s="1" t="s">
        <v>15</v>
      </c>
      <c r="J77" s="1" t="s">
        <v>16</v>
      </c>
      <c r="K77" s="2"/>
      <c r="L77" s="5">
        <f>K77*119.48</f>
        <v>0</v>
      </c>
    </row>
    <row r="78" spans="1:12">
      <c r="A78" s="1"/>
      <c r="B78" s="1">
        <v>827462</v>
      </c>
      <c r="C78" s="1" t="s">
        <v>299</v>
      </c>
      <c r="D78" s="1" t="s">
        <v>300</v>
      </c>
      <c r="E78" s="3" t="s">
        <v>301</v>
      </c>
      <c r="F78" s="1" t="s">
        <v>302</v>
      </c>
      <c r="G78" s="1" t="s">
        <v>15</v>
      </c>
      <c r="H78" s="1" t="s">
        <v>15</v>
      </c>
      <c r="I78" s="1" t="s">
        <v>15</v>
      </c>
      <c r="J78" s="1" t="s">
        <v>16</v>
      </c>
      <c r="K78" s="2"/>
      <c r="L78" s="5">
        <f>K78*124.03</f>
        <v>0</v>
      </c>
    </row>
    <row r="79" spans="1:12">
      <c r="A79" s="1"/>
      <c r="B79" s="1">
        <v>827463</v>
      </c>
      <c r="C79" s="1" t="s">
        <v>303</v>
      </c>
      <c r="D79" s="1" t="s">
        <v>304</v>
      </c>
      <c r="E79" s="3" t="s">
        <v>305</v>
      </c>
      <c r="F79" s="1" t="s">
        <v>306</v>
      </c>
      <c r="G79" s="1" t="s">
        <v>15</v>
      </c>
      <c r="H79" s="1" t="s">
        <v>15</v>
      </c>
      <c r="I79" s="1" t="s">
        <v>15</v>
      </c>
      <c r="J79" s="1" t="s">
        <v>16</v>
      </c>
      <c r="K79" s="2"/>
      <c r="L79" s="5">
        <f>K79*310.99</f>
        <v>0</v>
      </c>
    </row>
    <row r="80" spans="1:12">
      <c r="A80" s="1"/>
      <c r="B80" s="1">
        <v>827464</v>
      </c>
      <c r="C80" s="1" t="s">
        <v>307</v>
      </c>
      <c r="D80" s="1" t="s">
        <v>308</v>
      </c>
      <c r="E80" s="3" t="s">
        <v>309</v>
      </c>
      <c r="F80" s="1" t="s">
        <v>310</v>
      </c>
      <c r="G80" s="1" t="s">
        <v>15</v>
      </c>
      <c r="H80" s="1" t="s">
        <v>15</v>
      </c>
      <c r="I80" s="1" t="s">
        <v>15</v>
      </c>
      <c r="J80" s="1" t="s">
        <v>16</v>
      </c>
      <c r="K80" s="2"/>
      <c r="L80" s="5">
        <f>K80*186.71</f>
        <v>0</v>
      </c>
    </row>
    <row r="81" spans="1:12">
      <c r="A81" s="1"/>
      <c r="B81" s="1">
        <v>827465</v>
      </c>
      <c r="C81" s="1" t="s">
        <v>311</v>
      </c>
      <c r="D81" s="1" t="s">
        <v>312</v>
      </c>
      <c r="E81" s="3" t="s">
        <v>313</v>
      </c>
      <c r="F81" s="1" t="s">
        <v>314</v>
      </c>
      <c r="G81" s="1" t="s">
        <v>15</v>
      </c>
      <c r="H81" s="1" t="s">
        <v>15</v>
      </c>
      <c r="I81" s="1" t="s">
        <v>15</v>
      </c>
      <c r="J81" s="1" t="s">
        <v>16</v>
      </c>
      <c r="K81" s="2"/>
      <c r="L81" s="5">
        <f>K81*302.78</f>
        <v>0</v>
      </c>
    </row>
    <row r="82" spans="1:12">
      <c r="A82" s="1"/>
      <c r="B82" s="1">
        <v>827466</v>
      </c>
      <c r="C82" s="1" t="s">
        <v>315</v>
      </c>
      <c r="D82" s="1">
        <v>10008167</v>
      </c>
      <c r="E82" s="3" t="s">
        <v>316</v>
      </c>
      <c r="F82" s="1" t="s">
        <v>317</v>
      </c>
      <c r="G82" s="1" t="s">
        <v>15</v>
      </c>
      <c r="H82" s="1" t="s">
        <v>15</v>
      </c>
      <c r="I82" s="1" t="s">
        <v>15</v>
      </c>
      <c r="J82" s="1" t="s">
        <v>16</v>
      </c>
      <c r="K82" s="2"/>
      <c r="L82" s="5">
        <f>K82*0.00</f>
        <v>0</v>
      </c>
    </row>
    <row r="83" spans="1:12">
      <c r="A83" s="1"/>
      <c r="B83" s="1">
        <v>827467</v>
      </c>
      <c r="C83" s="1" t="s">
        <v>318</v>
      </c>
      <c r="D83" s="1" t="s">
        <v>319</v>
      </c>
      <c r="E83" s="3" t="s">
        <v>320</v>
      </c>
      <c r="F83" s="1" t="s">
        <v>321</v>
      </c>
      <c r="G83" s="1" t="s">
        <v>15</v>
      </c>
      <c r="H83" s="1" t="s">
        <v>15</v>
      </c>
      <c r="I83" s="1" t="s">
        <v>15</v>
      </c>
      <c r="J83" s="1" t="s">
        <v>16</v>
      </c>
      <c r="K83" s="2"/>
      <c r="L83" s="5">
        <f>K83*550.26</f>
        <v>0</v>
      </c>
    </row>
    <row r="84" spans="1:12">
      <c r="A84" s="1"/>
      <c r="B84" s="1">
        <v>827468</v>
      </c>
      <c r="C84" s="1" t="s">
        <v>322</v>
      </c>
      <c r="D84" s="1">
        <v>6175</v>
      </c>
      <c r="E84" s="3" t="s">
        <v>323</v>
      </c>
      <c r="F84" s="1" t="s">
        <v>324</v>
      </c>
      <c r="G84" s="1" t="s">
        <v>15</v>
      </c>
      <c r="H84" s="1" t="s">
        <v>15</v>
      </c>
      <c r="I84" s="1" t="s">
        <v>15</v>
      </c>
      <c r="J84" s="1" t="s">
        <v>16</v>
      </c>
      <c r="K84" s="2"/>
      <c r="L84" s="5">
        <f>K84*426.67</f>
        <v>0</v>
      </c>
    </row>
    <row r="85" spans="1:12">
      <c r="A85" s="1"/>
      <c r="B85" s="1">
        <v>827469</v>
      </c>
      <c r="C85" s="1" t="s">
        <v>325</v>
      </c>
      <c r="D85" s="1" t="s">
        <v>326</v>
      </c>
      <c r="E85" s="3" t="s">
        <v>327</v>
      </c>
      <c r="F85" s="1" t="s">
        <v>328</v>
      </c>
      <c r="G85" s="1" t="s">
        <v>15</v>
      </c>
      <c r="H85" s="1" t="s">
        <v>15</v>
      </c>
      <c r="I85" s="1" t="s">
        <v>15</v>
      </c>
      <c r="J85" s="1" t="s">
        <v>16</v>
      </c>
      <c r="K85" s="2"/>
      <c r="L85" s="5">
        <f>K85*718.68</f>
        <v>0</v>
      </c>
    </row>
    <row r="86" spans="1:12">
      <c r="A86" s="1"/>
      <c r="B86" s="1">
        <v>827470</v>
      </c>
      <c r="C86" s="1" t="s">
        <v>329</v>
      </c>
      <c r="D86" s="1">
        <v>6190</v>
      </c>
      <c r="E86" s="3" t="s">
        <v>330</v>
      </c>
      <c r="F86" s="1" t="s">
        <v>331</v>
      </c>
      <c r="G86" s="1" t="s">
        <v>15</v>
      </c>
      <c r="H86" s="1" t="s">
        <v>15</v>
      </c>
      <c r="I86" s="1" t="s">
        <v>15</v>
      </c>
      <c r="J86" s="1" t="s">
        <v>16</v>
      </c>
      <c r="K86" s="2"/>
      <c r="L86" s="5">
        <f>K86*743.29</f>
        <v>0</v>
      </c>
    </row>
    <row r="87" spans="1:12">
      <c r="A87" s="1"/>
      <c r="B87" s="1">
        <v>827471</v>
      </c>
      <c r="C87" s="1" t="s">
        <v>332</v>
      </c>
      <c r="D87" s="1">
        <v>10008186</v>
      </c>
      <c r="E87" s="3" t="s">
        <v>333</v>
      </c>
      <c r="F87" s="1" t="s">
        <v>317</v>
      </c>
      <c r="G87" s="1" t="s">
        <v>15</v>
      </c>
      <c r="H87" s="1" t="s">
        <v>15</v>
      </c>
      <c r="I87" s="1" t="s">
        <v>15</v>
      </c>
      <c r="J87" s="1" t="s">
        <v>16</v>
      </c>
      <c r="K87" s="2"/>
      <c r="L87" s="5">
        <f>K87*0.00</f>
        <v>0</v>
      </c>
    </row>
    <row r="88" spans="1:12">
      <c r="A88" s="1"/>
      <c r="B88" s="1">
        <v>827472</v>
      </c>
      <c r="C88" s="1" t="s">
        <v>334</v>
      </c>
      <c r="D88" s="1">
        <v>6191</v>
      </c>
      <c r="E88" s="3" t="s">
        <v>335</v>
      </c>
      <c r="F88" s="1" t="s">
        <v>336</v>
      </c>
      <c r="G88" s="1" t="s">
        <v>15</v>
      </c>
      <c r="H88" s="1" t="s">
        <v>15</v>
      </c>
      <c r="I88" s="1" t="s">
        <v>15</v>
      </c>
      <c r="J88" s="1" t="s">
        <v>16</v>
      </c>
      <c r="K88" s="2"/>
      <c r="L88" s="5">
        <f>K88*750.45</f>
        <v>0</v>
      </c>
    </row>
    <row r="89" spans="1:12">
      <c r="A89" s="1"/>
      <c r="B89" s="1">
        <v>827473</v>
      </c>
      <c r="C89" s="1" t="s">
        <v>337</v>
      </c>
      <c r="D89" s="1" t="s">
        <v>338</v>
      </c>
      <c r="E89" s="3" t="s">
        <v>339</v>
      </c>
      <c r="F89" s="1" t="s">
        <v>340</v>
      </c>
      <c r="G89" s="1" t="s">
        <v>15</v>
      </c>
      <c r="H89" s="1" t="s">
        <v>15</v>
      </c>
      <c r="I89" s="1" t="s">
        <v>15</v>
      </c>
      <c r="J89" s="1" t="s">
        <v>16</v>
      </c>
      <c r="K89" s="2"/>
      <c r="L89" s="5">
        <f>K89*1053.31</f>
        <v>0</v>
      </c>
    </row>
    <row r="90" spans="1:12">
      <c r="A90" s="1"/>
      <c r="B90" s="1">
        <v>827474</v>
      </c>
      <c r="C90" s="1" t="s">
        <v>341</v>
      </c>
      <c r="D90" s="1">
        <v>10008195</v>
      </c>
      <c r="E90" s="3" t="s">
        <v>342</v>
      </c>
      <c r="F90" s="1" t="s">
        <v>317</v>
      </c>
      <c r="G90" s="1" t="s">
        <v>15</v>
      </c>
      <c r="H90" s="1" t="s">
        <v>15</v>
      </c>
      <c r="I90" s="1" t="s">
        <v>15</v>
      </c>
      <c r="J90" s="1" t="s">
        <v>16</v>
      </c>
      <c r="K90" s="2"/>
      <c r="L90" s="5">
        <f>K90*0.00</f>
        <v>0</v>
      </c>
    </row>
    <row r="91" spans="1:12">
      <c r="A91" s="1"/>
      <c r="B91" s="1">
        <v>827475</v>
      </c>
      <c r="C91" s="1" t="s">
        <v>343</v>
      </c>
      <c r="D91" s="1">
        <v>10008196</v>
      </c>
      <c r="E91" s="3" t="s">
        <v>344</v>
      </c>
      <c r="F91" s="1" t="s">
        <v>317</v>
      </c>
      <c r="G91" s="1" t="s">
        <v>15</v>
      </c>
      <c r="H91" s="1" t="s">
        <v>15</v>
      </c>
      <c r="I91" s="1" t="s">
        <v>15</v>
      </c>
      <c r="J91" s="1" t="s">
        <v>16</v>
      </c>
      <c r="K91" s="2"/>
      <c r="L91" s="5">
        <f>K91*0.00</f>
        <v>0</v>
      </c>
    </row>
    <row r="92" spans="1:12">
      <c r="A92" s="1"/>
      <c r="B92" s="1">
        <v>827476</v>
      </c>
      <c r="C92" s="1" t="s">
        <v>345</v>
      </c>
      <c r="D92" s="1" t="s">
        <v>346</v>
      </c>
      <c r="E92" s="3" t="s">
        <v>347</v>
      </c>
      <c r="F92" s="1" t="s">
        <v>348</v>
      </c>
      <c r="G92" s="1" t="s">
        <v>15</v>
      </c>
      <c r="H92" s="1" t="s">
        <v>15</v>
      </c>
      <c r="I92" s="1" t="s">
        <v>15</v>
      </c>
      <c r="J92" s="1" t="s">
        <v>16</v>
      </c>
      <c r="K92" s="2"/>
      <c r="L92" s="5">
        <f>K92*1145.06</f>
        <v>0</v>
      </c>
    </row>
    <row r="93" spans="1:12">
      <c r="A93" s="1"/>
      <c r="B93" s="1">
        <v>827477</v>
      </c>
      <c r="C93" s="1" t="s">
        <v>349</v>
      </c>
      <c r="D93" s="1" t="s">
        <v>350</v>
      </c>
      <c r="E93" s="3" t="s">
        <v>351</v>
      </c>
      <c r="F93" s="1" t="s">
        <v>352</v>
      </c>
      <c r="G93" s="1" t="s">
        <v>15</v>
      </c>
      <c r="H93" s="1" t="s">
        <v>15</v>
      </c>
      <c r="I93" s="1" t="s">
        <v>15</v>
      </c>
      <c r="J93" s="1" t="s">
        <v>16</v>
      </c>
      <c r="K93" s="2"/>
      <c r="L93" s="5">
        <f>K93*1066.03</f>
        <v>0</v>
      </c>
    </row>
    <row r="94" spans="1:12">
      <c r="A94" s="1"/>
      <c r="B94" s="1">
        <v>827478</v>
      </c>
      <c r="C94" s="1" t="s">
        <v>353</v>
      </c>
      <c r="D94" s="1" t="s">
        <v>354</v>
      </c>
      <c r="E94" s="3" t="s">
        <v>355</v>
      </c>
      <c r="F94" s="1" t="s">
        <v>356</v>
      </c>
      <c r="G94" s="1" t="s">
        <v>15</v>
      </c>
      <c r="H94" s="1" t="s">
        <v>15</v>
      </c>
      <c r="I94" s="1" t="s">
        <v>15</v>
      </c>
      <c r="J94" s="1" t="s">
        <v>16</v>
      </c>
      <c r="K94" s="2"/>
      <c r="L94" s="5">
        <f>K94*37.36</f>
        <v>0</v>
      </c>
    </row>
    <row r="95" spans="1:12">
      <c r="A95" s="1"/>
      <c r="B95" s="1">
        <v>827479</v>
      </c>
      <c r="C95" s="1" t="s">
        <v>357</v>
      </c>
      <c r="D95" s="1" t="s">
        <v>358</v>
      </c>
      <c r="E95" s="3" t="s">
        <v>359</v>
      </c>
      <c r="F95" s="1" t="s">
        <v>360</v>
      </c>
      <c r="G95" s="1" t="s">
        <v>15</v>
      </c>
      <c r="H95" s="1" t="s">
        <v>15</v>
      </c>
      <c r="I95" s="1" t="s">
        <v>15</v>
      </c>
      <c r="J95" s="1" t="s">
        <v>16</v>
      </c>
      <c r="K95" s="2"/>
      <c r="L95" s="5">
        <f>K95*27.15</f>
        <v>0</v>
      </c>
    </row>
    <row r="96" spans="1:12">
      <c r="A96" s="1"/>
      <c r="B96" s="1">
        <v>827480</v>
      </c>
      <c r="C96" s="1" t="s">
        <v>361</v>
      </c>
      <c r="D96" s="1" t="s">
        <v>362</v>
      </c>
      <c r="E96" s="3" t="s">
        <v>363</v>
      </c>
      <c r="F96" s="1" t="s">
        <v>364</v>
      </c>
      <c r="G96" s="1" t="s">
        <v>15</v>
      </c>
      <c r="H96" s="1" t="s">
        <v>15</v>
      </c>
      <c r="I96" s="1" t="s">
        <v>15</v>
      </c>
      <c r="J96" s="1" t="s">
        <v>16</v>
      </c>
      <c r="K96" s="2"/>
      <c r="L96" s="5">
        <f>K96*28.81</f>
        <v>0</v>
      </c>
    </row>
    <row r="97" spans="1:12">
      <c r="A97" s="1"/>
      <c r="B97" s="1">
        <v>827481</v>
      </c>
      <c r="C97" s="1" t="s">
        <v>365</v>
      </c>
      <c r="D97" s="1" t="s">
        <v>366</v>
      </c>
      <c r="E97" s="3" t="s">
        <v>367</v>
      </c>
      <c r="F97" s="1" t="s">
        <v>368</v>
      </c>
      <c r="G97" s="1" t="s">
        <v>15</v>
      </c>
      <c r="H97" s="1" t="s">
        <v>15</v>
      </c>
      <c r="I97" s="1" t="s">
        <v>15</v>
      </c>
      <c r="J97" s="1" t="s">
        <v>16</v>
      </c>
      <c r="K97" s="2"/>
      <c r="L97" s="5">
        <f>K97*45.43</f>
        <v>0</v>
      </c>
    </row>
    <row r="98" spans="1:12">
      <c r="A98" s="1"/>
      <c r="B98" s="1">
        <v>827482</v>
      </c>
      <c r="C98" s="1" t="s">
        <v>369</v>
      </c>
      <c r="D98" s="1" t="s">
        <v>370</v>
      </c>
      <c r="E98" s="3" t="s">
        <v>371</v>
      </c>
      <c r="F98" s="1" t="s">
        <v>372</v>
      </c>
      <c r="G98" s="1" t="s">
        <v>15</v>
      </c>
      <c r="H98" s="1" t="s">
        <v>15</v>
      </c>
      <c r="I98" s="1" t="s">
        <v>15</v>
      </c>
      <c r="J98" s="1" t="s">
        <v>16</v>
      </c>
      <c r="K98" s="2"/>
      <c r="L98" s="5">
        <f>K98*42.87</f>
        <v>0</v>
      </c>
    </row>
    <row r="99" spans="1:12">
      <c r="A99" s="1"/>
      <c r="B99" s="1">
        <v>827483</v>
      </c>
      <c r="C99" s="1" t="s">
        <v>373</v>
      </c>
      <c r="D99" s="1" t="s">
        <v>374</v>
      </c>
      <c r="E99" s="3" t="s">
        <v>375</v>
      </c>
      <c r="F99" s="1" t="s">
        <v>130</v>
      </c>
      <c r="G99" s="1" t="s">
        <v>15</v>
      </c>
      <c r="H99" s="1" t="s">
        <v>15</v>
      </c>
      <c r="I99" s="1" t="s">
        <v>15</v>
      </c>
      <c r="J99" s="1" t="s">
        <v>16</v>
      </c>
      <c r="K99" s="2"/>
      <c r="L99" s="5">
        <f>K99*44.21</f>
        <v>0</v>
      </c>
    </row>
    <row r="100" spans="1:12">
      <c r="A100" s="1"/>
      <c r="B100" s="1">
        <v>827484</v>
      </c>
      <c r="C100" s="1" t="s">
        <v>376</v>
      </c>
      <c r="D100" s="1" t="s">
        <v>377</v>
      </c>
      <c r="E100" s="3" t="s">
        <v>378</v>
      </c>
      <c r="F100" s="1" t="s">
        <v>379</v>
      </c>
      <c r="G100" s="1" t="s">
        <v>15</v>
      </c>
      <c r="H100" s="1" t="s">
        <v>15</v>
      </c>
      <c r="I100" s="1" t="s">
        <v>15</v>
      </c>
      <c r="J100" s="1" t="s">
        <v>16</v>
      </c>
      <c r="K100" s="2"/>
      <c r="L100" s="5">
        <f>K100*70.92</f>
        <v>0</v>
      </c>
    </row>
    <row r="101" spans="1:12">
      <c r="A101" s="1"/>
      <c r="B101" s="1">
        <v>827485</v>
      </c>
      <c r="C101" s="1" t="s">
        <v>380</v>
      </c>
      <c r="D101" s="1" t="s">
        <v>381</v>
      </c>
      <c r="E101" s="3" t="s">
        <v>382</v>
      </c>
      <c r="F101" s="1" t="s">
        <v>383</v>
      </c>
      <c r="G101" s="1" t="s">
        <v>15</v>
      </c>
      <c r="H101" s="1" t="s">
        <v>15</v>
      </c>
      <c r="I101" s="1" t="s">
        <v>15</v>
      </c>
      <c r="J101" s="1" t="s">
        <v>16</v>
      </c>
      <c r="K101" s="2"/>
      <c r="L101" s="5">
        <f>K101*72.03</f>
        <v>0</v>
      </c>
    </row>
    <row r="102" spans="1:12">
      <c r="A102" s="1"/>
      <c r="B102" s="1">
        <v>827486</v>
      </c>
      <c r="C102" s="1" t="s">
        <v>384</v>
      </c>
      <c r="D102" s="1" t="s">
        <v>385</v>
      </c>
      <c r="E102" s="3" t="s">
        <v>386</v>
      </c>
      <c r="F102" s="1" t="s">
        <v>387</v>
      </c>
      <c r="G102" s="1" t="s">
        <v>15</v>
      </c>
      <c r="H102" s="1" t="s">
        <v>15</v>
      </c>
      <c r="I102" s="1" t="s">
        <v>15</v>
      </c>
      <c r="J102" s="1" t="s">
        <v>16</v>
      </c>
      <c r="K102" s="2"/>
      <c r="L102" s="5">
        <f>K102*69.81</f>
        <v>0</v>
      </c>
    </row>
    <row r="103" spans="1:12">
      <c r="A103" s="1"/>
      <c r="B103" s="1">
        <v>827487</v>
      </c>
      <c r="C103" s="1" t="s">
        <v>388</v>
      </c>
      <c r="D103" s="1" t="s">
        <v>389</v>
      </c>
      <c r="E103" s="3" t="s">
        <v>390</v>
      </c>
      <c r="F103" s="1" t="s">
        <v>379</v>
      </c>
      <c r="G103" s="1" t="s">
        <v>15</v>
      </c>
      <c r="H103" s="1" t="s">
        <v>15</v>
      </c>
      <c r="I103" s="1" t="s">
        <v>15</v>
      </c>
      <c r="J103" s="1" t="s">
        <v>16</v>
      </c>
      <c r="K103" s="2"/>
      <c r="L103" s="5">
        <f>K103*70.92</f>
        <v>0</v>
      </c>
    </row>
    <row r="104" spans="1:12">
      <c r="A104" s="1"/>
      <c r="B104" s="1">
        <v>827488</v>
      </c>
      <c r="C104" s="1" t="s">
        <v>391</v>
      </c>
      <c r="D104" s="1" t="s">
        <v>392</v>
      </c>
      <c r="E104" s="3" t="s">
        <v>393</v>
      </c>
      <c r="F104" s="1" t="s">
        <v>394</v>
      </c>
      <c r="G104" s="1" t="s">
        <v>15</v>
      </c>
      <c r="H104" s="1" t="s">
        <v>15</v>
      </c>
      <c r="I104" s="1" t="s">
        <v>15</v>
      </c>
      <c r="J104" s="1" t="s">
        <v>16</v>
      </c>
      <c r="K104" s="2"/>
      <c r="L104" s="5">
        <f>K104*69.12</f>
        <v>0</v>
      </c>
    </row>
    <row r="105" spans="1:12">
      <c r="A105" s="1"/>
      <c r="B105" s="1">
        <v>827489</v>
      </c>
      <c r="C105" s="1" t="s">
        <v>395</v>
      </c>
      <c r="D105" s="1" t="s">
        <v>396</v>
      </c>
      <c r="E105" s="3" t="s">
        <v>397</v>
      </c>
      <c r="F105" s="1" t="s">
        <v>398</v>
      </c>
      <c r="G105" s="1" t="s">
        <v>15</v>
      </c>
      <c r="H105" s="1" t="s">
        <v>15</v>
      </c>
      <c r="I105" s="1" t="s">
        <v>15</v>
      </c>
      <c r="J105" s="1" t="s">
        <v>16</v>
      </c>
      <c r="K105" s="2"/>
      <c r="L105" s="5">
        <f>K105*128.65</f>
        <v>0</v>
      </c>
    </row>
    <row r="106" spans="1:12">
      <c r="A106" s="1"/>
      <c r="B106" s="1">
        <v>827490</v>
      </c>
      <c r="C106" s="1" t="s">
        <v>399</v>
      </c>
      <c r="D106" s="1" t="s">
        <v>400</v>
      </c>
      <c r="E106" s="3" t="s">
        <v>401</v>
      </c>
      <c r="F106" s="1" t="s">
        <v>402</v>
      </c>
      <c r="G106" s="1" t="s">
        <v>15</v>
      </c>
      <c r="H106" s="1" t="s">
        <v>15</v>
      </c>
      <c r="I106" s="1" t="s">
        <v>15</v>
      </c>
      <c r="J106" s="1" t="s">
        <v>16</v>
      </c>
      <c r="K106" s="2"/>
      <c r="L106" s="5">
        <f>K106*72.94</f>
        <v>0</v>
      </c>
    </row>
    <row r="107" spans="1:12">
      <c r="A107" s="1"/>
      <c r="B107" s="1">
        <v>827491</v>
      </c>
      <c r="C107" s="1" t="s">
        <v>403</v>
      </c>
      <c r="D107" s="1" t="s">
        <v>404</v>
      </c>
      <c r="E107" s="3" t="s">
        <v>405</v>
      </c>
      <c r="F107" s="1" t="s">
        <v>406</v>
      </c>
      <c r="G107" s="1" t="s">
        <v>15</v>
      </c>
      <c r="H107" s="1" t="s">
        <v>15</v>
      </c>
      <c r="I107" s="1" t="s">
        <v>15</v>
      </c>
      <c r="J107" s="1" t="s">
        <v>16</v>
      </c>
      <c r="K107" s="2"/>
      <c r="L107" s="5">
        <f>K107*106.12</f>
        <v>0</v>
      </c>
    </row>
    <row r="108" spans="1:12">
      <c r="A108" s="1"/>
      <c r="B108" s="1">
        <v>827492</v>
      </c>
      <c r="C108" s="1" t="s">
        <v>407</v>
      </c>
      <c r="D108" s="1" t="s">
        <v>408</v>
      </c>
      <c r="E108" s="3" t="s">
        <v>409</v>
      </c>
      <c r="F108" s="1" t="s">
        <v>410</v>
      </c>
      <c r="G108" s="1" t="s">
        <v>15</v>
      </c>
      <c r="H108" s="1" t="s">
        <v>15</v>
      </c>
      <c r="I108" s="1" t="s">
        <v>15</v>
      </c>
      <c r="J108" s="1" t="s">
        <v>16</v>
      </c>
      <c r="K108" s="2"/>
      <c r="L108" s="5">
        <f>K108*176.38</f>
        <v>0</v>
      </c>
    </row>
    <row r="109" spans="1:12">
      <c r="A109" s="1"/>
      <c r="B109" s="1">
        <v>827493</v>
      </c>
      <c r="C109" s="1" t="s">
        <v>411</v>
      </c>
      <c r="D109" s="1" t="s">
        <v>412</v>
      </c>
      <c r="E109" s="3" t="s">
        <v>413</v>
      </c>
      <c r="F109" s="1" t="s">
        <v>414</v>
      </c>
      <c r="G109" s="1" t="s">
        <v>15</v>
      </c>
      <c r="H109" s="1" t="s">
        <v>15</v>
      </c>
      <c r="I109" s="1" t="s">
        <v>15</v>
      </c>
      <c r="J109" s="1" t="s">
        <v>16</v>
      </c>
      <c r="K109" s="2"/>
      <c r="L109" s="5">
        <f>K109*123.12</f>
        <v>0</v>
      </c>
    </row>
    <row r="110" spans="1:12">
      <c r="A110" s="1"/>
      <c r="B110" s="1">
        <v>827494</v>
      </c>
      <c r="C110" s="1" t="s">
        <v>415</v>
      </c>
      <c r="D110" s="1" t="s">
        <v>416</v>
      </c>
      <c r="E110" s="3" t="s">
        <v>417</v>
      </c>
      <c r="F110" s="1" t="s">
        <v>418</v>
      </c>
      <c r="G110" s="1" t="s">
        <v>15</v>
      </c>
      <c r="H110" s="1" t="s">
        <v>15</v>
      </c>
      <c r="I110" s="1" t="s">
        <v>15</v>
      </c>
      <c r="J110" s="1" t="s">
        <v>16</v>
      </c>
      <c r="K110" s="2"/>
      <c r="L110" s="5">
        <f>K110*112.81</f>
        <v>0</v>
      </c>
    </row>
    <row r="111" spans="1:12">
      <c r="A111" s="1"/>
      <c r="B111" s="1">
        <v>827495</v>
      </c>
      <c r="C111" s="1" t="s">
        <v>419</v>
      </c>
      <c r="D111" s="1" t="s">
        <v>420</v>
      </c>
      <c r="E111" s="3" t="s">
        <v>421</v>
      </c>
      <c r="F111" s="1" t="s">
        <v>422</v>
      </c>
      <c r="G111" s="1" t="s">
        <v>15</v>
      </c>
      <c r="H111" s="1" t="s">
        <v>15</v>
      </c>
      <c r="I111" s="1" t="s">
        <v>15</v>
      </c>
      <c r="J111" s="1" t="s">
        <v>16</v>
      </c>
      <c r="K111" s="2"/>
      <c r="L111" s="5">
        <f>K111*185.78</f>
        <v>0</v>
      </c>
    </row>
    <row r="112" spans="1:12">
      <c r="A112" s="1"/>
      <c r="B112" s="1">
        <v>827496</v>
      </c>
      <c r="C112" s="1" t="s">
        <v>423</v>
      </c>
      <c r="D112" s="1" t="s">
        <v>424</v>
      </c>
      <c r="E112" s="3" t="s">
        <v>425</v>
      </c>
      <c r="F112" s="1" t="s">
        <v>426</v>
      </c>
      <c r="G112" s="1" t="s">
        <v>15</v>
      </c>
      <c r="H112" s="1" t="s">
        <v>15</v>
      </c>
      <c r="I112" s="1" t="s">
        <v>15</v>
      </c>
      <c r="J112" s="1" t="s">
        <v>16</v>
      </c>
      <c r="K112" s="2"/>
      <c r="L112" s="5">
        <f>K112*243.26</f>
        <v>0</v>
      </c>
    </row>
    <row r="113" spans="1:12">
      <c r="A113" s="1"/>
      <c r="B113" s="1">
        <v>827497</v>
      </c>
      <c r="C113" s="1" t="s">
        <v>427</v>
      </c>
      <c r="D113" s="1" t="s">
        <v>428</v>
      </c>
      <c r="E113" s="3" t="s">
        <v>429</v>
      </c>
      <c r="F113" s="1" t="s">
        <v>430</v>
      </c>
      <c r="G113" s="1" t="s">
        <v>15</v>
      </c>
      <c r="H113" s="1" t="s">
        <v>15</v>
      </c>
      <c r="I113" s="1" t="s">
        <v>15</v>
      </c>
      <c r="J113" s="1" t="s">
        <v>16</v>
      </c>
      <c r="K113" s="2"/>
      <c r="L113" s="5">
        <f>K113*202.61</f>
        <v>0</v>
      </c>
    </row>
    <row r="114" spans="1:12">
      <c r="A114" s="1"/>
      <c r="B114" s="1">
        <v>827498</v>
      </c>
      <c r="C114" s="1" t="s">
        <v>431</v>
      </c>
      <c r="D114" s="1" t="s">
        <v>432</v>
      </c>
      <c r="E114" s="3" t="s">
        <v>433</v>
      </c>
      <c r="F114" s="1" t="s">
        <v>434</v>
      </c>
      <c r="G114" s="1" t="s">
        <v>15</v>
      </c>
      <c r="H114" s="1" t="s">
        <v>15</v>
      </c>
      <c r="I114" s="1" t="s">
        <v>15</v>
      </c>
      <c r="J114" s="1" t="s">
        <v>16</v>
      </c>
      <c r="K114" s="2"/>
      <c r="L114" s="5">
        <f>K114*195.26</f>
        <v>0</v>
      </c>
    </row>
    <row r="115" spans="1:12">
      <c r="A115" s="1"/>
      <c r="B115" s="1">
        <v>827499</v>
      </c>
      <c r="C115" s="1" t="s">
        <v>435</v>
      </c>
      <c r="D115" s="1" t="s">
        <v>436</v>
      </c>
      <c r="E115" s="3" t="s">
        <v>437</v>
      </c>
      <c r="F115" s="1" t="s">
        <v>438</v>
      </c>
      <c r="G115" s="1" t="s">
        <v>15</v>
      </c>
      <c r="H115" s="1" t="s">
        <v>15</v>
      </c>
      <c r="I115" s="1" t="s">
        <v>15</v>
      </c>
      <c r="J115" s="1" t="s">
        <v>16</v>
      </c>
      <c r="K115" s="2"/>
      <c r="L115" s="5">
        <f>K115*270.99</f>
        <v>0</v>
      </c>
    </row>
    <row r="116" spans="1:12">
      <c r="A116" s="1"/>
      <c r="B116" s="1">
        <v>827500</v>
      </c>
      <c r="C116" s="1" t="s">
        <v>439</v>
      </c>
      <c r="D116" s="1" t="s">
        <v>440</v>
      </c>
      <c r="E116" s="3" t="s">
        <v>441</v>
      </c>
      <c r="F116" s="1" t="s">
        <v>442</v>
      </c>
      <c r="G116" s="1" t="s">
        <v>15</v>
      </c>
      <c r="H116" s="1" t="s">
        <v>15</v>
      </c>
      <c r="I116" s="1" t="s">
        <v>15</v>
      </c>
      <c r="J116" s="1" t="s">
        <v>16</v>
      </c>
      <c r="K116" s="2"/>
      <c r="L116" s="5">
        <f>K116*487.88</f>
        <v>0</v>
      </c>
    </row>
    <row r="117" spans="1:12">
      <c r="A117" s="1"/>
      <c r="B117" s="1">
        <v>827501</v>
      </c>
      <c r="C117" s="1" t="s">
        <v>443</v>
      </c>
      <c r="D117" s="1" t="s">
        <v>444</v>
      </c>
      <c r="E117" s="3" t="s">
        <v>445</v>
      </c>
      <c r="F117" s="1" t="s">
        <v>446</v>
      </c>
      <c r="G117" s="1" t="s">
        <v>15</v>
      </c>
      <c r="H117" s="1" t="s">
        <v>15</v>
      </c>
      <c r="I117" s="1" t="s">
        <v>15</v>
      </c>
      <c r="J117" s="1" t="s">
        <v>16</v>
      </c>
      <c r="K117" s="2"/>
      <c r="L117" s="5">
        <f>K117*490.74</f>
        <v>0</v>
      </c>
    </row>
    <row r="118" spans="1:12">
      <c r="A118" s="1"/>
      <c r="B118" s="1">
        <v>827502</v>
      </c>
      <c r="C118" s="1" t="s">
        <v>447</v>
      </c>
      <c r="D118" s="1" t="s">
        <v>448</v>
      </c>
      <c r="E118" s="3" t="s">
        <v>449</v>
      </c>
      <c r="F118" s="1" t="s">
        <v>450</v>
      </c>
      <c r="G118" s="1" t="s">
        <v>15</v>
      </c>
      <c r="H118" s="1" t="s">
        <v>15</v>
      </c>
      <c r="I118" s="1" t="s">
        <v>15</v>
      </c>
      <c r="J118" s="1" t="s">
        <v>16</v>
      </c>
      <c r="K118" s="2"/>
      <c r="L118" s="5">
        <f>K118*497.90</f>
        <v>0</v>
      </c>
    </row>
    <row r="119" spans="1:12">
      <c r="A119" s="1"/>
      <c r="B119" s="1">
        <v>827503</v>
      </c>
      <c r="C119" s="1" t="s">
        <v>451</v>
      </c>
      <c r="D119" s="1">
        <v>10001086</v>
      </c>
      <c r="E119" s="3" t="s">
        <v>452</v>
      </c>
      <c r="F119" s="1" t="s">
        <v>317</v>
      </c>
      <c r="G119" s="1" t="s">
        <v>15</v>
      </c>
      <c r="H119" s="1" t="s">
        <v>15</v>
      </c>
      <c r="I119" s="1" t="s">
        <v>15</v>
      </c>
      <c r="J119" s="1" t="s">
        <v>16</v>
      </c>
      <c r="K119" s="2"/>
      <c r="L119" s="5">
        <f>K119*0.00</f>
        <v>0</v>
      </c>
    </row>
    <row r="120" spans="1:12">
      <c r="A120" s="1"/>
      <c r="B120" s="1">
        <v>827504</v>
      </c>
      <c r="C120" s="1" t="s">
        <v>453</v>
      </c>
      <c r="D120" s="1">
        <v>6091</v>
      </c>
      <c r="E120" s="3" t="s">
        <v>454</v>
      </c>
      <c r="F120" s="1" t="s">
        <v>455</v>
      </c>
      <c r="G120" s="1" t="s">
        <v>15</v>
      </c>
      <c r="H120" s="1" t="s">
        <v>15</v>
      </c>
      <c r="I120" s="1" t="s">
        <v>15</v>
      </c>
      <c r="J120" s="1" t="s">
        <v>16</v>
      </c>
      <c r="K120" s="2"/>
      <c r="L120" s="5">
        <f>K120*733.68</f>
        <v>0</v>
      </c>
    </row>
    <row r="121" spans="1:12">
      <c r="A121" s="1"/>
      <c r="B121" s="1">
        <v>827505</v>
      </c>
      <c r="C121" s="1" t="s">
        <v>456</v>
      </c>
      <c r="D121" s="1" t="s">
        <v>457</v>
      </c>
      <c r="E121" s="3" t="s">
        <v>458</v>
      </c>
      <c r="F121" s="1" t="s">
        <v>459</v>
      </c>
      <c r="G121" s="1" t="s">
        <v>15</v>
      </c>
      <c r="H121" s="1" t="s">
        <v>15</v>
      </c>
      <c r="I121" s="1" t="s">
        <v>15</v>
      </c>
      <c r="J121" s="1" t="s">
        <v>16</v>
      </c>
      <c r="K121" s="2"/>
      <c r="L121" s="5">
        <f>K121*759.06</f>
        <v>0</v>
      </c>
    </row>
    <row r="122" spans="1:12">
      <c r="A122" s="1"/>
      <c r="B122" s="1">
        <v>827506</v>
      </c>
      <c r="C122" s="1" t="s">
        <v>460</v>
      </c>
      <c r="D122" s="1">
        <v>10001089</v>
      </c>
      <c r="E122" s="3" t="s">
        <v>461</v>
      </c>
      <c r="F122" s="1" t="s">
        <v>317</v>
      </c>
      <c r="G122" s="1" t="s">
        <v>15</v>
      </c>
      <c r="H122" s="1" t="s">
        <v>15</v>
      </c>
      <c r="I122" s="1" t="s">
        <v>15</v>
      </c>
      <c r="J122" s="1" t="s">
        <v>16</v>
      </c>
      <c r="K122" s="2"/>
      <c r="L122" s="5">
        <f>K122*0.00</f>
        <v>0</v>
      </c>
    </row>
    <row r="123" spans="1:12">
      <c r="A123" s="1"/>
      <c r="B123" s="1">
        <v>827507</v>
      </c>
      <c r="C123" s="1" t="s">
        <v>462</v>
      </c>
      <c r="D123" s="1">
        <v>10001095</v>
      </c>
      <c r="E123" s="3" t="s">
        <v>463</v>
      </c>
      <c r="F123" s="1" t="s">
        <v>317</v>
      </c>
      <c r="G123" s="1" t="s">
        <v>15</v>
      </c>
      <c r="H123" s="1" t="s">
        <v>15</v>
      </c>
      <c r="I123" s="1" t="s">
        <v>15</v>
      </c>
      <c r="J123" s="1" t="s">
        <v>16</v>
      </c>
      <c r="K123" s="2"/>
      <c r="L123" s="5">
        <f>K123*0.00</f>
        <v>0</v>
      </c>
    </row>
    <row r="124" spans="1:12">
      <c r="A124" s="1"/>
      <c r="B124" s="1">
        <v>827508</v>
      </c>
      <c r="C124" s="1" t="s">
        <v>464</v>
      </c>
      <c r="D124" s="1">
        <v>10001096</v>
      </c>
      <c r="E124" s="3" t="s">
        <v>465</v>
      </c>
      <c r="F124" s="1" t="s">
        <v>317</v>
      </c>
      <c r="G124" s="1" t="s">
        <v>15</v>
      </c>
      <c r="H124" s="1" t="s">
        <v>15</v>
      </c>
      <c r="I124" s="1" t="s">
        <v>15</v>
      </c>
      <c r="J124" s="1" t="s">
        <v>16</v>
      </c>
      <c r="K124" s="2"/>
      <c r="L124" s="5">
        <f>K124*0.00</f>
        <v>0</v>
      </c>
    </row>
    <row r="125" spans="1:12">
      <c r="A125" s="1"/>
      <c r="B125" s="1">
        <v>827509</v>
      </c>
      <c r="C125" s="1" t="s">
        <v>466</v>
      </c>
      <c r="D125" s="1" t="s">
        <v>467</v>
      </c>
      <c r="E125" s="3" t="s">
        <v>468</v>
      </c>
      <c r="F125" s="1" t="s">
        <v>469</v>
      </c>
      <c r="G125" s="1" t="s">
        <v>15</v>
      </c>
      <c r="H125" s="1" t="s">
        <v>15</v>
      </c>
      <c r="I125" s="1" t="s">
        <v>15</v>
      </c>
      <c r="J125" s="1" t="s">
        <v>16</v>
      </c>
      <c r="K125" s="2"/>
      <c r="L125" s="5">
        <f>K125*1495.09</f>
        <v>0</v>
      </c>
    </row>
    <row r="126" spans="1:12">
      <c r="A126" s="1"/>
      <c r="B126" s="1">
        <v>827510</v>
      </c>
      <c r="C126" s="1" t="s">
        <v>470</v>
      </c>
      <c r="D126" s="1" t="s">
        <v>471</v>
      </c>
      <c r="E126" s="3" t="s">
        <v>472</v>
      </c>
      <c r="F126" s="1" t="s">
        <v>473</v>
      </c>
      <c r="G126" s="1" t="s">
        <v>15</v>
      </c>
      <c r="H126" s="1" t="s">
        <v>15</v>
      </c>
      <c r="I126" s="1" t="s">
        <v>15</v>
      </c>
      <c r="J126" s="1" t="s">
        <v>16</v>
      </c>
      <c r="K126" s="2"/>
      <c r="L126" s="5">
        <f>K126*1199.59</f>
        <v>0</v>
      </c>
    </row>
    <row r="127" spans="1:12">
      <c r="A127" s="1"/>
      <c r="B127" s="1">
        <v>827511</v>
      </c>
      <c r="C127" s="1" t="s">
        <v>474</v>
      </c>
      <c r="D127" s="1" t="s">
        <v>475</v>
      </c>
      <c r="E127" s="3" t="s">
        <v>476</v>
      </c>
      <c r="F127" s="1" t="s">
        <v>477</v>
      </c>
      <c r="G127" s="1" t="s">
        <v>15</v>
      </c>
      <c r="H127" s="1" t="s">
        <v>15</v>
      </c>
      <c r="I127" s="1" t="s">
        <v>15</v>
      </c>
      <c r="J127" s="1" t="s">
        <v>16</v>
      </c>
      <c r="K127" s="2"/>
      <c r="L127" s="5">
        <f>K127*49.58</f>
        <v>0</v>
      </c>
    </row>
    <row r="128" spans="1:12">
      <c r="A128" s="1"/>
      <c r="B128" s="1">
        <v>827512</v>
      </c>
      <c r="C128" s="1" t="s">
        <v>478</v>
      </c>
      <c r="D128" s="1" t="s">
        <v>479</v>
      </c>
      <c r="E128" s="3" t="s">
        <v>480</v>
      </c>
      <c r="F128" s="1" t="s">
        <v>262</v>
      </c>
      <c r="G128" s="1" t="s">
        <v>15</v>
      </c>
      <c r="H128" s="1" t="s">
        <v>15</v>
      </c>
      <c r="I128" s="1" t="s">
        <v>15</v>
      </c>
      <c r="J128" s="1" t="s">
        <v>16</v>
      </c>
      <c r="K128" s="2"/>
      <c r="L128" s="5">
        <f>K128*77.71</f>
        <v>0</v>
      </c>
    </row>
    <row r="129" spans="1:12">
      <c r="A129" s="1"/>
      <c r="B129" s="1">
        <v>827513</v>
      </c>
      <c r="C129" s="1" t="s">
        <v>481</v>
      </c>
      <c r="D129" s="1" t="s">
        <v>482</v>
      </c>
      <c r="E129" s="3" t="s">
        <v>483</v>
      </c>
      <c r="F129" s="1" t="s">
        <v>167</v>
      </c>
      <c r="G129" s="1" t="s">
        <v>15</v>
      </c>
      <c r="H129" s="1" t="s">
        <v>15</v>
      </c>
      <c r="I129" s="1" t="s">
        <v>15</v>
      </c>
      <c r="J129" s="1" t="s">
        <v>16</v>
      </c>
      <c r="K129" s="2"/>
      <c r="L129" s="5">
        <f>K129*119.24</f>
        <v>0</v>
      </c>
    </row>
    <row r="130" spans="1:12">
      <c r="A130" s="1"/>
      <c r="B130" s="1">
        <v>827514</v>
      </c>
      <c r="C130" s="1" t="s">
        <v>484</v>
      </c>
      <c r="D130" s="1" t="s">
        <v>485</v>
      </c>
      <c r="E130" s="3" t="s">
        <v>486</v>
      </c>
      <c r="F130" s="1" t="s">
        <v>487</v>
      </c>
      <c r="G130" s="1" t="s">
        <v>15</v>
      </c>
      <c r="H130" s="1" t="s">
        <v>15</v>
      </c>
      <c r="I130" s="1" t="s">
        <v>15</v>
      </c>
      <c r="J130" s="1" t="s">
        <v>16</v>
      </c>
      <c r="K130" s="2"/>
      <c r="L130" s="5">
        <f>K130*121.61</f>
        <v>0</v>
      </c>
    </row>
    <row r="131" spans="1:12">
      <c r="A131" s="1"/>
      <c r="B131" s="1">
        <v>827515</v>
      </c>
      <c r="C131" s="1" t="s">
        <v>488</v>
      </c>
      <c r="D131" s="1" t="s">
        <v>489</v>
      </c>
      <c r="E131" s="3" t="s">
        <v>490</v>
      </c>
      <c r="F131" s="1" t="s">
        <v>491</v>
      </c>
      <c r="G131" s="1" t="s">
        <v>15</v>
      </c>
      <c r="H131" s="1" t="s">
        <v>15</v>
      </c>
      <c r="I131" s="1" t="s">
        <v>15</v>
      </c>
      <c r="J131" s="1" t="s">
        <v>16</v>
      </c>
      <c r="K131" s="2"/>
      <c r="L131" s="5">
        <f>K131*213.84</f>
        <v>0</v>
      </c>
    </row>
    <row r="132" spans="1:12">
      <c r="A132" s="1"/>
      <c r="B132" s="1">
        <v>827516</v>
      </c>
      <c r="C132" s="1" t="s">
        <v>492</v>
      </c>
      <c r="D132" s="1" t="s">
        <v>493</v>
      </c>
      <c r="E132" s="3" t="s">
        <v>494</v>
      </c>
      <c r="F132" s="1" t="s">
        <v>495</v>
      </c>
      <c r="G132" s="1" t="s">
        <v>15</v>
      </c>
      <c r="H132" s="1" t="s">
        <v>15</v>
      </c>
      <c r="I132" s="1" t="s">
        <v>15</v>
      </c>
      <c r="J132" s="1" t="s">
        <v>16</v>
      </c>
      <c r="K132" s="2"/>
      <c r="L132" s="5">
        <f>K132*353.16</f>
        <v>0</v>
      </c>
    </row>
    <row r="133" spans="1:12">
      <c r="A133" s="1"/>
      <c r="B133" s="1">
        <v>827517</v>
      </c>
      <c r="C133" s="1" t="s">
        <v>496</v>
      </c>
      <c r="D133" s="1" t="s">
        <v>497</v>
      </c>
      <c r="E133" s="3" t="s">
        <v>498</v>
      </c>
      <c r="F133" s="1" t="s">
        <v>499</v>
      </c>
      <c r="G133" s="1" t="s">
        <v>15</v>
      </c>
      <c r="H133" s="1" t="s">
        <v>15</v>
      </c>
      <c r="I133" s="1" t="s">
        <v>15</v>
      </c>
      <c r="J133" s="1" t="s">
        <v>16</v>
      </c>
      <c r="K133" s="2"/>
      <c r="L133" s="5">
        <f>K133*874.77</f>
        <v>0</v>
      </c>
    </row>
    <row r="134" spans="1:12">
      <c r="A134" s="1"/>
      <c r="B134" s="1">
        <v>827518</v>
      </c>
      <c r="C134" s="1" t="s">
        <v>500</v>
      </c>
      <c r="D134" s="1" t="s">
        <v>501</v>
      </c>
      <c r="E134" s="3" t="s">
        <v>502</v>
      </c>
      <c r="F134" s="1" t="s">
        <v>503</v>
      </c>
      <c r="G134" s="1" t="s">
        <v>15</v>
      </c>
      <c r="H134" s="1" t="s">
        <v>15</v>
      </c>
      <c r="I134" s="1" t="s">
        <v>15</v>
      </c>
      <c r="J134" s="1" t="s">
        <v>16</v>
      </c>
      <c r="K134" s="2"/>
      <c r="L134" s="5">
        <f>K134*1400.04</f>
        <v>0</v>
      </c>
    </row>
    <row r="135" spans="1:12">
      <c r="A135" s="1"/>
      <c r="B135" s="1">
        <v>827519</v>
      </c>
      <c r="C135" s="1" t="s">
        <v>504</v>
      </c>
      <c r="D135" s="1" t="s">
        <v>505</v>
      </c>
      <c r="E135" s="3" t="s">
        <v>506</v>
      </c>
      <c r="F135" s="1" t="s">
        <v>507</v>
      </c>
      <c r="G135" s="1" t="s">
        <v>15</v>
      </c>
      <c r="H135" s="1" t="s">
        <v>15</v>
      </c>
      <c r="I135" s="1" t="s">
        <v>15</v>
      </c>
      <c r="J135" s="1" t="s">
        <v>16</v>
      </c>
      <c r="K135" s="2"/>
      <c r="L135" s="5">
        <f>K135*2238.77</f>
        <v>0</v>
      </c>
    </row>
    <row r="136" spans="1:12">
      <c r="A136" s="1"/>
      <c r="B136" s="1">
        <v>827520</v>
      </c>
      <c r="C136" s="1" t="s">
        <v>508</v>
      </c>
      <c r="D136" s="1" t="s">
        <v>479</v>
      </c>
      <c r="E136" s="3" t="s">
        <v>509</v>
      </c>
      <c r="F136" s="1" t="s">
        <v>477</v>
      </c>
      <c r="G136" s="1" t="s">
        <v>15</v>
      </c>
      <c r="H136" s="1" t="s">
        <v>15</v>
      </c>
      <c r="I136" s="1" t="s">
        <v>15</v>
      </c>
      <c r="J136" s="1" t="s">
        <v>16</v>
      </c>
      <c r="K136" s="2"/>
      <c r="L136" s="5">
        <f>K136*49.58</f>
        <v>0</v>
      </c>
    </row>
    <row r="137" spans="1:12">
      <c r="A137" s="1"/>
      <c r="B137" s="1">
        <v>827521</v>
      </c>
      <c r="C137" s="1" t="s">
        <v>510</v>
      </c>
      <c r="D137" s="1" t="s">
        <v>511</v>
      </c>
      <c r="E137" s="3" t="s">
        <v>512</v>
      </c>
      <c r="F137" s="1" t="s">
        <v>513</v>
      </c>
      <c r="G137" s="1" t="s">
        <v>15</v>
      </c>
      <c r="H137" s="1" t="s">
        <v>15</v>
      </c>
      <c r="I137" s="1" t="s">
        <v>15</v>
      </c>
      <c r="J137" s="1" t="s">
        <v>16</v>
      </c>
      <c r="K137" s="2"/>
      <c r="L137" s="5">
        <f>K137*76.37</f>
        <v>0</v>
      </c>
    </row>
    <row r="138" spans="1:12">
      <c r="A138" s="1"/>
      <c r="B138" s="1">
        <v>827522</v>
      </c>
      <c r="C138" s="1" t="s">
        <v>514</v>
      </c>
      <c r="D138" s="1" t="s">
        <v>515</v>
      </c>
      <c r="E138" s="3" t="s">
        <v>516</v>
      </c>
      <c r="F138" s="1" t="s">
        <v>517</v>
      </c>
      <c r="G138" s="1" t="s">
        <v>15</v>
      </c>
      <c r="H138" s="1" t="s">
        <v>15</v>
      </c>
      <c r="I138" s="1" t="s">
        <v>15</v>
      </c>
      <c r="J138" s="1" t="s">
        <v>16</v>
      </c>
      <c r="K138" s="2"/>
      <c r="L138" s="5">
        <f>K138*126.32</f>
        <v>0</v>
      </c>
    </row>
    <row r="139" spans="1:12">
      <c r="A139" s="1"/>
      <c r="B139" s="1">
        <v>827523</v>
      </c>
      <c r="C139" s="1" t="s">
        <v>518</v>
      </c>
      <c r="D139" s="1" t="s">
        <v>519</v>
      </c>
      <c r="E139" s="3" t="s">
        <v>520</v>
      </c>
      <c r="F139" s="1" t="s">
        <v>521</v>
      </c>
      <c r="G139" s="1" t="s">
        <v>15</v>
      </c>
      <c r="H139" s="1" t="s">
        <v>15</v>
      </c>
      <c r="I139" s="1" t="s">
        <v>15</v>
      </c>
      <c r="J139" s="1" t="s">
        <v>16</v>
      </c>
      <c r="K139" s="2"/>
      <c r="L139" s="5">
        <f>K139*134.78</f>
        <v>0</v>
      </c>
    </row>
    <row r="140" spans="1:12">
      <c r="A140" s="1"/>
      <c r="B140" s="1">
        <v>827524</v>
      </c>
      <c r="C140" s="1" t="s">
        <v>522</v>
      </c>
      <c r="D140" s="1" t="s">
        <v>523</v>
      </c>
      <c r="E140" s="3" t="s">
        <v>524</v>
      </c>
      <c r="F140" s="1" t="s">
        <v>525</v>
      </c>
      <c r="G140" s="1" t="s">
        <v>15</v>
      </c>
      <c r="H140" s="1" t="s">
        <v>15</v>
      </c>
      <c r="I140" s="1" t="s">
        <v>15</v>
      </c>
      <c r="J140" s="1" t="s">
        <v>16</v>
      </c>
      <c r="K140" s="2"/>
      <c r="L140" s="5">
        <f>K140*243.00</f>
        <v>0</v>
      </c>
    </row>
    <row r="141" spans="1:12">
      <c r="A141" s="1"/>
      <c r="B141" s="1">
        <v>827525</v>
      </c>
      <c r="C141" s="1" t="s">
        <v>526</v>
      </c>
      <c r="D141" s="1" t="s">
        <v>527</v>
      </c>
      <c r="E141" s="3" t="s">
        <v>528</v>
      </c>
      <c r="F141" s="1" t="s">
        <v>529</v>
      </c>
      <c r="G141" s="1" t="s">
        <v>15</v>
      </c>
      <c r="H141" s="1" t="s">
        <v>15</v>
      </c>
      <c r="I141" s="1" t="s">
        <v>15</v>
      </c>
      <c r="J141" s="1" t="s">
        <v>16</v>
      </c>
      <c r="K141" s="2"/>
      <c r="L141" s="5">
        <f>K141*360.47</f>
        <v>0</v>
      </c>
    </row>
    <row r="142" spans="1:12">
      <c r="A142" s="1"/>
      <c r="B142" s="1">
        <v>827526</v>
      </c>
      <c r="C142" s="1" t="s">
        <v>530</v>
      </c>
      <c r="D142" s="1" t="s">
        <v>531</v>
      </c>
      <c r="E142" s="3" t="s">
        <v>532</v>
      </c>
      <c r="F142" s="1" t="s">
        <v>533</v>
      </c>
      <c r="G142" s="1" t="s">
        <v>15</v>
      </c>
      <c r="H142" s="1" t="s">
        <v>15</v>
      </c>
      <c r="I142" s="1" t="s">
        <v>15</v>
      </c>
      <c r="J142" s="1" t="s">
        <v>16</v>
      </c>
      <c r="K142" s="2"/>
      <c r="L142" s="5">
        <f>K142*945.31</f>
        <v>0</v>
      </c>
    </row>
    <row r="143" spans="1:12">
      <c r="A143" s="1"/>
      <c r="B143" s="1">
        <v>827527</v>
      </c>
      <c r="C143" s="1" t="s">
        <v>534</v>
      </c>
      <c r="D143" s="1" t="s">
        <v>535</v>
      </c>
      <c r="E143" s="3" t="s">
        <v>536</v>
      </c>
      <c r="F143" s="1" t="s">
        <v>537</v>
      </c>
      <c r="G143" s="1" t="s">
        <v>15</v>
      </c>
      <c r="H143" s="1" t="s">
        <v>15</v>
      </c>
      <c r="I143" s="1" t="s">
        <v>15</v>
      </c>
      <c r="J143" s="1" t="s">
        <v>16</v>
      </c>
      <c r="K143" s="2"/>
      <c r="L143" s="5">
        <f>K143*1519.04</f>
        <v>0</v>
      </c>
    </row>
    <row r="144" spans="1:12">
      <c r="A144" s="1"/>
      <c r="B144" s="1">
        <v>827528</v>
      </c>
      <c r="C144" s="1" t="s">
        <v>538</v>
      </c>
      <c r="D144" s="1" t="s">
        <v>539</v>
      </c>
      <c r="E144" s="3" t="s">
        <v>540</v>
      </c>
      <c r="F144" s="1" t="s">
        <v>541</v>
      </c>
      <c r="G144" s="1" t="s">
        <v>15</v>
      </c>
      <c r="H144" s="1" t="s">
        <v>15</v>
      </c>
      <c r="I144" s="1" t="s">
        <v>15</v>
      </c>
      <c r="J144" s="1" t="s">
        <v>16</v>
      </c>
      <c r="K144" s="2"/>
      <c r="L144" s="5">
        <f>K144*2348.98</f>
        <v>0</v>
      </c>
    </row>
    <row r="145" spans="1:12">
      <c r="A145" s="1"/>
      <c r="B145" s="1">
        <v>827529</v>
      </c>
      <c r="C145" s="1" t="s">
        <v>542</v>
      </c>
      <c r="D145" s="1" t="s">
        <v>543</v>
      </c>
      <c r="E145" s="3" t="s">
        <v>544</v>
      </c>
      <c r="F145" s="1" t="s">
        <v>545</v>
      </c>
      <c r="G145" s="1" t="s">
        <v>15</v>
      </c>
      <c r="H145" s="1" t="s">
        <v>15</v>
      </c>
      <c r="I145" s="1" t="s">
        <v>15</v>
      </c>
      <c r="J145" s="1" t="s">
        <v>16</v>
      </c>
      <c r="K145" s="2"/>
      <c r="L145" s="5">
        <f>K145*40.19</f>
        <v>0</v>
      </c>
    </row>
    <row r="146" spans="1:12">
      <c r="A146" s="1"/>
      <c r="B146" s="1">
        <v>827530</v>
      </c>
      <c r="C146" s="1" t="s">
        <v>546</v>
      </c>
      <c r="D146" s="1" t="s">
        <v>547</v>
      </c>
      <c r="E146" s="3" t="s">
        <v>548</v>
      </c>
      <c r="F146" s="1" t="s">
        <v>549</v>
      </c>
      <c r="G146" s="1" t="s">
        <v>15</v>
      </c>
      <c r="H146" s="1" t="s">
        <v>15</v>
      </c>
      <c r="I146" s="1" t="s">
        <v>15</v>
      </c>
      <c r="J146" s="1" t="s">
        <v>16</v>
      </c>
      <c r="K146" s="2"/>
      <c r="L146" s="5">
        <f>K146*46.89</f>
        <v>0</v>
      </c>
    </row>
    <row r="147" spans="1:12">
      <c r="A147" s="1"/>
      <c r="B147" s="1">
        <v>827531</v>
      </c>
      <c r="C147" s="1" t="s">
        <v>550</v>
      </c>
      <c r="D147" s="1" t="s">
        <v>551</v>
      </c>
      <c r="E147" s="3" t="s">
        <v>552</v>
      </c>
      <c r="F147" s="1" t="s">
        <v>553</v>
      </c>
      <c r="G147" s="1" t="s">
        <v>15</v>
      </c>
      <c r="H147" s="1" t="s">
        <v>15</v>
      </c>
      <c r="I147" s="1" t="s">
        <v>15</v>
      </c>
      <c r="J147" s="1" t="s">
        <v>16</v>
      </c>
      <c r="K147" s="2"/>
      <c r="L147" s="5">
        <f>K147*51.80</f>
        <v>0</v>
      </c>
    </row>
    <row r="148" spans="1:12">
      <c r="A148" s="1"/>
      <c r="B148" s="1">
        <v>827532</v>
      </c>
      <c r="C148" s="1" t="s">
        <v>554</v>
      </c>
      <c r="D148" s="1" t="s">
        <v>555</v>
      </c>
      <c r="E148" s="3" t="s">
        <v>556</v>
      </c>
      <c r="F148" s="1" t="s">
        <v>160</v>
      </c>
      <c r="G148" s="1" t="s">
        <v>15</v>
      </c>
      <c r="H148" s="1" t="s">
        <v>15</v>
      </c>
      <c r="I148" s="1" t="s">
        <v>15</v>
      </c>
      <c r="J148" s="1" t="s">
        <v>16</v>
      </c>
      <c r="K148" s="2"/>
      <c r="L148" s="5">
        <f>K148*66.99</f>
        <v>0</v>
      </c>
    </row>
    <row r="149" spans="1:12">
      <c r="A149" s="1"/>
      <c r="B149" s="1">
        <v>827533</v>
      </c>
      <c r="C149" s="1" t="s">
        <v>557</v>
      </c>
      <c r="D149" s="1" t="s">
        <v>558</v>
      </c>
      <c r="E149" s="3" t="s">
        <v>559</v>
      </c>
      <c r="F149" s="1" t="s">
        <v>560</v>
      </c>
      <c r="G149" s="1" t="s">
        <v>15</v>
      </c>
      <c r="H149" s="1" t="s">
        <v>15</v>
      </c>
      <c r="I149" s="1" t="s">
        <v>15</v>
      </c>
      <c r="J149" s="1" t="s">
        <v>16</v>
      </c>
      <c r="K149" s="2"/>
      <c r="L149" s="5">
        <f>K149*53.59</f>
        <v>0</v>
      </c>
    </row>
    <row r="150" spans="1:12">
      <c r="A150" s="1"/>
      <c r="B150" s="1">
        <v>827534</v>
      </c>
      <c r="C150" s="1" t="s">
        <v>561</v>
      </c>
      <c r="D150" s="1" t="s">
        <v>562</v>
      </c>
      <c r="E150" s="3" t="s">
        <v>563</v>
      </c>
      <c r="F150" s="1" t="s">
        <v>560</v>
      </c>
      <c r="G150" s="1" t="s">
        <v>15</v>
      </c>
      <c r="H150" s="1" t="s">
        <v>15</v>
      </c>
      <c r="I150" s="1" t="s">
        <v>15</v>
      </c>
      <c r="J150" s="1" t="s">
        <v>16</v>
      </c>
      <c r="K150" s="2"/>
      <c r="L150" s="5">
        <f>K150*53.59</f>
        <v>0</v>
      </c>
    </row>
    <row r="151" spans="1:12">
      <c r="A151" s="1"/>
      <c r="B151" s="1">
        <v>827535</v>
      </c>
      <c r="C151" s="1" t="s">
        <v>564</v>
      </c>
      <c r="D151" s="1" t="s">
        <v>565</v>
      </c>
      <c r="E151" s="3" t="s">
        <v>566</v>
      </c>
      <c r="F151" s="1" t="s">
        <v>567</v>
      </c>
      <c r="G151" s="1" t="s">
        <v>15</v>
      </c>
      <c r="H151" s="1" t="s">
        <v>15</v>
      </c>
      <c r="I151" s="1" t="s">
        <v>15</v>
      </c>
      <c r="J151" s="1" t="s">
        <v>16</v>
      </c>
      <c r="K151" s="2"/>
      <c r="L151" s="5">
        <f>K151*58.40</f>
        <v>0</v>
      </c>
    </row>
    <row r="152" spans="1:12">
      <c r="A152" s="1"/>
      <c r="B152" s="1">
        <v>827536</v>
      </c>
      <c r="C152" s="1" t="s">
        <v>568</v>
      </c>
      <c r="D152" s="1" t="s">
        <v>569</v>
      </c>
      <c r="E152" s="3" t="s">
        <v>570</v>
      </c>
      <c r="F152" s="1" t="s">
        <v>571</v>
      </c>
      <c r="G152" s="1" t="s">
        <v>15</v>
      </c>
      <c r="H152" s="1" t="s">
        <v>15</v>
      </c>
      <c r="I152" s="1" t="s">
        <v>15</v>
      </c>
      <c r="J152" s="1" t="s">
        <v>16</v>
      </c>
      <c r="K152" s="2"/>
      <c r="L152" s="5">
        <f>K152*94.01</f>
        <v>0</v>
      </c>
    </row>
    <row r="153" spans="1:12">
      <c r="A153" s="1"/>
      <c r="B153" s="1">
        <v>827537</v>
      </c>
      <c r="C153" s="1" t="s">
        <v>572</v>
      </c>
      <c r="D153" s="1" t="s">
        <v>573</v>
      </c>
      <c r="E153" s="3" t="s">
        <v>574</v>
      </c>
      <c r="F153" s="1" t="s">
        <v>575</v>
      </c>
      <c r="G153" s="1" t="s">
        <v>15</v>
      </c>
      <c r="H153" s="1" t="s">
        <v>15</v>
      </c>
      <c r="I153" s="1" t="s">
        <v>15</v>
      </c>
      <c r="J153" s="1" t="s">
        <v>16</v>
      </c>
      <c r="K153" s="2"/>
      <c r="L153" s="5">
        <f>K153*91.29</f>
        <v>0</v>
      </c>
    </row>
    <row r="154" spans="1:12">
      <c r="A154" s="1"/>
      <c r="B154" s="1">
        <v>827538</v>
      </c>
      <c r="C154" s="1" t="s">
        <v>576</v>
      </c>
      <c r="D154" s="1">
        <v>10008534</v>
      </c>
      <c r="E154" s="3" t="s">
        <v>577</v>
      </c>
      <c r="F154" s="1" t="s">
        <v>578</v>
      </c>
      <c r="G154" s="1" t="s">
        <v>15</v>
      </c>
      <c r="H154" s="1" t="s">
        <v>15</v>
      </c>
      <c r="I154" s="1" t="s">
        <v>15</v>
      </c>
      <c r="J154" s="1" t="s">
        <v>16</v>
      </c>
      <c r="K154" s="2"/>
      <c r="L154" s="5">
        <f>K154*72.24</f>
        <v>0</v>
      </c>
    </row>
    <row r="155" spans="1:12">
      <c r="A155" s="1"/>
      <c r="B155" s="1">
        <v>827539</v>
      </c>
      <c r="C155" s="1" t="s">
        <v>579</v>
      </c>
      <c r="D155" s="1" t="s">
        <v>580</v>
      </c>
      <c r="E155" s="3" t="s">
        <v>581</v>
      </c>
      <c r="F155" s="1" t="s">
        <v>582</v>
      </c>
      <c r="G155" s="1" t="s">
        <v>15</v>
      </c>
      <c r="H155" s="1" t="s">
        <v>15</v>
      </c>
      <c r="I155" s="1" t="s">
        <v>15</v>
      </c>
      <c r="J155" s="1" t="s">
        <v>16</v>
      </c>
      <c r="K155" s="2"/>
      <c r="L155" s="5">
        <f>K155*110.18</f>
        <v>0</v>
      </c>
    </row>
    <row r="156" spans="1:12">
      <c r="A156" s="1"/>
      <c r="B156" s="1">
        <v>827540</v>
      </c>
      <c r="C156" s="1" t="s">
        <v>583</v>
      </c>
      <c r="D156" s="1" t="s">
        <v>584</v>
      </c>
      <c r="E156" s="3" t="s">
        <v>585</v>
      </c>
      <c r="F156" s="1" t="s">
        <v>586</v>
      </c>
      <c r="G156" s="1" t="s">
        <v>15</v>
      </c>
      <c r="H156" s="1" t="s">
        <v>15</v>
      </c>
      <c r="I156" s="1" t="s">
        <v>15</v>
      </c>
      <c r="J156" s="1" t="s">
        <v>16</v>
      </c>
      <c r="K156" s="2"/>
      <c r="L156" s="5">
        <f>K156*97.20</f>
        <v>0</v>
      </c>
    </row>
    <row r="157" spans="1:12">
      <c r="A157" s="1"/>
      <c r="B157" s="1">
        <v>827541</v>
      </c>
      <c r="C157" s="1" t="s">
        <v>587</v>
      </c>
      <c r="D157" s="1">
        <v>10008545</v>
      </c>
      <c r="E157" s="3" t="s">
        <v>588</v>
      </c>
      <c r="F157" s="1" t="s">
        <v>317</v>
      </c>
      <c r="G157" s="1" t="s">
        <v>15</v>
      </c>
      <c r="H157" s="1" t="s">
        <v>15</v>
      </c>
      <c r="I157" s="1" t="s">
        <v>15</v>
      </c>
      <c r="J157" s="1" t="s">
        <v>16</v>
      </c>
      <c r="K157" s="2"/>
      <c r="L157" s="5">
        <f>K157*0.00</f>
        <v>0</v>
      </c>
    </row>
    <row r="158" spans="1:12">
      <c r="A158" s="1"/>
      <c r="B158" s="1">
        <v>827542</v>
      </c>
      <c r="C158" s="1" t="s">
        <v>589</v>
      </c>
      <c r="D158" s="1" t="s">
        <v>590</v>
      </c>
      <c r="E158" s="3" t="s">
        <v>591</v>
      </c>
      <c r="F158" s="1" t="s">
        <v>592</v>
      </c>
      <c r="G158" s="1" t="s">
        <v>15</v>
      </c>
      <c r="H158" s="1" t="s">
        <v>15</v>
      </c>
      <c r="I158" s="1" t="s">
        <v>15</v>
      </c>
      <c r="J158" s="1" t="s">
        <v>16</v>
      </c>
      <c r="K158" s="2"/>
      <c r="L158" s="5">
        <f>K158*240.70</f>
        <v>0</v>
      </c>
    </row>
    <row r="159" spans="1:12">
      <c r="A159" s="1"/>
      <c r="B159" s="1">
        <v>827543</v>
      </c>
      <c r="C159" s="1" t="s">
        <v>593</v>
      </c>
      <c r="D159" s="1" t="s">
        <v>594</v>
      </c>
      <c r="E159" s="3" t="s">
        <v>595</v>
      </c>
      <c r="F159" s="1" t="s">
        <v>596</v>
      </c>
      <c r="G159" s="1" t="s">
        <v>15</v>
      </c>
      <c r="H159" s="1" t="s">
        <v>15</v>
      </c>
      <c r="I159" s="1" t="s">
        <v>15</v>
      </c>
      <c r="J159" s="1" t="s">
        <v>16</v>
      </c>
      <c r="K159" s="2"/>
      <c r="L159" s="5">
        <f>K159*158.17</f>
        <v>0</v>
      </c>
    </row>
    <row r="160" spans="1:12">
      <c r="A160" s="1"/>
      <c r="B160" s="1">
        <v>827544</v>
      </c>
      <c r="C160" s="1" t="s">
        <v>597</v>
      </c>
      <c r="D160" s="1" t="s">
        <v>598</v>
      </c>
      <c r="E160" s="3" t="s">
        <v>599</v>
      </c>
      <c r="F160" s="1" t="s">
        <v>600</v>
      </c>
      <c r="G160" s="1" t="s">
        <v>15</v>
      </c>
      <c r="H160" s="1" t="s">
        <v>15</v>
      </c>
      <c r="I160" s="1" t="s">
        <v>15</v>
      </c>
      <c r="J160" s="1" t="s">
        <v>16</v>
      </c>
      <c r="K160" s="2"/>
      <c r="L160" s="5">
        <f>K160*222.43</f>
        <v>0</v>
      </c>
    </row>
    <row r="161" spans="1:12">
      <c r="A161" s="1"/>
      <c r="B161" s="1">
        <v>827545</v>
      </c>
      <c r="C161" s="1" t="s">
        <v>601</v>
      </c>
      <c r="D161" s="1">
        <v>8251</v>
      </c>
      <c r="E161" s="3" t="s">
        <v>602</v>
      </c>
      <c r="F161" s="1" t="s">
        <v>603</v>
      </c>
      <c r="G161" s="1" t="s">
        <v>15</v>
      </c>
      <c r="H161" s="1" t="s">
        <v>15</v>
      </c>
      <c r="I161" s="1" t="s">
        <v>15</v>
      </c>
      <c r="J161" s="1" t="s">
        <v>16</v>
      </c>
      <c r="K161" s="2"/>
      <c r="L161" s="5">
        <f>K161*343.50</f>
        <v>0</v>
      </c>
    </row>
    <row r="162" spans="1:12">
      <c r="A162" s="1"/>
      <c r="B162" s="1">
        <v>827546</v>
      </c>
      <c r="C162" s="1" t="s">
        <v>604</v>
      </c>
      <c r="D162" s="1" t="s">
        <v>605</v>
      </c>
      <c r="E162" s="3" t="s">
        <v>606</v>
      </c>
      <c r="F162" s="1" t="s">
        <v>607</v>
      </c>
      <c r="G162" s="1" t="s">
        <v>15</v>
      </c>
      <c r="H162" s="1" t="s">
        <v>15</v>
      </c>
      <c r="I162" s="1" t="s">
        <v>15</v>
      </c>
      <c r="J162" s="1" t="s">
        <v>16</v>
      </c>
      <c r="K162" s="2"/>
      <c r="L162" s="5">
        <f>K162*370.67</f>
        <v>0</v>
      </c>
    </row>
    <row r="163" spans="1:12">
      <c r="A163" s="1"/>
      <c r="B163" s="1">
        <v>827547</v>
      </c>
      <c r="C163" s="1" t="s">
        <v>608</v>
      </c>
      <c r="D163" s="1" t="s">
        <v>609</v>
      </c>
      <c r="E163" s="3" t="s">
        <v>610</v>
      </c>
      <c r="F163" s="1" t="s">
        <v>611</v>
      </c>
      <c r="G163" s="1" t="s">
        <v>15</v>
      </c>
      <c r="H163" s="1" t="s">
        <v>15</v>
      </c>
      <c r="I163" s="1" t="s">
        <v>15</v>
      </c>
      <c r="J163" s="1" t="s">
        <v>16</v>
      </c>
      <c r="K163" s="2"/>
      <c r="L163" s="5">
        <f>K163*409.99</f>
        <v>0</v>
      </c>
    </row>
    <row r="164" spans="1:12">
      <c r="A164" s="1"/>
      <c r="B164" s="1">
        <v>827548</v>
      </c>
      <c r="C164" s="1" t="s">
        <v>612</v>
      </c>
      <c r="D164" s="1" t="s">
        <v>613</v>
      </c>
      <c r="E164" s="3" t="s">
        <v>614</v>
      </c>
      <c r="F164" s="1" t="s">
        <v>615</v>
      </c>
      <c r="G164" s="1" t="s">
        <v>15</v>
      </c>
      <c r="H164" s="1" t="s">
        <v>15</v>
      </c>
      <c r="I164" s="1" t="s">
        <v>15</v>
      </c>
      <c r="J164" s="1" t="s">
        <v>16</v>
      </c>
      <c r="K164" s="2"/>
      <c r="L164" s="5">
        <f>K164*262.96</f>
        <v>0</v>
      </c>
    </row>
    <row r="165" spans="1:12">
      <c r="A165" s="1"/>
      <c r="B165" s="1">
        <v>827549</v>
      </c>
      <c r="C165" s="1" t="s">
        <v>616</v>
      </c>
      <c r="D165" s="1">
        <v>10008567</v>
      </c>
      <c r="E165" s="3" t="s">
        <v>617</v>
      </c>
      <c r="F165" s="1" t="s">
        <v>317</v>
      </c>
      <c r="G165" s="1" t="s">
        <v>15</v>
      </c>
      <c r="H165" s="1" t="s">
        <v>15</v>
      </c>
      <c r="I165" s="1" t="s">
        <v>15</v>
      </c>
      <c r="J165" s="1" t="s">
        <v>16</v>
      </c>
      <c r="K165" s="2"/>
      <c r="L165" s="5">
        <f>K165*0.00</f>
        <v>0</v>
      </c>
    </row>
    <row r="166" spans="1:12">
      <c r="A166" s="1"/>
      <c r="B166" s="1">
        <v>827550</v>
      </c>
      <c r="C166" s="1" t="s">
        <v>618</v>
      </c>
      <c r="D166" s="1" t="s">
        <v>619</v>
      </c>
      <c r="E166" s="3" t="s">
        <v>620</v>
      </c>
      <c r="F166" s="1" t="s">
        <v>621</v>
      </c>
      <c r="G166" s="1" t="s">
        <v>15</v>
      </c>
      <c r="H166" s="1" t="s">
        <v>15</v>
      </c>
      <c r="I166" s="1" t="s">
        <v>15</v>
      </c>
      <c r="J166" s="1" t="s">
        <v>16</v>
      </c>
      <c r="K166" s="2"/>
      <c r="L166" s="5">
        <f>K166*921.53</f>
        <v>0</v>
      </c>
    </row>
    <row r="167" spans="1:12">
      <c r="A167" s="1"/>
      <c r="B167" s="1">
        <v>827551</v>
      </c>
      <c r="C167" s="1" t="s">
        <v>622</v>
      </c>
      <c r="D167" s="1" t="s">
        <v>623</v>
      </c>
      <c r="E167" s="3" t="s">
        <v>624</v>
      </c>
      <c r="F167" s="1" t="s">
        <v>625</v>
      </c>
      <c r="G167" s="1" t="s">
        <v>15</v>
      </c>
      <c r="H167" s="1" t="s">
        <v>15</v>
      </c>
      <c r="I167" s="1" t="s">
        <v>15</v>
      </c>
      <c r="J167" s="1" t="s">
        <v>16</v>
      </c>
      <c r="K167" s="2"/>
      <c r="L167" s="5">
        <f>K167*671.54</f>
        <v>0</v>
      </c>
    </row>
    <row r="168" spans="1:12">
      <c r="A168" s="1"/>
      <c r="B168" s="1">
        <v>827552</v>
      </c>
      <c r="C168" s="1" t="s">
        <v>626</v>
      </c>
      <c r="D168" s="1" t="s">
        <v>627</v>
      </c>
      <c r="E168" s="3" t="s">
        <v>628</v>
      </c>
      <c r="F168" s="1" t="s">
        <v>629</v>
      </c>
      <c r="G168" s="1" t="s">
        <v>15</v>
      </c>
      <c r="H168" s="1" t="s">
        <v>15</v>
      </c>
      <c r="I168" s="1" t="s">
        <v>15</v>
      </c>
      <c r="J168" s="1" t="s">
        <v>16</v>
      </c>
      <c r="K168" s="2"/>
      <c r="L168" s="5">
        <f>K168*701.66</f>
        <v>0</v>
      </c>
    </row>
    <row r="169" spans="1:12">
      <c r="A169" s="1"/>
      <c r="B169" s="1">
        <v>827553</v>
      </c>
      <c r="C169" s="1" t="s">
        <v>630</v>
      </c>
      <c r="D169" s="1">
        <v>8277</v>
      </c>
      <c r="E169" s="3" t="s">
        <v>631</v>
      </c>
      <c r="F169" s="1" t="s">
        <v>632</v>
      </c>
      <c r="G169" s="1" t="s">
        <v>15</v>
      </c>
      <c r="H169" s="1" t="s">
        <v>15</v>
      </c>
      <c r="I169" s="1" t="s">
        <v>15</v>
      </c>
      <c r="J169" s="1" t="s">
        <v>16</v>
      </c>
      <c r="K169" s="2"/>
      <c r="L169" s="5">
        <f>K169*1100.51</f>
        <v>0</v>
      </c>
    </row>
    <row r="170" spans="1:12">
      <c r="A170" s="1"/>
      <c r="B170" s="1">
        <v>827554</v>
      </c>
      <c r="C170" s="1" t="s">
        <v>633</v>
      </c>
      <c r="D170" s="1">
        <v>8290</v>
      </c>
      <c r="E170" s="3" t="s">
        <v>634</v>
      </c>
      <c r="F170" s="1" t="s">
        <v>635</v>
      </c>
      <c r="G170" s="1" t="s">
        <v>15</v>
      </c>
      <c r="H170" s="1" t="s">
        <v>15</v>
      </c>
      <c r="I170" s="1" t="s">
        <v>15</v>
      </c>
      <c r="J170" s="1" t="s">
        <v>16</v>
      </c>
      <c r="K170" s="2"/>
      <c r="L170" s="5">
        <f>K170*1171.06</f>
        <v>0</v>
      </c>
    </row>
    <row r="171" spans="1:12">
      <c r="A171" s="1"/>
      <c r="B171" s="1">
        <v>827555</v>
      </c>
      <c r="C171" s="1" t="s">
        <v>636</v>
      </c>
      <c r="D171" s="1" t="s">
        <v>637</v>
      </c>
      <c r="E171" s="3" t="s">
        <v>638</v>
      </c>
      <c r="F171" s="1" t="s">
        <v>639</v>
      </c>
      <c r="G171" s="1" t="s">
        <v>15</v>
      </c>
      <c r="H171" s="1" t="s">
        <v>15</v>
      </c>
      <c r="I171" s="1" t="s">
        <v>15</v>
      </c>
      <c r="J171" s="1" t="s">
        <v>16</v>
      </c>
      <c r="K171" s="2"/>
      <c r="L171" s="5">
        <f>K171*1178.12</f>
        <v>0</v>
      </c>
    </row>
    <row r="172" spans="1:12">
      <c r="A172" s="1"/>
      <c r="B172" s="1">
        <v>827556</v>
      </c>
      <c r="C172" s="1" t="s">
        <v>640</v>
      </c>
      <c r="D172" s="1">
        <v>10008597</v>
      </c>
      <c r="E172" s="3" t="s">
        <v>641</v>
      </c>
      <c r="F172" s="1" t="s">
        <v>317</v>
      </c>
      <c r="G172" s="1" t="s">
        <v>15</v>
      </c>
      <c r="H172" s="1" t="s">
        <v>15</v>
      </c>
      <c r="I172" s="1" t="s">
        <v>15</v>
      </c>
      <c r="J172" s="1" t="s">
        <v>16</v>
      </c>
      <c r="K172" s="2"/>
      <c r="L172" s="5">
        <f>K172*0.00</f>
        <v>0</v>
      </c>
    </row>
    <row r="173" spans="1:12">
      <c r="A173" s="1"/>
      <c r="B173" s="1">
        <v>827557</v>
      </c>
      <c r="C173" s="1" t="s">
        <v>642</v>
      </c>
      <c r="D173" s="1" t="s">
        <v>643</v>
      </c>
      <c r="E173" s="3" t="s">
        <v>644</v>
      </c>
      <c r="F173" s="1" t="s">
        <v>645</v>
      </c>
      <c r="G173" s="1" t="s">
        <v>15</v>
      </c>
      <c r="H173" s="1" t="s">
        <v>15</v>
      </c>
      <c r="I173" s="1" t="s">
        <v>15</v>
      </c>
      <c r="J173" s="1" t="s">
        <v>16</v>
      </c>
      <c r="K173" s="2"/>
      <c r="L173" s="5">
        <f>K173*1791.87</f>
        <v>0</v>
      </c>
    </row>
    <row r="174" spans="1:12">
      <c r="A174" s="1"/>
      <c r="B174" s="1">
        <v>827558</v>
      </c>
      <c r="C174" s="1" t="s">
        <v>646</v>
      </c>
      <c r="D174" s="1" t="s">
        <v>647</v>
      </c>
      <c r="E174" s="3" t="s">
        <v>648</v>
      </c>
      <c r="F174" s="1" t="s">
        <v>649</v>
      </c>
      <c r="G174" s="1" t="s">
        <v>15</v>
      </c>
      <c r="H174" s="1" t="s">
        <v>15</v>
      </c>
      <c r="I174" s="1" t="s">
        <v>15</v>
      </c>
      <c r="J174" s="1" t="s">
        <v>16</v>
      </c>
      <c r="K174" s="2"/>
      <c r="L174" s="5">
        <f>K174*36.18</f>
        <v>0</v>
      </c>
    </row>
    <row r="175" spans="1:12">
      <c r="A175" s="1"/>
      <c r="B175" s="1">
        <v>827559</v>
      </c>
      <c r="C175" s="1" t="s">
        <v>650</v>
      </c>
      <c r="D175" s="1" t="s">
        <v>651</v>
      </c>
      <c r="E175" s="3" t="s">
        <v>652</v>
      </c>
      <c r="F175" s="1" t="s">
        <v>653</v>
      </c>
      <c r="G175" s="1" t="s">
        <v>15</v>
      </c>
      <c r="H175" s="1" t="s">
        <v>15</v>
      </c>
      <c r="I175" s="1" t="s">
        <v>15</v>
      </c>
      <c r="J175" s="1" t="s">
        <v>16</v>
      </c>
      <c r="K175" s="2"/>
      <c r="L175" s="5">
        <f>K175*41.53</f>
        <v>0</v>
      </c>
    </row>
    <row r="176" spans="1:12">
      <c r="A176" s="1"/>
      <c r="B176" s="1">
        <v>827560</v>
      </c>
      <c r="C176" s="1" t="s">
        <v>654</v>
      </c>
      <c r="D176" s="1" t="s">
        <v>655</v>
      </c>
      <c r="E176" s="3" t="s">
        <v>656</v>
      </c>
      <c r="F176" s="1" t="s">
        <v>657</v>
      </c>
      <c r="G176" s="1" t="s">
        <v>15</v>
      </c>
      <c r="H176" s="1" t="s">
        <v>15</v>
      </c>
      <c r="I176" s="1" t="s">
        <v>15</v>
      </c>
      <c r="J176" s="1" t="s">
        <v>16</v>
      </c>
      <c r="K176" s="2"/>
      <c r="L176" s="5">
        <f>K176*42.01</f>
        <v>0</v>
      </c>
    </row>
    <row r="177" spans="1:12">
      <c r="A177" s="1"/>
      <c r="B177" s="1">
        <v>827561</v>
      </c>
      <c r="C177" s="1" t="s">
        <v>658</v>
      </c>
      <c r="D177" s="1" t="s">
        <v>659</v>
      </c>
      <c r="E177" s="3" t="s">
        <v>660</v>
      </c>
      <c r="F177" s="1" t="s">
        <v>661</v>
      </c>
      <c r="G177" s="1" t="s">
        <v>15</v>
      </c>
      <c r="H177" s="1" t="s">
        <v>15</v>
      </c>
      <c r="I177" s="1" t="s">
        <v>15</v>
      </c>
      <c r="J177" s="1" t="s">
        <v>16</v>
      </c>
      <c r="K177" s="2"/>
      <c r="L177" s="5">
        <f>K177*58.95</f>
        <v>0</v>
      </c>
    </row>
    <row r="178" spans="1:12">
      <c r="A178" s="1"/>
      <c r="B178" s="1">
        <v>827562</v>
      </c>
      <c r="C178" s="1" t="s">
        <v>662</v>
      </c>
      <c r="D178" s="1" t="s">
        <v>663</v>
      </c>
      <c r="E178" s="3" t="s">
        <v>664</v>
      </c>
      <c r="F178" s="1" t="s">
        <v>665</v>
      </c>
      <c r="G178" s="1" t="s">
        <v>15</v>
      </c>
      <c r="H178" s="1" t="s">
        <v>15</v>
      </c>
      <c r="I178" s="1" t="s">
        <v>15</v>
      </c>
      <c r="J178" s="1" t="s">
        <v>16</v>
      </c>
      <c r="K178" s="2"/>
      <c r="L178" s="5">
        <f>K178*56.27</f>
        <v>0</v>
      </c>
    </row>
    <row r="179" spans="1:12">
      <c r="A179" s="1"/>
      <c r="B179" s="1">
        <v>827563</v>
      </c>
      <c r="C179" s="1" t="s">
        <v>666</v>
      </c>
      <c r="D179" s="1" t="s">
        <v>667</v>
      </c>
      <c r="E179" s="3" t="s">
        <v>668</v>
      </c>
      <c r="F179" s="1" t="s">
        <v>669</v>
      </c>
      <c r="G179" s="1" t="s">
        <v>15</v>
      </c>
      <c r="H179" s="1" t="s">
        <v>15</v>
      </c>
      <c r="I179" s="1" t="s">
        <v>15</v>
      </c>
      <c r="J179" s="1" t="s">
        <v>16</v>
      </c>
      <c r="K179" s="2"/>
      <c r="L179" s="5">
        <f>K179*54.93</f>
        <v>0</v>
      </c>
    </row>
    <row r="180" spans="1:12">
      <c r="A180" s="1"/>
      <c r="B180" s="1">
        <v>827564</v>
      </c>
      <c r="C180" s="1" t="s">
        <v>670</v>
      </c>
      <c r="D180" s="1" t="s">
        <v>671</v>
      </c>
      <c r="E180" s="3" t="s">
        <v>672</v>
      </c>
      <c r="F180" s="1" t="s">
        <v>673</v>
      </c>
      <c r="G180" s="1" t="s">
        <v>15</v>
      </c>
      <c r="H180" s="1" t="s">
        <v>15</v>
      </c>
      <c r="I180" s="1" t="s">
        <v>15</v>
      </c>
      <c r="J180" s="1" t="s">
        <v>16</v>
      </c>
      <c r="K180" s="2"/>
      <c r="L180" s="5">
        <f>K180*55.73</f>
        <v>0</v>
      </c>
    </row>
    <row r="181" spans="1:12">
      <c r="A181" s="1"/>
      <c r="B181" s="1">
        <v>827565</v>
      </c>
      <c r="C181" s="1" t="s">
        <v>674</v>
      </c>
      <c r="D181" s="1" t="s">
        <v>675</v>
      </c>
      <c r="E181" s="3" t="s">
        <v>676</v>
      </c>
      <c r="F181" s="1" t="s">
        <v>677</v>
      </c>
      <c r="G181" s="1" t="s">
        <v>15</v>
      </c>
      <c r="H181" s="1" t="s">
        <v>15</v>
      </c>
      <c r="I181" s="1" t="s">
        <v>15</v>
      </c>
      <c r="J181" s="1" t="s">
        <v>16</v>
      </c>
      <c r="K181" s="2"/>
      <c r="L181" s="5">
        <f>K181*87.54</f>
        <v>0</v>
      </c>
    </row>
    <row r="182" spans="1:12">
      <c r="A182" s="1"/>
      <c r="B182" s="1">
        <v>827566</v>
      </c>
      <c r="C182" s="1" t="s">
        <v>678</v>
      </c>
      <c r="D182" s="1">
        <v>8134</v>
      </c>
      <c r="E182" s="3" t="s">
        <v>679</v>
      </c>
      <c r="F182" s="1" t="s">
        <v>680</v>
      </c>
      <c r="G182" s="1" t="s">
        <v>15</v>
      </c>
      <c r="H182" s="1" t="s">
        <v>15</v>
      </c>
      <c r="I182" s="1" t="s">
        <v>15</v>
      </c>
      <c r="J182" s="1" t="s">
        <v>16</v>
      </c>
      <c r="K182" s="2"/>
      <c r="L182" s="5">
        <f>K182*92.66</f>
        <v>0</v>
      </c>
    </row>
    <row r="183" spans="1:12">
      <c r="A183" s="1"/>
      <c r="B183" s="1">
        <v>827567</v>
      </c>
      <c r="C183" s="1" t="s">
        <v>681</v>
      </c>
      <c r="D183" s="1" t="s">
        <v>682</v>
      </c>
      <c r="E183" s="3" t="s">
        <v>683</v>
      </c>
      <c r="F183" s="1" t="s">
        <v>684</v>
      </c>
      <c r="G183" s="1" t="s">
        <v>15</v>
      </c>
      <c r="H183" s="1" t="s">
        <v>15</v>
      </c>
      <c r="I183" s="1" t="s">
        <v>15</v>
      </c>
      <c r="J183" s="1" t="s">
        <v>16</v>
      </c>
      <c r="K183" s="2"/>
      <c r="L183" s="5">
        <f>K183*85.32</f>
        <v>0</v>
      </c>
    </row>
    <row r="184" spans="1:12">
      <c r="A184" s="1"/>
      <c r="B184" s="1">
        <v>827568</v>
      </c>
      <c r="C184" s="1" t="s">
        <v>685</v>
      </c>
      <c r="D184" s="1" t="s">
        <v>686</v>
      </c>
      <c r="E184" s="3" t="s">
        <v>687</v>
      </c>
      <c r="F184" s="1" t="s">
        <v>688</v>
      </c>
      <c r="G184" s="1" t="s">
        <v>15</v>
      </c>
      <c r="H184" s="1" t="s">
        <v>15</v>
      </c>
      <c r="I184" s="1" t="s">
        <v>15</v>
      </c>
      <c r="J184" s="1" t="s">
        <v>16</v>
      </c>
      <c r="K184" s="2"/>
      <c r="L184" s="5">
        <f>K184*138.61</f>
        <v>0</v>
      </c>
    </row>
    <row r="185" spans="1:12">
      <c r="A185" s="1"/>
      <c r="B185" s="1">
        <v>827569</v>
      </c>
      <c r="C185" s="1" t="s">
        <v>689</v>
      </c>
      <c r="D185" s="1" t="s">
        <v>690</v>
      </c>
      <c r="E185" s="3" t="s">
        <v>691</v>
      </c>
      <c r="F185" s="1" t="s">
        <v>692</v>
      </c>
      <c r="G185" s="1" t="s">
        <v>15</v>
      </c>
      <c r="H185" s="1" t="s">
        <v>15</v>
      </c>
      <c r="I185" s="1" t="s">
        <v>15</v>
      </c>
      <c r="J185" s="1" t="s">
        <v>16</v>
      </c>
      <c r="K185" s="2"/>
      <c r="L185" s="5">
        <f>K185*117.64</f>
        <v>0</v>
      </c>
    </row>
    <row r="186" spans="1:12">
      <c r="A186" s="1"/>
      <c r="B186" s="1">
        <v>827570</v>
      </c>
      <c r="C186" s="1" t="s">
        <v>693</v>
      </c>
      <c r="D186" s="1" t="s">
        <v>694</v>
      </c>
      <c r="E186" s="3" t="s">
        <v>695</v>
      </c>
      <c r="F186" s="1" t="s">
        <v>696</v>
      </c>
      <c r="G186" s="1" t="s">
        <v>15</v>
      </c>
      <c r="H186" s="1" t="s">
        <v>15</v>
      </c>
      <c r="I186" s="1" t="s">
        <v>15</v>
      </c>
      <c r="J186" s="1" t="s">
        <v>16</v>
      </c>
      <c r="K186" s="2"/>
      <c r="L186" s="5">
        <f>K186*102.44</f>
        <v>0</v>
      </c>
    </row>
    <row r="187" spans="1:12">
      <c r="A187" s="1"/>
      <c r="B187" s="1">
        <v>827571</v>
      </c>
      <c r="C187" s="1" t="s">
        <v>697</v>
      </c>
      <c r="D187" s="1" t="s">
        <v>698</v>
      </c>
      <c r="E187" s="3" t="s">
        <v>699</v>
      </c>
      <c r="F187" s="1" t="s">
        <v>700</v>
      </c>
      <c r="G187" s="1" t="s">
        <v>15</v>
      </c>
      <c r="H187" s="1" t="s">
        <v>15</v>
      </c>
      <c r="I187" s="1" t="s">
        <v>15</v>
      </c>
      <c r="J187" s="1" t="s">
        <v>16</v>
      </c>
      <c r="K187" s="2"/>
      <c r="L187" s="5">
        <f>K187*138.01</f>
        <v>0</v>
      </c>
    </row>
    <row r="188" spans="1:12">
      <c r="A188" s="1"/>
      <c r="B188" s="1">
        <v>827572</v>
      </c>
      <c r="C188" s="1" t="s">
        <v>701</v>
      </c>
      <c r="D188" s="1" t="s">
        <v>702</v>
      </c>
      <c r="E188" s="3" t="s">
        <v>703</v>
      </c>
      <c r="F188" s="1" t="s">
        <v>704</v>
      </c>
      <c r="G188" s="1" t="s">
        <v>15</v>
      </c>
      <c r="H188" s="1" t="s">
        <v>15</v>
      </c>
      <c r="I188" s="1" t="s">
        <v>15</v>
      </c>
      <c r="J188" s="1" t="s">
        <v>16</v>
      </c>
      <c r="K188" s="2"/>
      <c r="L188" s="5">
        <f>K188*226.61</f>
        <v>0</v>
      </c>
    </row>
    <row r="189" spans="1:12">
      <c r="A189" s="1"/>
      <c r="B189" s="1">
        <v>827573</v>
      </c>
      <c r="C189" s="1" t="s">
        <v>705</v>
      </c>
      <c r="D189" s="1" t="s">
        <v>706</v>
      </c>
      <c r="E189" s="3" t="s">
        <v>707</v>
      </c>
      <c r="F189" s="1" t="s">
        <v>708</v>
      </c>
      <c r="G189" s="1" t="s">
        <v>15</v>
      </c>
      <c r="H189" s="1" t="s">
        <v>15</v>
      </c>
      <c r="I189" s="1" t="s">
        <v>15</v>
      </c>
      <c r="J189" s="1" t="s">
        <v>16</v>
      </c>
      <c r="K189" s="2"/>
      <c r="L189" s="5">
        <f>K189*203.15</f>
        <v>0</v>
      </c>
    </row>
    <row r="190" spans="1:12">
      <c r="A190" s="1"/>
      <c r="B190" s="1">
        <v>827574</v>
      </c>
      <c r="C190" s="1" t="s">
        <v>709</v>
      </c>
      <c r="D190" s="1" t="s">
        <v>710</v>
      </c>
      <c r="E190" s="3" t="s">
        <v>711</v>
      </c>
      <c r="F190" s="1" t="s">
        <v>712</v>
      </c>
      <c r="G190" s="1" t="s">
        <v>15</v>
      </c>
      <c r="H190" s="1" t="s">
        <v>15</v>
      </c>
      <c r="I190" s="1" t="s">
        <v>15</v>
      </c>
      <c r="J190" s="1" t="s">
        <v>16</v>
      </c>
      <c r="K190" s="2"/>
      <c r="L190" s="5">
        <f>K190*387.78</f>
        <v>0</v>
      </c>
    </row>
    <row r="191" spans="1:12">
      <c r="A191" s="1"/>
      <c r="B191" s="1">
        <v>827575</v>
      </c>
      <c r="C191" s="1" t="s">
        <v>713</v>
      </c>
      <c r="D191" s="1">
        <v>8152</v>
      </c>
      <c r="E191" s="3" t="s">
        <v>714</v>
      </c>
      <c r="F191" s="1" t="s">
        <v>715</v>
      </c>
      <c r="G191" s="1" t="s">
        <v>15</v>
      </c>
      <c r="H191" s="1" t="s">
        <v>15</v>
      </c>
      <c r="I191" s="1" t="s">
        <v>15</v>
      </c>
      <c r="J191" s="1" t="s">
        <v>16</v>
      </c>
      <c r="K191" s="2"/>
      <c r="L191" s="5">
        <f>K191*303.55</f>
        <v>0</v>
      </c>
    </row>
    <row r="192" spans="1:12">
      <c r="A192" s="1"/>
      <c r="B192" s="1">
        <v>827576</v>
      </c>
      <c r="C192" s="1" t="s">
        <v>716</v>
      </c>
      <c r="D192" s="1" t="s">
        <v>717</v>
      </c>
      <c r="E192" s="3" t="s">
        <v>718</v>
      </c>
      <c r="F192" s="1" t="s">
        <v>719</v>
      </c>
      <c r="G192" s="1" t="s">
        <v>15</v>
      </c>
      <c r="H192" s="1" t="s">
        <v>15</v>
      </c>
      <c r="I192" s="1" t="s">
        <v>15</v>
      </c>
      <c r="J192" s="1" t="s">
        <v>16</v>
      </c>
      <c r="K192" s="2"/>
      <c r="L192" s="5">
        <f>K192*255.53</f>
        <v>0</v>
      </c>
    </row>
    <row r="193" spans="1:12">
      <c r="A193" s="1"/>
      <c r="B193" s="1">
        <v>827577</v>
      </c>
      <c r="C193" s="1" t="s">
        <v>720</v>
      </c>
      <c r="D193" s="1" t="s">
        <v>721</v>
      </c>
      <c r="E193" s="3" t="s">
        <v>722</v>
      </c>
      <c r="F193" s="1" t="s">
        <v>723</v>
      </c>
      <c r="G193" s="1" t="s">
        <v>15</v>
      </c>
      <c r="H193" s="1" t="s">
        <v>15</v>
      </c>
      <c r="I193" s="1" t="s">
        <v>15</v>
      </c>
      <c r="J193" s="1" t="s">
        <v>16</v>
      </c>
      <c r="K193" s="2"/>
      <c r="L193" s="5">
        <f>K193*539.56</f>
        <v>0</v>
      </c>
    </row>
    <row r="194" spans="1:12">
      <c r="A194" s="1"/>
      <c r="B194" s="1">
        <v>827578</v>
      </c>
      <c r="C194" s="1" t="s">
        <v>724</v>
      </c>
      <c r="D194" s="1" t="s">
        <v>725</v>
      </c>
      <c r="E194" s="3" t="s">
        <v>726</v>
      </c>
      <c r="F194" s="1" t="s">
        <v>727</v>
      </c>
      <c r="G194" s="1" t="s">
        <v>15</v>
      </c>
      <c r="H194" s="1" t="s">
        <v>15</v>
      </c>
      <c r="I194" s="1" t="s">
        <v>15</v>
      </c>
      <c r="J194" s="1" t="s">
        <v>16</v>
      </c>
      <c r="K194" s="2"/>
      <c r="L194" s="5">
        <f>K194*588.31</f>
        <v>0</v>
      </c>
    </row>
    <row r="195" spans="1:12">
      <c r="A195" s="1"/>
      <c r="B195" s="1">
        <v>827579</v>
      </c>
      <c r="C195" s="1" t="s">
        <v>728</v>
      </c>
      <c r="D195" s="1" t="s">
        <v>729</v>
      </c>
      <c r="E195" s="3" t="s">
        <v>730</v>
      </c>
      <c r="F195" s="1" t="s">
        <v>731</v>
      </c>
      <c r="G195" s="1" t="s">
        <v>15</v>
      </c>
      <c r="H195" s="1" t="s">
        <v>15</v>
      </c>
      <c r="I195" s="1" t="s">
        <v>15</v>
      </c>
      <c r="J195" s="1" t="s">
        <v>16</v>
      </c>
      <c r="K195" s="2"/>
      <c r="L195" s="5">
        <f>K195*616.09</f>
        <v>0</v>
      </c>
    </row>
    <row r="196" spans="1:12">
      <c r="A196" s="1"/>
      <c r="B196" s="1">
        <v>827580</v>
      </c>
      <c r="C196" s="1" t="s">
        <v>732</v>
      </c>
      <c r="D196" s="1" t="s">
        <v>733</v>
      </c>
      <c r="E196" s="3" t="s">
        <v>734</v>
      </c>
      <c r="F196" s="1" t="s">
        <v>735</v>
      </c>
      <c r="G196" s="1" t="s">
        <v>15</v>
      </c>
      <c r="H196" s="1" t="s">
        <v>15</v>
      </c>
      <c r="I196" s="1" t="s">
        <v>15</v>
      </c>
      <c r="J196" s="1" t="s">
        <v>16</v>
      </c>
      <c r="K196" s="2"/>
      <c r="L196" s="5">
        <f>K196*620.80</f>
        <v>0</v>
      </c>
    </row>
    <row r="197" spans="1:12">
      <c r="A197" s="1"/>
      <c r="B197" s="1">
        <v>827581</v>
      </c>
      <c r="C197" s="1" t="s">
        <v>736</v>
      </c>
      <c r="D197" s="1">
        <v>8177</v>
      </c>
      <c r="E197" s="3" t="s">
        <v>737</v>
      </c>
      <c r="F197" s="1" t="s">
        <v>632</v>
      </c>
      <c r="G197" s="1" t="s">
        <v>15</v>
      </c>
      <c r="H197" s="1" t="s">
        <v>15</v>
      </c>
      <c r="I197" s="1" t="s">
        <v>15</v>
      </c>
      <c r="J197" s="1" t="s">
        <v>16</v>
      </c>
      <c r="K197" s="2"/>
      <c r="L197" s="5">
        <f>K197*1100.51</f>
        <v>0</v>
      </c>
    </row>
    <row r="198" spans="1:12">
      <c r="A198" s="1"/>
      <c r="B198" s="1">
        <v>827582</v>
      </c>
      <c r="C198" s="1" t="s">
        <v>738</v>
      </c>
      <c r="D198" s="1">
        <v>8190</v>
      </c>
      <c r="E198" s="3" t="s">
        <v>739</v>
      </c>
      <c r="F198" s="1" t="s">
        <v>632</v>
      </c>
      <c r="G198" s="1" t="s">
        <v>15</v>
      </c>
      <c r="H198" s="1" t="s">
        <v>15</v>
      </c>
      <c r="I198" s="1" t="s">
        <v>15</v>
      </c>
      <c r="J198" s="1" t="s">
        <v>16</v>
      </c>
      <c r="K198" s="2"/>
      <c r="L198" s="5">
        <f>K198*1100.51</f>
        <v>0</v>
      </c>
    </row>
    <row r="199" spans="1:12">
      <c r="A199" s="1"/>
      <c r="B199" s="1">
        <v>827583</v>
      </c>
      <c r="C199" s="1" t="s">
        <v>740</v>
      </c>
      <c r="D199" s="1" t="s">
        <v>741</v>
      </c>
      <c r="E199" s="3" t="s">
        <v>742</v>
      </c>
      <c r="F199" s="1" t="s">
        <v>743</v>
      </c>
      <c r="G199" s="1" t="s">
        <v>15</v>
      </c>
      <c r="H199" s="1" t="s">
        <v>15</v>
      </c>
      <c r="I199" s="1" t="s">
        <v>15</v>
      </c>
      <c r="J199" s="1" t="s">
        <v>16</v>
      </c>
      <c r="K199" s="2"/>
      <c r="L199" s="5">
        <f>K199*1107.57</f>
        <v>0</v>
      </c>
    </row>
    <row r="200" spans="1:12">
      <c r="A200" s="1"/>
      <c r="B200" s="1">
        <v>827584</v>
      </c>
      <c r="C200" s="1" t="s">
        <v>744</v>
      </c>
      <c r="D200" s="1" t="s">
        <v>745</v>
      </c>
      <c r="E200" s="3" t="s">
        <v>746</v>
      </c>
      <c r="F200" s="1" t="s">
        <v>747</v>
      </c>
      <c r="G200" s="1" t="s">
        <v>15</v>
      </c>
      <c r="H200" s="1" t="s">
        <v>15</v>
      </c>
      <c r="I200" s="1" t="s">
        <v>15</v>
      </c>
      <c r="J200" s="1" t="s">
        <v>16</v>
      </c>
      <c r="K200" s="2"/>
      <c r="L200" s="5">
        <f>K200*2012.81</f>
        <v>0</v>
      </c>
    </row>
    <row r="201" spans="1:12">
      <c r="A201" s="1"/>
      <c r="B201" s="1">
        <v>827585</v>
      </c>
      <c r="C201" s="1" t="s">
        <v>748</v>
      </c>
      <c r="D201" s="1">
        <v>8193</v>
      </c>
      <c r="E201" s="3" t="s">
        <v>749</v>
      </c>
      <c r="F201" s="1" t="s">
        <v>750</v>
      </c>
      <c r="G201" s="1" t="s">
        <v>15</v>
      </c>
      <c r="H201" s="1" t="s">
        <v>15</v>
      </c>
      <c r="I201" s="1" t="s">
        <v>15</v>
      </c>
      <c r="J201" s="1" t="s">
        <v>16</v>
      </c>
      <c r="K201" s="2"/>
      <c r="L201" s="5">
        <f>K201*1749.54</f>
        <v>0</v>
      </c>
    </row>
    <row r="202" spans="1:12">
      <c r="A202" s="1"/>
      <c r="B202" s="1">
        <v>827586</v>
      </c>
      <c r="C202" s="1" t="s">
        <v>751</v>
      </c>
      <c r="D202" s="1" t="s">
        <v>752</v>
      </c>
      <c r="E202" s="3" t="s">
        <v>753</v>
      </c>
      <c r="F202" s="1" t="s">
        <v>754</v>
      </c>
      <c r="G202" s="1" t="s">
        <v>15</v>
      </c>
      <c r="H202" s="1" t="s">
        <v>15</v>
      </c>
      <c r="I202" s="1" t="s">
        <v>15</v>
      </c>
      <c r="J202" s="1" t="s">
        <v>16</v>
      </c>
      <c r="K202" s="2"/>
      <c r="L202" s="5">
        <f>K202*80.39</f>
        <v>0</v>
      </c>
    </row>
    <row r="203" spans="1:12">
      <c r="A203" s="1"/>
      <c r="B203" s="1">
        <v>827587</v>
      </c>
      <c r="C203" s="1" t="s">
        <v>755</v>
      </c>
      <c r="D203" s="1" t="s">
        <v>756</v>
      </c>
      <c r="E203" s="3" t="s">
        <v>757</v>
      </c>
      <c r="F203" s="1" t="s">
        <v>758</v>
      </c>
      <c r="G203" s="1" t="s">
        <v>15</v>
      </c>
      <c r="H203" s="1" t="s">
        <v>15</v>
      </c>
      <c r="I203" s="1" t="s">
        <v>15</v>
      </c>
      <c r="J203" s="1" t="s">
        <v>16</v>
      </c>
      <c r="K203" s="2"/>
      <c r="L203" s="5">
        <f>K203*117.46</f>
        <v>0</v>
      </c>
    </row>
    <row r="204" spans="1:12">
      <c r="A204" s="1"/>
      <c r="B204" s="1">
        <v>827588</v>
      </c>
      <c r="C204" s="1" t="s">
        <v>759</v>
      </c>
      <c r="D204" s="1" t="s">
        <v>760</v>
      </c>
      <c r="E204" s="3" t="s">
        <v>761</v>
      </c>
      <c r="F204" s="1" t="s">
        <v>762</v>
      </c>
      <c r="G204" s="1" t="s">
        <v>15</v>
      </c>
      <c r="H204" s="1" t="s">
        <v>15</v>
      </c>
      <c r="I204" s="1" t="s">
        <v>15</v>
      </c>
      <c r="J204" s="1" t="s">
        <v>16</v>
      </c>
      <c r="K204" s="2"/>
      <c r="L204" s="5">
        <f>K204*204.98</f>
        <v>0</v>
      </c>
    </row>
    <row r="205" spans="1:12">
      <c r="A205" s="1"/>
      <c r="B205" s="1">
        <v>827589</v>
      </c>
      <c r="C205" s="1" t="s">
        <v>763</v>
      </c>
      <c r="D205" s="1" t="s">
        <v>764</v>
      </c>
      <c r="E205" s="3" t="s">
        <v>765</v>
      </c>
      <c r="F205" s="1" t="s">
        <v>766</v>
      </c>
      <c r="G205" s="1" t="s">
        <v>15</v>
      </c>
      <c r="H205" s="1" t="s">
        <v>15</v>
      </c>
      <c r="I205" s="1" t="s">
        <v>15</v>
      </c>
      <c r="J205" s="1" t="s">
        <v>16</v>
      </c>
      <c r="K205" s="2"/>
      <c r="L205" s="5">
        <f>K205*199.76</f>
        <v>0</v>
      </c>
    </row>
    <row r="206" spans="1:12">
      <c r="A206" s="1"/>
      <c r="B206" s="1">
        <v>827590</v>
      </c>
      <c r="C206" s="1" t="s">
        <v>767</v>
      </c>
      <c r="D206" s="1" t="s">
        <v>768</v>
      </c>
      <c r="E206" s="3" t="s">
        <v>769</v>
      </c>
      <c r="F206" s="1" t="s">
        <v>770</v>
      </c>
      <c r="G206" s="1" t="s">
        <v>15</v>
      </c>
      <c r="H206" s="1" t="s">
        <v>15</v>
      </c>
      <c r="I206" s="1" t="s">
        <v>15</v>
      </c>
      <c r="J206" s="1" t="s">
        <v>16</v>
      </c>
      <c r="K206" s="2"/>
      <c r="L206" s="5">
        <f>K206*342.79</f>
        <v>0</v>
      </c>
    </row>
    <row r="207" spans="1:12">
      <c r="A207" s="1"/>
      <c r="B207" s="1">
        <v>827591</v>
      </c>
      <c r="C207" s="1" t="s">
        <v>771</v>
      </c>
      <c r="D207" s="1" t="s">
        <v>772</v>
      </c>
      <c r="E207" s="3" t="s">
        <v>773</v>
      </c>
      <c r="F207" s="1" t="s">
        <v>774</v>
      </c>
      <c r="G207" s="1" t="s">
        <v>15</v>
      </c>
      <c r="H207" s="1" t="s">
        <v>15</v>
      </c>
      <c r="I207" s="1" t="s">
        <v>15</v>
      </c>
      <c r="J207" s="1" t="s">
        <v>16</v>
      </c>
      <c r="K207" s="2"/>
      <c r="L207" s="5">
        <f>K207*529.94</f>
        <v>0</v>
      </c>
    </row>
    <row r="208" spans="1:12">
      <c r="A208" s="1"/>
      <c r="B208" s="1">
        <v>827592</v>
      </c>
      <c r="C208" s="1" t="s">
        <v>775</v>
      </c>
      <c r="D208" s="1" t="s">
        <v>776</v>
      </c>
      <c r="E208" s="3" t="s">
        <v>777</v>
      </c>
      <c r="F208" s="1" t="s">
        <v>778</v>
      </c>
      <c r="G208" s="1" t="s">
        <v>15</v>
      </c>
      <c r="H208" s="1" t="s">
        <v>15</v>
      </c>
      <c r="I208" s="1" t="s">
        <v>15</v>
      </c>
      <c r="J208" s="1" t="s">
        <v>16</v>
      </c>
      <c r="K208" s="2"/>
      <c r="L208" s="5">
        <f>K208*1208.45</f>
        <v>0</v>
      </c>
    </row>
    <row r="209" spans="1:12">
      <c r="A209" s="1"/>
      <c r="B209" s="1">
        <v>827593</v>
      </c>
      <c r="C209" s="1" t="s">
        <v>779</v>
      </c>
      <c r="D209" s="1" t="s">
        <v>780</v>
      </c>
      <c r="E209" s="3" t="s">
        <v>781</v>
      </c>
      <c r="F209" s="1" t="s">
        <v>782</v>
      </c>
      <c r="G209" s="1" t="s">
        <v>15</v>
      </c>
      <c r="H209" s="1" t="s">
        <v>15</v>
      </c>
      <c r="I209" s="1" t="s">
        <v>15</v>
      </c>
      <c r="J209" s="1" t="s">
        <v>16</v>
      </c>
      <c r="K209" s="2"/>
      <c r="L209" s="5">
        <f>K209*1689.01</f>
        <v>0</v>
      </c>
    </row>
    <row r="210" spans="1:12">
      <c r="A210" s="1"/>
      <c r="B210" s="1">
        <v>827594</v>
      </c>
      <c r="C210" s="1" t="s">
        <v>783</v>
      </c>
      <c r="D210" s="1" t="s">
        <v>784</v>
      </c>
      <c r="E210" s="3" t="s">
        <v>785</v>
      </c>
      <c r="F210" s="1" t="s">
        <v>786</v>
      </c>
      <c r="G210" s="1" t="s">
        <v>15</v>
      </c>
      <c r="H210" s="1" t="s">
        <v>15</v>
      </c>
      <c r="I210" s="1" t="s">
        <v>15</v>
      </c>
      <c r="J210" s="1" t="s">
        <v>16</v>
      </c>
      <c r="K210" s="2"/>
      <c r="L210" s="5">
        <f>K210*3012.03</f>
        <v>0</v>
      </c>
    </row>
    <row r="211" spans="1:12">
      <c r="A211" s="1"/>
      <c r="B211" s="1">
        <v>827595</v>
      </c>
      <c r="C211" s="1" t="s">
        <v>787</v>
      </c>
      <c r="D211" s="1" t="s">
        <v>788</v>
      </c>
      <c r="E211" s="3" t="s">
        <v>789</v>
      </c>
      <c r="F211" s="1" t="s">
        <v>790</v>
      </c>
      <c r="G211" s="1" t="s">
        <v>15</v>
      </c>
      <c r="H211" s="1" t="s">
        <v>15</v>
      </c>
      <c r="I211" s="1" t="s">
        <v>15</v>
      </c>
      <c r="J211" s="1" t="s">
        <v>16</v>
      </c>
      <c r="K211" s="2"/>
      <c r="L211" s="5">
        <f>K211*120.58</f>
        <v>0</v>
      </c>
    </row>
    <row r="212" spans="1:12">
      <c r="A212" s="1"/>
      <c r="B212" s="1">
        <v>827596</v>
      </c>
      <c r="C212" s="1" t="s">
        <v>791</v>
      </c>
      <c r="D212" s="1" t="s">
        <v>792</v>
      </c>
      <c r="E212" s="3" t="s">
        <v>793</v>
      </c>
      <c r="F212" s="1" t="s">
        <v>794</v>
      </c>
      <c r="G212" s="1" t="s">
        <v>15</v>
      </c>
      <c r="H212" s="1" t="s">
        <v>15</v>
      </c>
      <c r="I212" s="1" t="s">
        <v>15</v>
      </c>
      <c r="J212" s="1" t="s">
        <v>16</v>
      </c>
      <c r="K212" s="2"/>
      <c r="L212" s="5">
        <f>K212*164.79</f>
        <v>0</v>
      </c>
    </row>
    <row r="213" spans="1:12">
      <c r="A213" s="1"/>
      <c r="B213" s="1">
        <v>827597</v>
      </c>
      <c r="C213" s="1" t="s">
        <v>795</v>
      </c>
      <c r="D213" s="1" t="s">
        <v>796</v>
      </c>
      <c r="E213" s="3" t="s">
        <v>797</v>
      </c>
      <c r="F213" s="1" t="s">
        <v>798</v>
      </c>
      <c r="G213" s="1" t="s">
        <v>15</v>
      </c>
      <c r="H213" s="1" t="s">
        <v>15</v>
      </c>
      <c r="I213" s="1" t="s">
        <v>15</v>
      </c>
      <c r="J213" s="1" t="s">
        <v>16</v>
      </c>
      <c r="K213" s="2"/>
      <c r="L213" s="5">
        <f>K213*174.17</f>
        <v>0</v>
      </c>
    </row>
    <row r="214" spans="1:12">
      <c r="A214" s="1"/>
      <c r="B214" s="1">
        <v>827598</v>
      </c>
      <c r="C214" s="1" t="s">
        <v>799</v>
      </c>
      <c r="D214" s="1" t="s">
        <v>800</v>
      </c>
      <c r="E214" s="3" t="s">
        <v>801</v>
      </c>
      <c r="F214" s="1" t="s">
        <v>802</v>
      </c>
      <c r="G214" s="1" t="s">
        <v>15</v>
      </c>
      <c r="H214" s="1" t="s">
        <v>15</v>
      </c>
      <c r="I214" s="1" t="s">
        <v>15</v>
      </c>
      <c r="J214" s="1" t="s">
        <v>16</v>
      </c>
      <c r="K214" s="2"/>
      <c r="L214" s="5">
        <f>K214*270.92</f>
        <v>0</v>
      </c>
    </row>
    <row r="215" spans="1:12">
      <c r="A215" s="1"/>
      <c r="B215" s="1">
        <v>827599</v>
      </c>
      <c r="C215" s="1" t="s">
        <v>803</v>
      </c>
      <c r="D215" s="1" t="s">
        <v>804</v>
      </c>
      <c r="E215" s="3" t="s">
        <v>805</v>
      </c>
      <c r="F215" s="1" t="s">
        <v>806</v>
      </c>
      <c r="G215" s="1" t="s">
        <v>15</v>
      </c>
      <c r="H215" s="1" t="s">
        <v>15</v>
      </c>
      <c r="I215" s="1" t="s">
        <v>15</v>
      </c>
      <c r="J215" s="1" t="s">
        <v>16</v>
      </c>
      <c r="K215" s="2"/>
      <c r="L215" s="5">
        <f>K215*170.64</f>
        <v>0</v>
      </c>
    </row>
    <row r="216" spans="1:12">
      <c r="A216" s="1"/>
      <c r="B216" s="1">
        <v>827600</v>
      </c>
      <c r="C216" s="1" t="s">
        <v>807</v>
      </c>
      <c r="D216" s="1">
        <v>9041</v>
      </c>
      <c r="E216" s="3" t="s">
        <v>808</v>
      </c>
      <c r="F216" s="1" t="s">
        <v>809</v>
      </c>
      <c r="G216" s="1" t="s">
        <v>15</v>
      </c>
      <c r="H216" s="1" t="s">
        <v>15</v>
      </c>
      <c r="I216" s="1" t="s">
        <v>15</v>
      </c>
      <c r="J216" s="1" t="s">
        <v>16</v>
      </c>
      <c r="K216" s="2"/>
      <c r="L216" s="5">
        <f>K216*170.51</f>
        <v>0</v>
      </c>
    </row>
    <row r="217" spans="1:12">
      <c r="A217" s="1"/>
      <c r="B217" s="1">
        <v>827601</v>
      </c>
      <c r="C217" s="1" t="s">
        <v>810</v>
      </c>
      <c r="D217" s="1" t="s">
        <v>811</v>
      </c>
      <c r="E217" s="3" t="s">
        <v>812</v>
      </c>
      <c r="F217" s="1" t="s">
        <v>813</v>
      </c>
      <c r="G217" s="1" t="s">
        <v>15</v>
      </c>
      <c r="H217" s="1" t="s">
        <v>15</v>
      </c>
      <c r="I217" s="1" t="s">
        <v>15</v>
      </c>
      <c r="J217" s="1" t="s">
        <v>16</v>
      </c>
      <c r="K217" s="2"/>
      <c r="L217" s="5">
        <f>K217*418.51</f>
        <v>0</v>
      </c>
    </row>
    <row r="218" spans="1:12">
      <c r="A218" s="1"/>
      <c r="B218" s="1">
        <v>827602</v>
      </c>
      <c r="C218" s="1" t="s">
        <v>814</v>
      </c>
      <c r="D218" s="1" t="s">
        <v>815</v>
      </c>
      <c r="E218" s="3" t="s">
        <v>816</v>
      </c>
      <c r="F218" s="1" t="s">
        <v>817</v>
      </c>
      <c r="G218" s="1" t="s">
        <v>15</v>
      </c>
      <c r="H218" s="1" t="s">
        <v>15</v>
      </c>
      <c r="I218" s="1" t="s">
        <v>15</v>
      </c>
      <c r="J218" s="1" t="s">
        <v>16</v>
      </c>
      <c r="K218" s="2"/>
      <c r="L218" s="5">
        <f>K218*396.58</f>
        <v>0</v>
      </c>
    </row>
    <row r="219" spans="1:12">
      <c r="A219" s="1"/>
      <c r="B219" s="1">
        <v>827603</v>
      </c>
      <c r="C219" s="1" t="s">
        <v>818</v>
      </c>
      <c r="D219" s="1" t="s">
        <v>819</v>
      </c>
      <c r="E219" s="3" t="s">
        <v>820</v>
      </c>
      <c r="F219" s="1" t="s">
        <v>821</v>
      </c>
      <c r="G219" s="1" t="s">
        <v>15</v>
      </c>
      <c r="H219" s="1" t="s">
        <v>15</v>
      </c>
      <c r="I219" s="1" t="s">
        <v>15</v>
      </c>
      <c r="J219" s="1" t="s">
        <v>16</v>
      </c>
      <c r="K219" s="2"/>
      <c r="L219" s="5">
        <f>K219*314.87</f>
        <v>0</v>
      </c>
    </row>
    <row r="220" spans="1:12">
      <c r="A220" s="1"/>
      <c r="B220" s="1">
        <v>827604</v>
      </c>
      <c r="C220" s="1" t="s">
        <v>822</v>
      </c>
      <c r="D220" s="1">
        <v>9062</v>
      </c>
      <c r="E220" s="3" t="s">
        <v>823</v>
      </c>
      <c r="F220" s="1" t="s">
        <v>824</v>
      </c>
      <c r="G220" s="1" t="s">
        <v>15</v>
      </c>
      <c r="H220" s="1" t="s">
        <v>15</v>
      </c>
      <c r="I220" s="1" t="s">
        <v>15</v>
      </c>
      <c r="J220" s="1" t="s">
        <v>16</v>
      </c>
      <c r="K220" s="2"/>
      <c r="L220" s="5">
        <f>K220*631.61</f>
        <v>0</v>
      </c>
    </row>
    <row r="221" spans="1:12">
      <c r="A221" s="1"/>
      <c r="B221" s="1">
        <v>827605</v>
      </c>
      <c r="C221" s="1" t="s">
        <v>825</v>
      </c>
      <c r="D221" s="1">
        <v>9063</v>
      </c>
      <c r="E221" s="3" t="s">
        <v>826</v>
      </c>
      <c r="F221" s="1" t="s">
        <v>827</v>
      </c>
      <c r="G221" s="1" t="s">
        <v>15</v>
      </c>
      <c r="H221" s="1" t="s">
        <v>15</v>
      </c>
      <c r="I221" s="1" t="s">
        <v>15</v>
      </c>
      <c r="J221" s="1" t="s">
        <v>16</v>
      </c>
      <c r="K221" s="2"/>
      <c r="L221" s="5">
        <f>K221*425.27</f>
        <v>0</v>
      </c>
    </row>
    <row r="222" spans="1:12">
      <c r="A222" s="1"/>
      <c r="B222" s="1">
        <v>827606</v>
      </c>
      <c r="C222" s="1" t="s">
        <v>828</v>
      </c>
      <c r="D222" s="1" t="s">
        <v>829</v>
      </c>
      <c r="E222" s="3" t="s">
        <v>830</v>
      </c>
      <c r="F222" s="1" t="s">
        <v>831</v>
      </c>
      <c r="G222" s="1" t="s">
        <v>15</v>
      </c>
      <c r="H222" s="1" t="s">
        <v>15</v>
      </c>
      <c r="I222" s="1" t="s">
        <v>15</v>
      </c>
      <c r="J222" s="1" t="s">
        <v>16</v>
      </c>
      <c r="K222" s="2"/>
      <c r="L222" s="5">
        <f>K222*771.28</f>
        <v>0</v>
      </c>
    </row>
    <row r="223" spans="1:12">
      <c r="A223" s="1"/>
      <c r="B223" s="1">
        <v>827607</v>
      </c>
      <c r="C223" s="1" t="s">
        <v>832</v>
      </c>
      <c r="D223" s="1" t="s">
        <v>833</v>
      </c>
      <c r="E223" s="3" t="s">
        <v>834</v>
      </c>
      <c r="F223" s="1" t="s">
        <v>835</v>
      </c>
      <c r="G223" s="1" t="s">
        <v>15</v>
      </c>
      <c r="H223" s="1" t="s">
        <v>15</v>
      </c>
      <c r="I223" s="1" t="s">
        <v>15</v>
      </c>
      <c r="J223" s="1" t="s">
        <v>16</v>
      </c>
      <c r="K223" s="2"/>
      <c r="L223" s="5">
        <f>K223*547.63</f>
        <v>0</v>
      </c>
    </row>
    <row r="224" spans="1:12">
      <c r="A224" s="1"/>
      <c r="B224" s="1">
        <v>827608</v>
      </c>
      <c r="C224" s="1" t="s">
        <v>836</v>
      </c>
      <c r="D224" s="1" t="s">
        <v>837</v>
      </c>
      <c r="E224" s="3" t="s">
        <v>838</v>
      </c>
      <c r="F224" s="1" t="s">
        <v>839</v>
      </c>
      <c r="G224" s="1" t="s">
        <v>15</v>
      </c>
      <c r="H224" s="1" t="s">
        <v>15</v>
      </c>
      <c r="I224" s="1" t="s">
        <v>15</v>
      </c>
      <c r="J224" s="1" t="s">
        <v>16</v>
      </c>
      <c r="K224" s="2"/>
      <c r="L224" s="5">
        <f>K224*1255.72</f>
        <v>0</v>
      </c>
    </row>
    <row r="225" spans="1:12">
      <c r="A225" s="1"/>
      <c r="B225" s="1">
        <v>827609</v>
      </c>
      <c r="C225" s="1" t="s">
        <v>840</v>
      </c>
      <c r="D225" s="1" t="s">
        <v>841</v>
      </c>
      <c r="E225" s="3" t="s">
        <v>842</v>
      </c>
      <c r="F225" s="1" t="s">
        <v>843</v>
      </c>
      <c r="G225" s="1" t="s">
        <v>15</v>
      </c>
      <c r="H225" s="1" t="s">
        <v>15</v>
      </c>
      <c r="I225" s="1" t="s">
        <v>15</v>
      </c>
      <c r="J225" s="1" t="s">
        <v>16</v>
      </c>
      <c r="K225" s="2"/>
      <c r="L225" s="5">
        <f>K225*1345.71</f>
        <v>0</v>
      </c>
    </row>
    <row r="226" spans="1:12">
      <c r="A226" s="1"/>
      <c r="B226" s="1">
        <v>827610</v>
      </c>
      <c r="C226" s="1" t="s">
        <v>844</v>
      </c>
      <c r="D226" s="1" t="s">
        <v>845</v>
      </c>
      <c r="E226" s="3" t="s">
        <v>846</v>
      </c>
      <c r="F226" s="1" t="s">
        <v>847</v>
      </c>
      <c r="G226" s="1" t="s">
        <v>15</v>
      </c>
      <c r="H226" s="1" t="s">
        <v>15</v>
      </c>
      <c r="I226" s="1" t="s">
        <v>15</v>
      </c>
      <c r="J226" s="1" t="s">
        <v>16</v>
      </c>
      <c r="K226" s="2"/>
      <c r="L226" s="5">
        <f>K226*2072.39</f>
        <v>0</v>
      </c>
    </row>
    <row r="227" spans="1:12">
      <c r="A227" s="1"/>
      <c r="B227" s="1">
        <v>827611</v>
      </c>
      <c r="C227" s="1" t="s">
        <v>848</v>
      </c>
      <c r="D227" s="1" t="s">
        <v>849</v>
      </c>
      <c r="E227" s="3" t="s">
        <v>850</v>
      </c>
      <c r="F227" s="1" t="s">
        <v>851</v>
      </c>
      <c r="G227" s="1" t="s">
        <v>15</v>
      </c>
      <c r="H227" s="1" t="s">
        <v>15</v>
      </c>
      <c r="I227" s="1" t="s">
        <v>15</v>
      </c>
      <c r="J227" s="1" t="s">
        <v>16</v>
      </c>
      <c r="K227" s="2"/>
      <c r="L227" s="5">
        <f>K227*2384.46</f>
        <v>0</v>
      </c>
    </row>
    <row r="228" spans="1:12">
      <c r="A228" s="1"/>
      <c r="B228" s="1">
        <v>827612</v>
      </c>
      <c r="C228" s="1" t="s">
        <v>852</v>
      </c>
      <c r="D228" s="1">
        <v>9092</v>
      </c>
      <c r="E228" s="3" t="s">
        <v>853</v>
      </c>
      <c r="F228" s="1" t="s">
        <v>854</v>
      </c>
      <c r="G228" s="1" t="s">
        <v>15</v>
      </c>
      <c r="H228" s="1" t="s">
        <v>15</v>
      </c>
      <c r="I228" s="1" t="s">
        <v>15</v>
      </c>
      <c r="J228" s="1" t="s">
        <v>16</v>
      </c>
      <c r="K228" s="2"/>
      <c r="L228" s="5">
        <f>K228*3213.43</f>
        <v>0</v>
      </c>
    </row>
    <row r="229" spans="1:12">
      <c r="A229" s="1"/>
      <c r="B229" s="1">
        <v>827613</v>
      </c>
      <c r="C229" s="1" t="s">
        <v>855</v>
      </c>
      <c r="D229" s="1" t="s">
        <v>856</v>
      </c>
      <c r="E229" s="3" t="s">
        <v>857</v>
      </c>
      <c r="F229" s="1" t="s">
        <v>858</v>
      </c>
      <c r="G229" s="1" t="s">
        <v>15</v>
      </c>
      <c r="H229" s="1" t="s">
        <v>15</v>
      </c>
      <c r="I229" s="1" t="s">
        <v>15</v>
      </c>
      <c r="J229" s="1" t="s">
        <v>16</v>
      </c>
      <c r="K229" s="2"/>
      <c r="L229" s="5">
        <f>K229*3372.10</f>
        <v>0</v>
      </c>
    </row>
    <row r="230" spans="1:12">
      <c r="A230" s="1"/>
      <c r="B230" s="1">
        <v>827614</v>
      </c>
      <c r="C230" s="1" t="s">
        <v>859</v>
      </c>
      <c r="D230" s="1" t="s">
        <v>860</v>
      </c>
      <c r="E230" s="3" t="s">
        <v>861</v>
      </c>
      <c r="F230" s="1" t="s">
        <v>754</v>
      </c>
      <c r="G230" s="1" t="s">
        <v>15</v>
      </c>
      <c r="H230" s="1" t="s">
        <v>15</v>
      </c>
      <c r="I230" s="1" t="s">
        <v>15</v>
      </c>
      <c r="J230" s="1" t="s">
        <v>16</v>
      </c>
      <c r="K230" s="2"/>
      <c r="L230" s="5">
        <f>K230*80.39</f>
        <v>0</v>
      </c>
    </row>
    <row r="231" spans="1:12">
      <c r="A231" s="1"/>
      <c r="B231" s="1">
        <v>827615</v>
      </c>
      <c r="C231" s="1" t="s">
        <v>862</v>
      </c>
      <c r="D231" s="1" t="s">
        <v>863</v>
      </c>
      <c r="E231" s="3" t="s">
        <v>864</v>
      </c>
      <c r="F231" s="1" t="s">
        <v>865</v>
      </c>
      <c r="G231" s="1" t="s">
        <v>15</v>
      </c>
      <c r="H231" s="1" t="s">
        <v>15</v>
      </c>
      <c r="I231" s="1" t="s">
        <v>15</v>
      </c>
      <c r="J231" s="1" t="s">
        <v>16</v>
      </c>
      <c r="K231" s="2"/>
      <c r="L231" s="5">
        <f>K231*85.47</f>
        <v>0</v>
      </c>
    </row>
    <row r="232" spans="1:12">
      <c r="A232" s="1"/>
      <c r="B232" s="1">
        <v>827616</v>
      </c>
      <c r="C232" s="1" t="s">
        <v>866</v>
      </c>
      <c r="D232" s="1" t="s">
        <v>867</v>
      </c>
      <c r="E232" s="3" t="s">
        <v>868</v>
      </c>
      <c r="F232" s="1" t="s">
        <v>869</v>
      </c>
      <c r="G232" s="1" t="s">
        <v>15</v>
      </c>
      <c r="H232" s="1" t="s">
        <v>15</v>
      </c>
      <c r="I232" s="1" t="s">
        <v>15</v>
      </c>
      <c r="J232" s="1" t="s">
        <v>16</v>
      </c>
      <c r="K232" s="2"/>
      <c r="L232" s="5">
        <f>K232*74.59</f>
        <v>0</v>
      </c>
    </row>
    <row r="233" spans="1:12">
      <c r="A233" s="1"/>
      <c r="B233" s="1">
        <v>827617</v>
      </c>
      <c r="C233" s="1" t="s">
        <v>870</v>
      </c>
      <c r="D233" s="1" t="s">
        <v>871</v>
      </c>
      <c r="E233" s="3" t="s">
        <v>872</v>
      </c>
      <c r="F233" s="1" t="s">
        <v>873</v>
      </c>
      <c r="G233" s="1" t="s">
        <v>15</v>
      </c>
      <c r="H233" s="1" t="s">
        <v>15</v>
      </c>
      <c r="I233" s="1" t="s">
        <v>15</v>
      </c>
      <c r="J233" s="1" t="s">
        <v>16</v>
      </c>
      <c r="K233" s="2"/>
      <c r="L233" s="5">
        <f>K233*97.80</f>
        <v>0</v>
      </c>
    </row>
    <row r="234" spans="1:12">
      <c r="A234" s="1"/>
      <c r="B234" s="1">
        <v>827618</v>
      </c>
      <c r="C234" s="1" t="s">
        <v>874</v>
      </c>
      <c r="D234" s="1" t="s">
        <v>875</v>
      </c>
      <c r="E234" s="3" t="s">
        <v>876</v>
      </c>
      <c r="F234" s="1" t="s">
        <v>877</v>
      </c>
      <c r="G234" s="1" t="s">
        <v>15</v>
      </c>
      <c r="H234" s="1" t="s">
        <v>15</v>
      </c>
      <c r="I234" s="1" t="s">
        <v>15</v>
      </c>
      <c r="J234" s="1" t="s">
        <v>16</v>
      </c>
      <c r="K234" s="2"/>
      <c r="L234" s="5">
        <f>K234*73.73</f>
        <v>0</v>
      </c>
    </row>
    <row r="235" spans="1:12">
      <c r="A235" s="1"/>
      <c r="B235" s="1">
        <v>827619</v>
      </c>
      <c r="C235" s="1" t="s">
        <v>878</v>
      </c>
      <c r="D235" s="1" t="s">
        <v>879</v>
      </c>
      <c r="E235" s="3" t="s">
        <v>880</v>
      </c>
      <c r="F235" s="1" t="s">
        <v>881</v>
      </c>
      <c r="G235" s="1" t="s">
        <v>15</v>
      </c>
      <c r="H235" s="1" t="s">
        <v>15</v>
      </c>
      <c r="I235" s="1" t="s">
        <v>15</v>
      </c>
      <c r="J235" s="1" t="s">
        <v>16</v>
      </c>
      <c r="K235" s="2"/>
      <c r="L235" s="5">
        <f>K235*100.48</f>
        <v>0</v>
      </c>
    </row>
    <row r="236" spans="1:12">
      <c r="A236" s="1"/>
      <c r="B236" s="1">
        <v>827620</v>
      </c>
      <c r="C236" s="1" t="s">
        <v>882</v>
      </c>
      <c r="D236" s="1" t="s">
        <v>883</v>
      </c>
      <c r="E236" s="3" t="s">
        <v>884</v>
      </c>
      <c r="F236" s="1" t="s">
        <v>885</v>
      </c>
      <c r="G236" s="1" t="s">
        <v>15</v>
      </c>
      <c r="H236" s="1" t="s">
        <v>15</v>
      </c>
      <c r="I236" s="1" t="s">
        <v>15</v>
      </c>
      <c r="J236" s="1" t="s">
        <v>16</v>
      </c>
      <c r="K236" s="2"/>
      <c r="L236" s="5">
        <f>K236*151.40</f>
        <v>0</v>
      </c>
    </row>
    <row r="237" spans="1:12">
      <c r="A237" s="1"/>
      <c r="B237" s="1">
        <v>827621</v>
      </c>
      <c r="C237" s="1" t="s">
        <v>886</v>
      </c>
      <c r="D237" s="1" t="s">
        <v>887</v>
      </c>
      <c r="E237" s="3" t="s">
        <v>888</v>
      </c>
      <c r="F237" s="1" t="s">
        <v>885</v>
      </c>
      <c r="G237" s="1" t="s">
        <v>15</v>
      </c>
      <c r="H237" s="1" t="s">
        <v>15</v>
      </c>
      <c r="I237" s="1" t="s">
        <v>15</v>
      </c>
      <c r="J237" s="1" t="s">
        <v>16</v>
      </c>
      <c r="K237" s="2"/>
      <c r="L237" s="5">
        <f>K237*151.40</f>
        <v>0</v>
      </c>
    </row>
    <row r="238" spans="1:12">
      <c r="A238" s="1"/>
      <c r="B238" s="1">
        <v>827622</v>
      </c>
      <c r="C238" s="1" t="s">
        <v>889</v>
      </c>
      <c r="D238" s="1" t="s">
        <v>890</v>
      </c>
      <c r="E238" s="3" t="s">
        <v>891</v>
      </c>
      <c r="F238" s="1" t="s">
        <v>885</v>
      </c>
      <c r="G238" s="1" t="s">
        <v>15</v>
      </c>
      <c r="H238" s="1" t="s">
        <v>15</v>
      </c>
      <c r="I238" s="1" t="s">
        <v>15</v>
      </c>
      <c r="J238" s="1" t="s">
        <v>16</v>
      </c>
      <c r="K238" s="2"/>
      <c r="L238" s="5">
        <f>K238*151.40</f>
        <v>0</v>
      </c>
    </row>
    <row r="239" spans="1:12">
      <c r="A239" s="1"/>
      <c r="B239" s="1">
        <v>827623</v>
      </c>
      <c r="C239" s="1" t="s">
        <v>892</v>
      </c>
      <c r="D239" s="1">
        <v>10008334</v>
      </c>
      <c r="E239" s="3" t="s">
        <v>893</v>
      </c>
      <c r="F239" s="1" t="s">
        <v>894</v>
      </c>
      <c r="G239" s="1" t="s">
        <v>15</v>
      </c>
      <c r="H239" s="1" t="s">
        <v>15</v>
      </c>
      <c r="I239" s="1" t="s">
        <v>15</v>
      </c>
      <c r="J239" s="1" t="s">
        <v>16</v>
      </c>
      <c r="K239" s="2"/>
      <c r="L239" s="5">
        <f>K239*116.53</f>
        <v>0</v>
      </c>
    </row>
    <row r="240" spans="1:12">
      <c r="A240" s="1"/>
      <c r="B240" s="1">
        <v>827624</v>
      </c>
      <c r="C240" s="1" t="s">
        <v>895</v>
      </c>
      <c r="D240" s="1" t="s">
        <v>896</v>
      </c>
      <c r="E240" s="3" t="s">
        <v>897</v>
      </c>
      <c r="F240" s="1" t="s">
        <v>898</v>
      </c>
      <c r="G240" s="1" t="s">
        <v>15</v>
      </c>
      <c r="H240" s="1" t="s">
        <v>15</v>
      </c>
      <c r="I240" s="1" t="s">
        <v>15</v>
      </c>
      <c r="J240" s="1" t="s">
        <v>16</v>
      </c>
      <c r="K240" s="2"/>
      <c r="L240" s="5">
        <f>K240*258.75</f>
        <v>0</v>
      </c>
    </row>
    <row r="241" spans="1:12">
      <c r="A241" s="1"/>
      <c r="B241" s="1">
        <v>827625</v>
      </c>
      <c r="C241" s="1" t="s">
        <v>899</v>
      </c>
      <c r="D241" s="1" t="s">
        <v>900</v>
      </c>
      <c r="E241" s="3" t="s">
        <v>901</v>
      </c>
      <c r="F241" s="1" t="s">
        <v>902</v>
      </c>
      <c r="G241" s="1" t="s">
        <v>15</v>
      </c>
      <c r="H241" s="1" t="s">
        <v>15</v>
      </c>
      <c r="I241" s="1" t="s">
        <v>15</v>
      </c>
      <c r="J241" s="1" t="s">
        <v>16</v>
      </c>
      <c r="K241" s="2"/>
      <c r="L241" s="5">
        <f>K241*150.98</f>
        <v>0</v>
      </c>
    </row>
    <row r="242" spans="1:12">
      <c r="A242" s="1"/>
      <c r="B242" s="1">
        <v>827626</v>
      </c>
      <c r="C242" s="1" t="s">
        <v>903</v>
      </c>
      <c r="D242" s="1" t="s">
        <v>904</v>
      </c>
      <c r="E242" s="3" t="s">
        <v>905</v>
      </c>
      <c r="F242" s="1" t="s">
        <v>906</v>
      </c>
      <c r="G242" s="1" t="s">
        <v>15</v>
      </c>
      <c r="H242" s="1" t="s">
        <v>15</v>
      </c>
      <c r="I242" s="1" t="s">
        <v>15</v>
      </c>
      <c r="J242" s="1" t="s">
        <v>16</v>
      </c>
      <c r="K242" s="2"/>
      <c r="L242" s="5">
        <f>K242*161.78</f>
        <v>0</v>
      </c>
    </row>
    <row r="243" spans="1:12">
      <c r="A243" s="1"/>
      <c r="B243" s="1">
        <v>827627</v>
      </c>
      <c r="C243" s="1" t="s">
        <v>907</v>
      </c>
      <c r="D243" s="1">
        <v>7140</v>
      </c>
      <c r="E243" s="3" t="s">
        <v>908</v>
      </c>
      <c r="F243" s="1" t="s">
        <v>909</v>
      </c>
      <c r="G243" s="1" t="s">
        <v>15</v>
      </c>
      <c r="H243" s="1" t="s">
        <v>15</v>
      </c>
      <c r="I243" s="1" t="s">
        <v>15</v>
      </c>
      <c r="J243" s="1" t="s">
        <v>16</v>
      </c>
      <c r="K243" s="2"/>
      <c r="L243" s="5">
        <f>K243*285.29</f>
        <v>0</v>
      </c>
    </row>
    <row r="244" spans="1:12">
      <c r="A244" s="1"/>
      <c r="B244" s="1">
        <v>827628</v>
      </c>
      <c r="C244" s="1" t="s">
        <v>910</v>
      </c>
      <c r="D244" s="1">
        <v>7151</v>
      </c>
      <c r="E244" s="3" t="s">
        <v>911</v>
      </c>
      <c r="F244" s="1" t="s">
        <v>912</v>
      </c>
      <c r="G244" s="1" t="s">
        <v>15</v>
      </c>
      <c r="H244" s="1" t="s">
        <v>15</v>
      </c>
      <c r="I244" s="1" t="s">
        <v>15</v>
      </c>
      <c r="J244" s="1" t="s">
        <v>16</v>
      </c>
      <c r="K244" s="2"/>
      <c r="L244" s="5">
        <f>K244*390.25</f>
        <v>0</v>
      </c>
    </row>
    <row r="245" spans="1:12">
      <c r="A245" s="1"/>
      <c r="B245" s="1">
        <v>827629</v>
      </c>
      <c r="C245" s="1" t="s">
        <v>913</v>
      </c>
      <c r="D245" s="1">
        <v>7163</v>
      </c>
      <c r="E245" s="3" t="s">
        <v>914</v>
      </c>
      <c r="F245" s="1" t="s">
        <v>915</v>
      </c>
      <c r="G245" s="1" t="s">
        <v>15</v>
      </c>
      <c r="H245" s="1" t="s">
        <v>15</v>
      </c>
      <c r="I245" s="1" t="s">
        <v>15</v>
      </c>
      <c r="J245" s="1" t="s">
        <v>16</v>
      </c>
      <c r="K245" s="2"/>
      <c r="L245" s="5">
        <f>K245*257.18</f>
        <v>0</v>
      </c>
    </row>
    <row r="246" spans="1:12">
      <c r="A246" s="1"/>
      <c r="B246" s="1">
        <v>827630</v>
      </c>
      <c r="C246" s="1" t="s">
        <v>916</v>
      </c>
      <c r="D246" s="1" t="s">
        <v>917</v>
      </c>
      <c r="E246" s="3" t="s">
        <v>918</v>
      </c>
      <c r="F246" s="1" t="s">
        <v>919</v>
      </c>
      <c r="G246" s="1" t="s">
        <v>15</v>
      </c>
      <c r="H246" s="1" t="s">
        <v>15</v>
      </c>
      <c r="I246" s="1" t="s">
        <v>15</v>
      </c>
      <c r="J246" s="1" t="s">
        <v>16</v>
      </c>
      <c r="K246" s="2"/>
      <c r="L246" s="5">
        <f>K246*282.02</f>
        <v>0</v>
      </c>
    </row>
    <row r="247" spans="1:12">
      <c r="A247" s="1"/>
      <c r="B247" s="1">
        <v>827631</v>
      </c>
      <c r="C247" s="1" t="s">
        <v>920</v>
      </c>
      <c r="D247" s="1" t="s">
        <v>921</v>
      </c>
      <c r="E247" s="3" t="s">
        <v>922</v>
      </c>
      <c r="F247" s="1" t="s">
        <v>923</v>
      </c>
      <c r="G247" s="1" t="s">
        <v>15</v>
      </c>
      <c r="H247" s="1" t="s">
        <v>15</v>
      </c>
      <c r="I247" s="1" t="s">
        <v>15</v>
      </c>
      <c r="J247" s="1" t="s">
        <v>16</v>
      </c>
      <c r="K247" s="2"/>
      <c r="L247" s="5">
        <f>K247*270.22</f>
        <v>0</v>
      </c>
    </row>
    <row r="248" spans="1:12">
      <c r="A248" s="1"/>
      <c r="B248" s="1">
        <v>827632</v>
      </c>
      <c r="C248" s="1" t="s">
        <v>924</v>
      </c>
      <c r="D248" s="1" t="s">
        <v>925</v>
      </c>
      <c r="E248" s="3" t="s">
        <v>926</v>
      </c>
      <c r="F248" s="1" t="s">
        <v>927</v>
      </c>
      <c r="G248" s="1" t="s">
        <v>15</v>
      </c>
      <c r="H248" s="1" t="s">
        <v>15</v>
      </c>
      <c r="I248" s="1" t="s">
        <v>15</v>
      </c>
      <c r="J248" s="1" t="s">
        <v>16</v>
      </c>
      <c r="K248" s="2"/>
      <c r="L248" s="5">
        <f>K248*440.59</f>
        <v>0</v>
      </c>
    </row>
    <row r="249" spans="1:12">
      <c r="A249" s="1"/>
      <c r="B249" s="1">
        <v>827633</v>
      </c>
      <c r="C249" s="1" t="s">
        <v>928</v>
      </c>
      <c r="D249" s="1">
        <v>10008356</v>
      </c>
      <c r="E249" s="3" t="s">
        <v>929</v>
      </c>
      <c r="F249" s="1" t="s">
        <v>317</v>
      </c>
      <c r="G249" s="1" t="s">
        <v>15</v>
      </c>
      <c r="H249" s="1" t="s">
        <v>15</v>
      </c>
      <c r="I249" s="1" t="s">
        <v>15</v>
      </c>
      <c r="J249" s="1" t="s">
        <v>16</v>
      </c>
      <c r="K249" s="2"/>
      <c r="L249" s="5">
        <f>K249*0.00</f>
        <v>0</v>
      </c>
    </row>
    <row r="250" spans="1:12">
      <c r="A250" s="1"/>
      <c r="B250" s="1">
        <v>827634</v>
      </c>
      <c r="C250" s="1" t="s">
        <v>930</v>
      </c>
      <c r="D250" s="1">
        <v>7165</v>
      </c>
      <c r="E250" s="3" t="s">
        <v>931</v>
      </c>
      <c r="F250" s="1" t="s">
        <v>932</v>
      </c>
      <c r="G250" s="1" t="s">
        <v>15</v>
      </c>
      <c r="H250" s="1" t="s">
        <v>15</v>
      </c>
      <c r="I250" s="1" t="s">
        <v>15</v>
      </c>
      <c r="J250" s="1" t="s">
        <v>16</v>
      </c>
      <c r="K250" s="2"/>
      <c r="L250" s="5">
        <f>K250*524.83</f>
        <v>0</v>
      </c>
    </row>
    <row r="251" spans="1:12">
      <c r="A251" s="1"/>
      <c r="B251" s="1">
        <v>827635</v>
      </c>
      <c r="C251" s="1" t="s">
        <v>933</v>
      </c>
      <c r="D251" s="1">
        <v>7166</v>
      </c>
      <c r="E251" s="3" t="s">
        <v>934</v>
      </c>
      <c r="F251" s="1" t="s">
        <v>935</v>
      </c>
      <c r="G251" s="1" t="s">
        <v>15</v>
      </c>
      <c r="H251" s="1" t="s">
        <v>15</v>
      </c>
      <c r="I251" s="1" t="s">
        <v>15</v>
      </c>
      <c r="J251" s="1" t="s">
        <v>16</v>
      </c>
      <c r="K251" s="2"/>
      <c r="L251" s="5">
        <f>K251*578.65</f>
        <v>0</v>
      </c>
    </row>
    <row r="252" spans="1:12">
      <c r="A252" s="1"/>
      <c r="B252" s="1">
        <v>827636</v>
      </c>
      <c r="C252" s="1" t="s">
        <v>936</v>
      </c>
      <c r="D252" s="1">
        <v>7175</v>
      </c>
      <c r="E252" s="3" t="s">
        <v>937</v>
      </c>
      <c r="F252" s="1" t="s">
        <v>938</v>
      </c>
      <c r="G252" s="1" t="s">
        <v>15</v>
      </c>
      <c r="H252" s="1" t="s">
        <v>15</v>
      </c>
      <c r="I252" s="1" t="s">
        <v>15</v>
      </c>
      <c r="J252" s="1" t="s">
        <v>16</v>
      </c>
      <c r="K252" s="2"/>
      <c r="L252" s="5">
        <f>K252*457.63</f>
        <v>0</v>
      </c>
    </row>
    <row r="253" spans="1:12">
      <c r="A253" s="1"/>
      <c r="B253" s="1">
        <v>827637</v>
      </c>
      <c r="C253" s="1" t="s">
        <v>939</v>
      </c>
      <c r="D253" s="1" t="s">
        <v>940</v>
      </c>
      <c r="E253" s="3" t="s">
        <v>941</v>
      </c>
      <c r="F253" s="1" t="s">
        <v>942</v>
      </c>
      <c r="G253" s="1" t="s">
        <v>15</v>
      </c>
      <c r="H253" s="1" t="s">
        <v>15</v>
      </c>
      <c r="I253" s="1" t="s">
        <v>15</v>
      </c>
      <c r="J253" s="1" t="s">
        <v>16</v>
      </c>
      <c r="K253" s="2"/>
      <c r="L253" s="5">
        <f>K253*623.85</f>
        <v>0</v>
      </c>
    </row>
    <row r="254" spans="1:12">
      <c r="A254" s="1"/>
      <c r="B254" s="1">
        <v>827638</v>
      </c>
      <c r="C254" s="1" t="s">
        <v>943</v>
      </c>
      <c r="D254" s="1">
        <v>10008367</v>
      </c>
      <c r="E254" s="3" t="s">
        <v>944</v>
      </c>
      <c r="F254" s="1" t="s">
        <v>317</v>
      </c>
      <c r="G254" s="1" t="s">
        <v>15</v>
      </c>
      <c r="H254" s="1" t="s">
        <v>15</v>
      </c>
      <c r="I254" s="1" t="s">
        <v>15</v>
      </c>
      <c r="J254" s="1" t="s">
        <v>16</v>
      </c>
      <c r="K254" s="2"/>
      <c r="L254" s="5">
        <f>K254*0.00</f>
        <v>0</v>
      </c>
    </row>
    <row r="255" spans="1:12">
      <c r="A255" s="1"/>
      <c r="B255" s="1">
        <v>827639</v>
      </c>
      <c r="C255" s="1" t="s">
        <v>945</v>
      </c>
      <c r="D255" s="1" t="s">
        <v>946</v>
      </c>
      <c r="E255" s="3" t="s">
        <v>947</v>
      </c>
      <c r="F255" s="1" t="s">
        <v>948</v>
      </c>
      <c r="G255" s="1" t="s">
        <v>15</v>
      </c>
      <c r="H255" s="1" t="s">
        <v>15</v>
      </c>
      <c r="I255" s="1" t="s">
        <v>15</v>
      </c>
      <c r="J255" s="1" t="s">
        <v>16</v>
      </c>
      <c r="K255" s="2"/>
      <c r="L255" s="5">
        <f>K255*1229.97</f>
        <v>0</v>
      </c>
    </row>
    <row r="256" spans="1:12">
      <c r="A256" s="1"/>
      <c r="B256" s="1">
        <v>827640</v>
      </c>
      <c r="C256" s="1" t="s">
        <v>949</v>
      </c>
      <c r="D256" s="1" t="s">
        <v>950</v>
      </c>
      <c r="E256" s="3" t="s">
        <v>951</v>
      </c>
      <c r="F256" s="1" t="s">
        <v>948</v>
      </c>
      <c r="G256" s="1" t="s">
        <v>15</v>
      </c>
      <c r="H256" s="1" t="s">
        <v>15</v>
      </c>
      <c r="I256" s="1" t="s">
        <v>15</v>
      </c>
      <c r="J256" s="1" t="s">
        <v>16</v>
      </c>
      <c r="K256" s="2"/>
      <c r="L256" s="5">
        <f>K256*1229.97</f>
        <v>0</v>
      </c>
    </row>
    <row r="257" spans="1:12">
      <c r="A257" s="1"/>
      <c r="B257" s="1">
        <v>827641</v>
      </c>
      <c r="C257" s="1" t="s">
        <v>952</v>
      </c>
      <c r="D257" s="1">
        <v>10008376</v>
      </c>
      <c r="E257" s="3" t="s">
        <v>953</v>
      </c>
      <c r="F257" s="1" t="s">
        <v>317</v>
      </c>
      <c r="G257" s="1" t="s">
        <v>15</v>
      </c>
      <c r="H257" s="1" t="s">
        <v>15</v>
      </c>
      <c r="I257" s="1" t="s">
        <v>15</v>
      </c>
      <c r="J257" s="1" t="s">
        <v>16</v>
      </c>
      <c r="K257" s="2"/>
      <c r="L257" s="5">
        <f>K257*0.00</f>
        <v>0</v>
      </c>
    </row>
    <row r="258" spans="1:12">
      <c r="A258" s="1"/>
      <c r="B258" s="1">
        <v>827642</v>
      </c>
      <c r="C258" s="1" t="s">
        <v>954</v>
      </c>
      <c r="D258" s="1">
        <v>10008378</v>
      </c>
      <c r="E258" s="3" t="s">
        <v>955</v>
      </c>
      <c r="F258" s="1" t="s">
        <v>317</v>
      </c>
      <c r="G258" s="1" t="s">
        <v>15</v>
      </c>
      <c r="H258" s="1" t="s">
        <v>15</v>
      </c>
      <c r="I258" s="1" t="s">
        <v>15</v>
      </c>
      <c r="J258" s="1" t="s">
        <v>16</v>
      </c>
      <c r="K258" s="2"/>
      <c r="L258" s="5">
        <f>K258*0.00</f>
        <v>0</v>
      </c>
    </row>
    <row r="259" spans="1:12">
      <c r="A259" s="1"/>
      <c r="B259" s="1">
        <v>827643</v>
      </c>
      <c r="C259" s="1" t="s">
        <v>956</v>
      </c>
      <c r="D259" s="1" t="s">
        <v>957</v>
      </c>
      <c r="E259" s="3" t="s">
        <v>958</v>
      </c>
      <c r="F259" s="1" t="s">
        <v>959</v>
      </c>
      <c r="G259" s="1" t="s">
        <v>15</v>
      </c>
      <c r="H259" s="1" t="s">
        <v>15</v>
      </c>
      <c r="I259" s="1" t="s">
        <v>15</v>
      </c>
      <c r="J259" s="1" t="s">
        <v>16</v>
      </c>
      <c r="K259" s="2"/>
      <c r="L259" s="5">
        <f>K259*1706.44</f>
        <v>0</v>
      </c>
    </row>
    <row r="260" spans="1:12">
      <c r="A260" s="1"/>
      <c r="B260" s="1">
        <v>827644</v>
      </c>
      <c r="C260" s="1" t="s">
        <v>960</v>
      </c>
      <c r="D260" s="1" t="s">
        <v>961</v>
      </c>
      <c r="E260" s="3" t="s">
        <v>962</v>
      </c>
      <c r="F260" s="1" t="s">
        <v>750</v>
      </c>
      <c r="G260" s="1" t="s">
        <v>15</v>
      </c>
      <c r="H260" s="1" t="s">
        <v>15</v>
      </c>
      <c r="I260" s="1" t="s">
        <v>15</v>
      </c>
      <c r="J260" s="1" t="s">
        <v>16</v>
      </c>
      <c r="K260" s="2"/>
      <c r="L260" s="5">
        <f>K260*1749.54</f>
        <v>0</v>
      </c>
    </row>
    <row r="261" spans="1:12">
      <c r="A261" s="1"/>
      <c r="B261" s="1">
        <v>827645</v>
      </c>
      <c r="C261" s="1" t="s">
        <v>963</v>
      </c>
      <c r="D261" s="1">
        <v>10008389</v>
      </c>
      <c r="E261" s="3" t="s">
        <v>964</v>
      </c>
      <c r="F261" s="1" t="s">
        <v>317</v>
      </c>
      <c r="G261" s="1" t="s">
        <v>15</v>
      </c>
      <c r="H261" s="1" t="s">
        <v>15</v>
      </c>
      <c r="I261" s="1" t="s">
        <v>15</v>
      </c>
      <c r="J261" s="1" t="s">
        <v>16</v>
      </c>
      <c r="K261" s="2"/>
      <c r="L261" s="5">
        <f>K261*0.00</f>
        <v>0</v>
      </c>
    </row>
    <row r="262" spans="1:12">
      <c r="A262" s="1"/>
      <c r="B262" s="1">
        <v>827646</v>
      </c>
      <c r="C262" s="1" t="s">
        <v>965</v>
      </c>
      <c r="D262" s="1">
        <v>10008396</v>
      </c>
      <c r="E262" s="3" t="s">
        <v>966</v>
      </c>
      <c r="F262" s="1" t="s">
        <v>317</v>
      </c>
      <c r="G262" s="1" t="s">
        <v>15</v>
      </c>
      <c r="H262" s="1" t="s">
        <v>15</v>
      </c>
      <c r="I262" s="1" t="s">
        <v>15</v>
      </c>
      <c r="J262" s="1" t="s">
        <v>16</v>
      </c>
      <c r="K262" s="2"/>
      <c r="L262" s="5">
        <f>K262*0.00</f>
        <v>0</v>
      </c>
    </row>
    <row r="263" spans="1:12">
      <c r="A263" s="1"/>
      <c r="B263" s="1">
        <v>827647</v>
      </c>
      <c r="C263" s="1" t="s">
        <v>967</v>
      </c>
      <c r="D263" s="1" t="s">
        <v>968</v>
      </c>
      <c r="E263" s="3" t="s">
        <v>969</v>
      </c>
      <c r="F263" s="1" t="s">
        <v>970</v>
      </c>
      <c r="G263" s="1" t="s">
        <v>15</v>
      </c>
      <c r="H263" s="1" t="s">
        <v>15</v>
      </c>
      <c r="I263" s="1" t="s">
        <v>15</v>
      </c>
      <c r="J263" s="1" t="s">
        <v>16</v>
      </c>
      <c r="K263" s="2"/>
      <c r="L263" s="5">
        <f>K263*2504.26</f>
        <v>0</v>
      </c>
    </row>
    <row r="264" spans="1:12">
      <c r="A264" s="1"/>
      <c r="B264" s="1">
        <v>827648</v>
      </c>
      <c r="C264" s="1" t="s">
        <v>971</v>
      </c>
      <c r="D264" s="1">
        <v>7198</v>
      </c>
      <c r="E264" s="3" t="s">
        <v>972</v>
      </c>
      <c r="F264" s="1" t="s">
        <v>973</v>
      </c>
      <c r="G264" s="1" t="s">
        <v>15</v>
      </c>
      <c r="H264" s="1" t="s">
        <v>15</v>
      </c>
      <c r="I264" s="1" t="s">
        <v>15</v>
      </c>
      <c r="J264" s="1" t="s">
        <v>16</v>
      </c>
      <c r="K264" s="2"/>
      <c r="L264" s="5">
        <f>K264*2537.50</f>
        <v>0</v>
      </c>
    </row>
    <row r="265" spans="1:12">
      <c r="A265" s="1"/>
      <c r="B265" s="1">
        <v>827649</v>
      </c>
      <c r="C265" s="1" t="s">
        <v>974</v>
      </c>
      <c r="D265" s="1" t="s">
        <v>975</v>
      </c>
      <c r="E265" s="3" t="s">
        <v>976</v>
      </c>
      <c r="F265" s="1" t="s">
        <v>977</v>
      </c>
      <c r="G265" s="1" t="s">
        <v>15</v>
      </c>
      <c r="H265" s="1" t="s">
        <v>15</v>
      </c>
      <c r="I265" s="1" t="s">
        <v>15</v>
      </c>
      <c r="J265" s="1" t="s">
        <v>16</v>
      </c>
      <c r="K265" s="2"/>
      <c r="L265" s="5">
        <f>K265*301.07</f>
        <v>0</v>
      </c>
    </row>
    <row r="266" spans="1:12">
      <c r="A266" s="1"/>
      <c r="B266" s="1">
        <v>827650</v>
      </c>
      <c r="C266" s="1" t="s">
        <v>978</v>
      </c>
      <c r="D266" s="1" t="s">
        <v>979</v>
      </c>
      <c r="E266" s="3" t="s">
        <v>980</v>
      </c>
      <c r="F266" s="1" t="s">
        <v>981</v>
      </c>
      <c r="G266" s="1" t="s">
        <v>15</v>
      </c>
      <c r="H266" s="1" t="s">
        <v>15</v>
      </c>
      <c r="I266" s="1" t="s">
        <v>15</v>
      </c>
      <c r="J266" s="1" t="s">
        <v>16</v>
      </c>
      <c r="K266" s="2"/>
      <c r="L266" s="5">
        <f>K266*503.48</f>
        <v>0</v>
      </c>
    </row>
    <row r="267" spans="1:12">
      <c r="A267" s="1"/>
      <c r="B267" s="1">
        <v>827651</v>
      </c>
      <c r="C267" s="1" t="s">
        <v>982</v>
      </c>
      <c r="D267" s="1" t="s">
        <v>983</v>
      </c>
      <c r="E267" s="3" t="s">
        <v>984</v>
      </c>
      <c r="F267" s="1" t="s">
        <v>985</v>
      </c>
      <c r="G267" s="1" t="s">
        <v>15</v>
      </c>
      <c r="H267" s="1" t="s">
        <v>15</v>
      </c>
      <c r="I267" s="1" t="s">
        <v>15</v>
      </c>
      <c r="J267" s="1" t="s">
        <v>16</v>
      </c>
      <c r="K267" s="2"/>
      <c r="L267" s="5">
        <f>K267*70.74</f>
        <v>0</v>
      </c>
    </row>
    <row r="268" spans="1:12">
      <c r="A268" s="1"/>
      <c r="B268" s="1">
        <v>827652</v>
      </c>
      <c r="C268" s="1" t="s">
        <v>986</v>
      </c>
      <c r="D268" s="1" t="s">
        <v>987</v>
      </c>
      <c r="E268" s="3" t="s">
        <v>988</v>
      </c>
      <c r="F268" s="1" t="s">
        <v>989</v>
      </c>
      <c r="G268" s="1" t="s">
        <v>15</v>
      </c>
      <c r="H268" s="1" t="s">
        <v>15</v>
      </c>
      <c r="I268" s="1" t="s">
        <v>15</v>
      </c>
      <c r="J268" s="1" t="s">
        <v>16</v>
      </c>
      <c r="K268" s="2"/>
      <c r="L268" s="5">
        <f>K268*89.77</f>
        <v>0</v>
      </c>
    </row>
    <row r="269" spans="1:12">
      <c r="A269" s="1"/>
      <c r="B269" s="1">
        <v>827653</v>
      </c>
      <c r="C269" s="1" t="s">
        <v>990</v>
      </c>
      <c r="D269" s="1" t="s">
        <v>991</v>
      </c>
      <c r="E269" s="3" t="s">
        <v>992</v>
      </c>
      <c r="F269" s="1" t="s">
        <v>993</v>
      </c>
      <c r="G269" s="1" t="s">
        <v>15</v>
      </c>
      <c r="H269" s="1" t="s">
        <v>15</v>
      </c>
      <c r="I269" s="1" t="s">
        <v>15</v>
      </c>
      <c r="J269" s="1" t="s">
        <v>16</v>
      </c>
      <c r="K269" s="2"/>
      <c r="L269" s="5">
        <f>K269*93.79</f>
        <v>0</v>
      </c>
    </row>
    <row r="270" spans="1:12">
      <c r="A270" s="1"/>
      <c r="B270" s="1">
        <v>827654</v>
      </c>
      <c r="C270" s="1" t="s">
        <v>994</v>
      </c>
      <c r="D270" s="1" t="s">
        <v>995</v>
      </c>
      <c r="E270" s="3" t="s">
        <v>996</v>
      </c>
      <c r="F270" s="1" t="s">
        <v>989</v>
      </c>
      <c r="G270" s="1" t="s">
        <v>15</v>
      </c>
      <c r="H270" s="1" t="s">
        <v>15</v>
      </c>
      <c r="I270" s="1" t="s">
        <v>15</v>
      </c>
      <c r="J270" s="1" t="s">
        <v>16</v>
      </c>
      <c r="K270" s="2"/>
      <c r="L270" s="5">
        <f>K270*89.77</f>
        <v>0</v>
      </c>
    </row>
    <row r="271" spans="1:12">
      <c r="A271" s="1"/>
      <c r="B271" s="1">
        <v>827655</v>
      </c>
      <c r="C271" s="1" t="s">
        <v>997</v>
      </c>
      <c r="D271" s="1" t="s">
        <v>998</v>
      </c>
      <c r="E271" s="3" t="s">
        <v>999</v>
      </c>
      <c r="F271" s="1" t="s">
        <v>1000</v>
      </c>
      <c r="G271" s="1" t="s">
        <v>15</v>
      </c>
      <c r="H271" s="1" t="s">
        <v>15</v>
      </c>
      <c r="I271" s="1" t="s">
        <v>15</v>
      </c>
      <c r="J271" s="1" t="s">
        <v>16</v>
      </c>
      <c r="K271" s="2"/>
      <c r="L271" s="5">
        <f>K271*174.87</f>
        <v>0</v>
      </c>
    </row>
    <row r="272" spans="1:12">
      <c r="A272" s="1"/>
      <c r="B272" s="1">
        <v>827656</v>
      </c>
      <c r="C272" s="1" t="s">
        <v>1001</v>
      </c>
      <c r="D272" s="1" t="s">
        <v>1002</v>
      </c>
      <c r="E272" s="3" t="s">
        <v>1003</v>
      </c>
      <c r="F272" s="1" t="s">
        <v>1004</v>
      </c>
      <c r="G272" s="1" t="s">
        <v>15</v>
      </c>
      <c r="H272" s="1" t="s">
        <v>15</v>
      </c>
      <c r="I272" s="1" t="s">
        <v>15</v>
      </c>
      <c r="J272" s="1" t="s">
        <v>16</v>
      </c>
      <c r="K272" s="2"/>
      <c r="L272" s="5">
        <f>K272*130.70</f>
        <v>0</v>
      </c>
    </row>
    <row r="273" spans="1:12">
      <c r="A273" s="1"/>
      <c r="B273" s="1">
        <v>827657</v>
      </c>
      <c r="C273" s="1" t="s">
        <v>1005</v>
      </c>
      <c r="D273" s="1" t="s">
        <v>1006</v>
      </c>
      <c r="E273" s="3" t="s">
        <v>1007</v>
      </c>
      <c r="F273" s="1" t="s">
        <v>1008</v>
      </c>
      <c r="G273" s="1" t="s">
        <v>15</v>
      </c>
      <c r="H273" s="1" t="s">
        <v>15</v>
      </c>
      <c r="I273" s="1" t="s">
        <v>15</v>
      </c>
      <c r="J273" s="1" t="s">
        <v>16</v>
      </c>
      <c r="K273" s="2"/>
      <c r="L273" s="5">
        <f>K273*155.42</f>
        <v>0</v>
      </c>
    </row>
    <row r="274" spans="1:12">
      <c r="A274" s="1"/>
      <c r="B274" s="1">
        <v>827658</v>
      </c>
      <c r="C274" s="1" t="s">
        <v>1009</v>
      </c>
      <c r="D274" s="1" t="s">
        <v>1010</v>
      </c>
      <c r="E274" s="3" t="s">
        <v>1011</v>
      </c>
      <c r="F274" s="1" t="s">
        <v>1012</v>
      </c>
      <c r="G274" s="1" t="s">
        <v>15</v>
      </c>
      <c r="H274" s="1" t="s">
        <v>15</v>
      </c>
      <c r="I274" s="1" t="s">
        <v>15</v>
      </c>
      <c r="J274" s="1" t="s">
        <v>16</v>
      </c>
      <c r="K274" s="2"/>
      <c r="L274" s="5">
        <f>K274*151.24</f>
        <v>0</v>
      </c>
    </row>
    <row r="275" spans="1:12">
      <c r="A275" s="1"/>
      <c r="B275" s="1">
        <v>827659</v>
      </c>
      <c r="C275" s="1" t="s">
        <v>1013</v>
      </c>
      <c r="D275" s="1" t="s">
        <v>1014</v>
      </c>
      <c r="E275" s="3" t="s">
        <v>1015</v>
      </c>
      <c r="F275" s="1" t="s">
        <v>1016</v>
      </c>
      <c r="G275" s="1" t="s">
        <v>15</v>
      </c>
      <c r="H275" s="1" t="s">
        <v>15</v>
      </c>
      <c r="I275" s="1" t="s">
        <v>15</v>
      </c>
      <c r="J275" s="1" t="s">
        <v>16</v>
      </c>
      <c r="K275" s="2"/>
      <c r="L275" s="5">
        <f>K275*232.81</f>
        <v>0</v>
      </c>
    </row>
    <row r="276" spans="1:12">
      <c r="A276" s="1"/>
      <c r="B276" s="1">
        <v>827660</v>
      </c>
      <c r="C276" s="1" t="s">
        <v>1017</v>
      </c>
      <c r="D276" s="1" t="s">
        <v>1018</v>
      </c>
      <c r="E276" s="3" t="s">
        <v>1019</v>
      </c>
      <c r="F276" s="1" t="s">
        <v>1020</v>
      </c>
      <c r="G276" s="1" t="s">
        <v>15</v>
      </c>
      <c r="H276" s="1" t="s">
        <v>15</v>
      </c>
      <c r="I276" s="1" t="s">
        <v>15</v>
      </c>
      <c r="J276" s="1" t="s">
        <v>16</v>
      </c>
      <c r="K276" s="2"/>
      <c r="L276" s="5">
        <f>K276*142.56</f>
        <v>0</v>
      </c>
    </row>
    <row r="277" spans="1:12">
      <c r="A277" s="1"/>
      <c r="B277" s="1">
        <v>827661</v>
      </c>
      <c r="C277" s="1" t="s">
        <v>1021</v>
      </c>
      <c r="D277" s="1" t="s">
        <v>1022</v>
      </c>
      <c r="E277" s="3" t="s">
        <v>1023</v>
      </c>
      <c r="F277" s="1" t="s">
        <v>1024</v>
      </c>
      <c r="G277" s="1" t="s">
        <v>15</v>
      </c>
      <c r="H277" s="1" t="s">
        <v>15</v>
      </c>
      <c r="I277" s="1" t="s">
        <v>15</v>
      </c>
      <c r="J277" s="1" t="s">
        <v>16</v>
      </c>
      <c r="K277" s="2"/>
      <c r="L277" s="5">
        <f>K277*140.76</f>
        <v>0</v>
      </c>
    </row>
    <row r="278" spans="1:12">
      <c r="A278" s="1"/>
      <c r="B278" s="1">
        <v>827662</v>
      </c>
      <c r="C278" s="1" t="s">
        <v>1025</v>
      </c>
      <c r="D278" s="1">
        <v>7050</v>
      </c>
      <c r="E278" s="3" t="s">
        <v>1026</v>
      </c>
      <c r="F278" s="1" t="s">
        <v>1027</v>
      </c>
      <c r="G278" s="1" t="s">
        <v>15</v>
      </c>
      <c r="H278" s="1" t="s">
        <v>15</v>
      </c>
      <c r="I278" s="1" t="s">
        <v>15</v>
      </c>
      <c r="J278" s="1" t="s">
        <v>16</v>
      </c>
      <c r="K278" s="2"/>
      <c r="L278" s="5">
        <f>K278*260.50</f>
        <v>0</v>
      </c>
    </row>
    <row r="279" spans="1:12">
      <c r="A279" s="1"/>
      <c r="B279" s="1">
        <v>827663</v>
      </c>
      <c r="C279" s="1" t="s">
        <v>1028</v>
      </c>
      <c r="D279" s="1" t="s">
        <v>1029</v>
      </c>
      <c r="E279" s="3" t="s">
        <v>1030</v>
      </c>
      <c r="F279" s="1" t="s">
        <v>1031</v>
      </c>
      <c r="G279" s="1" t="s">
        <v>15</v>
      </c>
      <c r="H279" s="1" t="s">
        <v>15</v>
      </c>
      <c r="I279" s="1" t="s">
        <v>15</v>
      </c>
      <c r="J279" s="1" t="s">
        <v>16</v>
      </c>
      <c r="K279" s="2"/>
      <c r="L279" s="5">
        <f>K279*249.48</f>
        <v>0</v>
      </c>
    </row>
    <row r="280" spans="1:12">
      <c r="A280" s="1"/>
      <c r="B280" s="1">
        <v>827664</v>
      </c>
      <c r="C280" s="1" t="s">
        <v>1032</v>
      </c>
      <c r="D280" s="1" t="s">
        <v>1033</v>
      </c>
      <c r="E280" s="3" t="s">
        <v>1034</v>
      </c>
      <c r="F280" s="1" t="s">
        <v>1035</v>
      </c>
      <c r="G280" s="1" t="s">
        <v>15</v>
      </c>
      <c r="H280" s="1" t="s">
        <v>15</v>
      </c>
      <c r="I280" s="1" t="s">
        <v>15</v>
      </c>
      <c r="J280" s="1" t="s">
        <v>16</v>
      </c>
      <c r="K280" s="2"/>
      <c r="L280" s="5">
        <f>K280*269.60</f>
        <v>0</v>
      </c>
    </row>
    <row r="281" spans="1:12">
      <c r="A281" s="1"/>
      <c r="B281" s="1">
        <v>827665</v>
      </c>
      <c r="C281" s="1" t="s">
        <v>1036</v>
      </c>
      <c r="D281" s="1" t="s">
        <v>1037</v>
      </c>
      <c r="E281" s="3" t="s">
        <v>1038</v>
      </c>
      <c r="F281" s="1" t="s">
        <v>1039</v>
      </c>
      <c r="G281" s="1" t="s">
        <v>15</v>
      </c>
      <c r="H281" s="1" t="s">
        <v>15</v>
      </c>
      <c r="I281" s="1" t="s">
        <v>15</v>
      </c>
      <c r="J281" s="1" t="s">
        <v>16</v>
      </c>
      <c r="K281" s="2"/>
      <c r="L281" s="5">
        <f>K281*262.44</f>
        <v>0</v>
      </c>
    </row>
    <row r="282" spans="1:12">
      <c r="A282" s="1"/>
      <c r="B282" s="1">
        <v>827666</v>
      </c>
      <c r="C282" s="1" t="s">
        <v>1040</v>
      </c>
      <c r="D282" s="1" t="s">
        <v>1041</v>
      </c>
      <c r="E282" s="3" t="s">
        <v>1042</v>
      </c>
      <c r="F282" s="1" t="s">
        <v>1043</v>
      </c>
      <c r="G282" s="1" t="s">
        <v>15</v>
      </c>
      <c r="H282" s="1" t="s">
        <v>15</v>
      </c>
      <c r="I282" s="1" t="s">
        <v>15</v>
      </c>
      <c r="J282" s="1" t="s">
        <v>16</v>
      </c>
      <c r="K282" s="2"/>
      <c r="L282" s="5">
        <f>K282*668.58</f>
        <v>0</v>
      </c>
    </row>
    <row r="283" spans="1:12">
      <c r="A283" s="1"/>
      <c r="B283" s="1">
        <v>827667</v>
      </c>
      <c r="C283" s="1" t="s">
        <v>1044</v>
      </c>
      <c r="D283" s="1">
        <v>7064</v>
      </c>
      <c r="E283" s="3" t="s">
        <v>1045</v>
      </c>
      <c r="F283" s="1" t="s">
        <v>1046</v>
      </c>
      <c r="G283" s="1" t="s">
        <v>15</v>
      </c>
      <c r="H283" s="1" t="s">
        <v>15</v>
      </c>
      <c r="I283" s="1" t="s">
        <v>15</v>
      </c>
      <c r="J283" s="1" t="s">
        <v>16</v>
      </c>
      <c r="K283" s="2"/>
      <c r="L283" s="5">
        <f>K283*426.06</f>
        <v>0</v>
      </c>
    </row>
    <row r="284" spans="1:12">
      <c r="A284" s="1"/>
      <c r="B284" s="1">
        <v>827668</v>
      </c>
      <c r="C284" s="1" t="s">
        <v>1047</v>
      </c>
      <c r="D284" s="1" t="s">
        <v>1048</v>
      </c>
      <c r="E284" s="3" t="s">
        <v>1049</v>
      </c>
      <c r="F284" s="1" t="s">
        <v>1050</v>
      </c>
      <c r="G284" s="1" t="s">
        <v>15</v>
      </c>
      <c r="H284" s="1" t="s">
        <v>15</v>
      </c>
      <c r="I284" s="1" t="s">
        <v>15</v>
      </c>
      <c r="J284" s="1" t="s">
        <v>16</v>
      </c>
      <c r="K284" s="2"/>
      <c r="L284" s="5">
        <f>K284*467.12</f>
        <v>0</v>
      </c>
    </row>
    <row r="285" spans="1:12">
      <c r="A285" s="1"/>
      <c r="B285" s="1">
        <v>827669</v>
      </c>
      <c r="C285" s="1" t="s">
        <v>1051</v>
      </c>
      <c r="D285" s="1" t="s">
        <v>1052</v>
      </c>
      <c r="E285" s="3" t="s">
        <v>1053</v>
      </c>
      <c r="F285" s="1" t="s">
        <v>1054</v>
      </c>
      <c r="G285" s="1" t="s">
        <v>15</v>
      </c>
      <c r="H285" s="1" t="s">
        <v>15</v>
      </c>
      <c r="I285" s="1" t="s">
        <v>15</v>
      </c>
      <c r="J285" s="1" t="s">
        <v>16</v>
      </c>
      <c r="K285" s="2"/>
      <c r="L285" s="5">
        <f>K285*647.88</f>
        <v>0</v>
      </c>
    </row>
    <row r="286" spans="1:12">
      <c r="A286" s="1"/>
      <c r="B286" s="1">
        <v>827670</v>
      </c>
      <c r="C286" s="1" t="s">
        <v>1055</v>
      </c>
      <c r="D286" s="1" t="s">
        <v>1056</v>
      </c>
      <c r="E286" s="3" t="s">
        <v>1057</v>
      </c>
      <c r="F286" s="1" t="s">
        <v>1058</v>
      </c>
      <c r="G286" s="1" t="s">
        <v>15</v>
      </c>
      <c r="H286" s="1" t="s">
        <v>15</v>
      </c>
      <c r="I286" s="1" t="s">
        <v>15</v>
      </c>
      <c r="J286" s="1" t="s">
        <v>16</v>
      </c>
      <c r="K286" s="2"/>
      <c r="L286" s="5">
        <f>K286*1072.30</f>
        <v>0</v>
      </c>
    </row>
    <row r="287" spans="1:12">
      <c r="A287" s="1"/>
      <c r="B287" s="1">
        <v>827671</v>
      </c>
      <c r="C287" s="1" t="s">
        <v>1059</v>
      </c>
      <c r="D287" s="1" t="s">
        <v>1060</v>
      </c>
      <c r="E287" s="3" t="s">
        <v>1061</v>
      </c>
      <c r="F287" s="1" t="s">
        <v>1062</v>
      </c>
      <c r="G287" s="1" t="s">
        <v>15</v>
      </c>
      <c r="H287" s="1" t="s">
        <v>15</v>
      </c>
      <c r="I287" s="1" t="s">
        <v>15</v>
      </c>
      <c r="J287" s="1" t="s">
        <v>16</v>
      </c>
      <c r="K287" s="2"/>
      <c r="L287" s="5">
        <f>K287*1185.17</f>
        <v>0</v>
      </c>
    </row>
    <row r="288" spans="1:12">
      <c r="A288" s="1"/>
      <c r="B288" s="1">
        <v>827672</v>
      </c>
      <c r="C288" s="1" t="s">
        <v>1063</v>
      </c>
      <c r="D288" s="1" t="s">
        <v>1064</v>
      </c>
      <c r="E288" s="3" t="s">
        <v>1065</v>
      </c>
      <c r="F288" s="1" t="s">
        <v>635</v>
      </c>
      <c r="G288" s="1" t="s">
        <v>15</v>
      </c>
      <c r="H288" s="1" t="s">
        <v>15</v>
      </c>
      <c r="I288" s="1" t="s">
        <v>15</v>
      </c>
      <c r="J288" s="1" t="s">
        <v>16</v>
      </c>
      <c r="K288" s="2"/>
      <c r="L288" s="5">
        <f>K288*1171.06</f>
        <v>0</v>
      </c>
    </row>
    <row r="289" spans="1:12">
      <c r="A289" s="1"/>
      <c r="B289" s="1">
        <v>827673</v>
      </c>
      <c r="C289" s="1" t="s">
        <v>1066</v>
      </c>
      <c r="D289" s="1">
        <v>7090</v>
      </c>
      <c r="E289" s="3" t="s">
        <v>1067</v>
      </c>
      <c r="F289" s="1" t="s">
        <v>1068</v>
      </c>
      <c r="G289" s="1" t="s">
        <v>15</v>
      </c>
      <c r="H289" s="1" t="s">
        <v>15</v>
      </c>
      <c r="I289" s="1" t="s">
        <v>15</v>
      </c>
      <c r="J289" s="1" t="s">
        <v>16</v>
      </c>
      <c r="K289" s="2"/>
      <c r="L289" s="5">
        <f>K289*1777.76</f>
        <v>0</v>
      </c>
    </row>
    <row r="290" spans="1:12">
      <c r="A290" s="1"/>
      <c r="B290" s="1">
        <v>827674</v>
      </c>
      <c r="C290" s="1" t="s">
        <v>1069</v>
      </c>
      <c r="D290" s="1">
        <v>7091</v>
      </c>
      <c r="E290" s="3" t="s">
        <v>1070</v>
      </c>
      <c r="F290" s="1" t="s">
        <v>1068</v>
      </c>
      <c r="G290" s="1" t="s">
        <v>15</v>
      </c>
      <c r="H290" s="1" t="s">
        <v>15</v>
      </c>
      <c r="I290" s="1" t="s">
        <v>15</v>
      </c>
      <c r="J290" s="1" t="s">
        <v>16</v>
      </c>
      <c r="K290" s="2"/>
      <c r="L290" s="5">
        <f>K290*1777.76</f>
        <v>0</v>
      </c>
    </row>
    <row r="291" spans="1:12">
      <c r="A291" s="1"/>
      <c r="B291" s="1">
        <v>827675</v>
      </c>
      <c r="C291" s="1" t="s">
        <v>1071</v>
      </c>
      <c r="D291" s="1" t="s">
        <v>1072</v>
      </c>
      <c r="E291" s="3" t="s">
        <v>1073</v>
      </c>
      <c r="F291" s="1" t="s">
        <v>1074</v>
      </c>
      <c r="G291" s="1" t="s">
        <v>15</v>
      </c>
      <c r="H291" s="1" t="s">
        <v>15</v>
      </c>
      <c r="I291" s="1" t="s">
        <v>15</v>
      </c>
      <c r="J291" s="1" t="s">
        <v>16</v>
      </c>
      <c r="K291" s="2"/>
      <c r="L291" s="5">
        <f>K291*1876.52</f>
        <v>0</v>
      </c>
    </row>
    <row r="292" spans="1:12">
      <c r="A292" s="1"/>
      <c r="B292" s="1">
        <v>827676</v>
      </c>
      <c r="C292" s="1" t="s">
        <v>1075</v>
      </c>
      <c r="D292" s="1">
        <v>10003096</v>
      </c>
      <c r="E292" s="3" t="s">
        <v>1076</v>
      </c>
      <c r="F292" s="1" t="s">
        <v>317</v>
      </c>
      <c r="G292" s="1" t="s">
        <v>15</v>
      </c>
      <c r="H292" s="1" t="s">
        <v>15</v>
      </c>
      <c r="I292" s="1" t="s">
        <v>15</v>
      </c>
      <c r="J292" s="1" t="s">
        <v>16</v>
      </c>
      <c r="K292" s="2"/>
      <c r="L292" s="5">
        <f>K292*0.00</f>
        <v>0</v>
      </c>
    </row>
    <row r="293" spans="1:12">
      <c r="A293" s="1"/>
      <c r="B293" s="1">
        <v>827677</v>
      </c>
      <c r="C293" s="1" t="s">
        <v>1077</v>
      </c>
      <c r="D293" s="1" t="s">
        <v>1078</v>
      </c>
      <c r="E293" s="3" t="s">
        <v>1079</v>
      </c>
      <c r="F293" s="1" t="s">
        <v>1080</v>
      </c>
      <c r="G293" s="1" t="s">
        <v>15</v>
      </c>
      <c r="H293" s="1" t="s">
        <v>15</v>
      </c>
      <c r="I293" s="1" t="s">
        <v>15</v>
      </c>
      <c r="J293" s="1" t="s">
        <v>16</v>
      </c>
      <c r="K293" s="2"/>
      <c r="L293" s="5">
        <f>K293*2962.93</f>
        <v>0</v>
      </c>
    </row>
    <row r="294" spans="1:12">
      <c r="A294" s="1"/>
      <c r="B294" s="1">
        <v>827678</v>
      </c>
      <c r="C294" s="1" t="s">
        <v>1081</v>
      </c>
      <c r="D294" s="1">
        <v>7095</v>
      </c>
      <c r="E294" s="3" t="s">
        <v>1082</v>
      </c>
      <c r="F294" s="1" t="s">
        <v>1080</v>
      </c>
      <c r="G294" s="1" t="s">
        <v>15</v>
      </c>
      <c r="H294" s="1" t="s">
        <v>15</v>
      </c>
      <c r="I294" s="1" t="s">
        <v>15</v>
      </c>
      <c r="J294" s="1" t="s">
        <v>16</v>
      </c>
      <c r="K294" s="2"/>
      <c r="L294" s="5">
        <f>K294*2962.93</f>
        <v>0</v>
      </c>
    </row>
    <row r="295" spans="1:12">
      <c r="A295" s="1"/>
      <c r="B295" s="1">
        <v>827679</v>
      </c>
      <c r="C295" s="1" t="s">
        <v>1083</v>
      </c>
      <c r="D295" s="1" t="s">
        <v>1084</v>
      </c>
      <c r="E295" s="3" t="s">
        <v>1085</v>
      </c>
      <c r="F295" s="1" t="s">
        <v>1086</v>
      </c>
      <c r="G295" s="1" t="s">
        <v>15</v>
      </c>
      <c r="H295" s="1" t="s">
        <v>15</v>
      </c>
      <c r="I295" s="1" t="s">
        <v>15</v>
      </c>
      <c r="J295" s="1" t="s">
        <v>16</v>
      </c>
      <c r="K295" s="2"/>
      <c r="L295" s="5">
        <f>K295*127.22</f>
        <v>0</v>
      </c>
    </row>
    <row r="296" spans="1:12">
      <c r="A296" s="1"/>
      <c r="B296" s="1">
        <v>827680</v>
      </c>
      <c r="C296" s="1" t="s">
        <v>1087</v>
      </c>
      <c r="D296" s="1" t="s">
        <v>1088</v>
      </c>
      <c r="E296" s="3" t="s">
        <v>1089</v>
      </c>
      <c r="F296" s="1" t="s">
        <v>1090</v>
      </c>
      <c r="G296" s="1" t="s">
        <v>15</v>
      </c>
      <c r="H296" s="1" t="s">
        <v>15</v>
      </c>
      <c r="I296" s="1" t="s">
        <v>15</v>
      </c>
      <c r="J296" s="1" t="s">
        <v>16</v>
      </c>
      <c r="K296" s="2"/>
      <c r="L296" s="5">
        <f>K296*182.30</f>
        <v>0</v>
      </c>
    </row>
    <row r="297" spans="1:12">
      <c r="A297" s="1"/>
      <c r="B297" s="1">
        <v>827681</v>
      </c>
      <c r="C297" s="1" t="s">
        <v>1091</v>
      </c>
      <c r="D297" s="1">
        <v>99332</v>
      </c>
      <c r="E297" s="3" t="s">
        <v>1092</v>
      </c>
      <c r="F297" s="1" t="s">
        <v>317</v>
      </c>
      <c r="G297" s="1" t="s">
        <v>15</v>
      </c>
      <c r="H297" s="1" t="s">
        <v>15</v>
      </c>
      <c r="I297" s="1" t="s">
        <v>15</v>
      </c>
      <c r="J297" s="1" t="s">
        <v>16</v>
      </c>
      <c r="K297" s="2"/>
      <c r="L297" s="5">
        <f>K297*0.00</f>
        <v>0</v>
      </c>
    </row>
    <row r="298" spans="1:12">
      <c r="A298" s="1"/>
      <c r="B298" s="1">
        <v>827682</v>
      </c>
      <c r="C298" s="1" t="s">
        <v>1093</v>
      </c>
      <c r="D298" s="1" t="s">
        <v>1094</v>
      </c>
      <c r="E298" s="3" t="s">
        <v>1095</v>
      </c>
      <c r="F298" s="1" t="s">
        <v>1096</v>
      </c>
      <c r="G298" s="1" t="s">
        <v>15</v>
      </c>
      <c r="H298" s="1" t="s">
        <v>15</v>
      </c>
      <c r="I298" s="1" t="s">
        <v>15</v>
      </c>
      <c r="J298" s="1" t="s">
        <v>16</v>
      </c>
      <c r="K298" s="2"/>
      <c r="L298" s="5">
        <f>K298*241.16</f>
        <v>0</v>
      </c>
    </row>
    <row r="299" spans="1:12">
      <c r="A299" s="1"/>
      <c r="B299" s="1">
        <v>827683</v>
      </c>
      <c r="C299" s="1" t="s">
        <v>1097</v>
      </c>
      <c r="D299" s="1">
        <v>99343</v>
      </c>
      <c r="E299" s="3" t="s">
        <v>1098</v>
      </c>
      <c r="F299" s="1" t="s">
        <v>317</v>
      </c>
      <c r="G299" s="1" t="s">
        <v>15</v>
      </c>
      <c r="H299" s="1" t="s">
        <v>15</v>
      </c>
      <c r="I299" s="1" t="s">
        <v>15</v>
      </c>
      <c r="J299" s="1" t="s">
        <v>16</v>
      </c>
      <c r="K299" s="2"/>
      <c r="L299" s="5">
        <f>K299*0.00</f>
        <v>0</v>
      </c>
    </row>
    <row r="300" spans="1:12">
      <c r="A300" s="1"/>
      <c r="B300" s="1">
        <v>827684</v>
      </c>
      <c r="C300" s="1" t="s">
        <v>1099</v>
      </c>
      <c r="D300" s="1" t="s">
        <v>1100</v>
      </c>
      <c r="E300" s="3" t="s">
        <v>1101</v>
      </c>
      <c r="F300" s="1" t="s">
        <v>1102</v>
      </c>
      <c r="G300" s="1" t="s">
        <v>15</v>
      </c>
      <c r="H300" s="1" t="s">
        <v>15</v>
      </c>
      <c r="I300" s="1" t="s">
        <v>15</v>
      </c>
      <c r="J300" s="1" t="s">
        <v>16</v>
      </c>
      <c r="K300" s="2"/>
      <c r="L300" s="5">
        <f>K300*571.53</f>
        <v>0</v>
      </c>
    </row>
    <row r="301" spans="1:12">
      <c r="A301" s="1"/>
      <c r="B301" s="1">
        <v>827685</v>
      </c>
      <c r="C301" s="1" t="s">
        <v>1103</v>
      </c>
      <c r="D301" s="1" t="s">
        <v>1104</v>
      </c>
      <c r="E301" s="3" t="s">
        <v>1105</v>
      </c>
      <c r="F301" s="1" t="s">
        <v>1106</v>
      </c>
      <c r="G301" s="1" t="s">
        <v>15</v>
      </c>
      <c r="H301" s="1" t="s">
        <v>15</v>
      </c>
      <c r="I301" s="1" t="s">
        <v>15</v>
      </c>
      <c r="J301" s="1" t="s">
        <v>16</v>
      </c>
      <c r="K301" s="2"/>
      <c r="L301" s="5">
        <f>K301*523.60</f>
        <v>0</v>
      </c>
    </row>
    <row r="302" spans="1:12">
      <c r="A302" s="1"/>
      <c r="B302" s="1">
        <v>827686</v>
      </c>
      <c r="C302" s="1" t="s">
        <v>1107</v>
      </c>
      <c r="D302" s="1">
        <v>99354</v>
      </c>
      <c r="E302" s="3" t="s">
        <v>1108</v>
      </c>
      <c r="F302" s="1" t="s">
        <v>1109</v>
      </c>
      <c r="G302" s="1" t="s">
        <v>15</v>
      </c>
      <c r="H302" s="1" t="s">
        <v>15</v>
      </c>
      <c r="I302" s="1" t="s">
        <v>15</v>
      </c>
      <c r="J302" s="1" t="s">
        <v>16</v>
      </c>
      <c r="K302" s="2"/>
      <c r="L302" s="5">
        <f>K302*580.21</f>
        <v>0</v>
      </c>
    </row>
    <row r="303" spans="1:12">
      <c r="A303" s="1"/>
      <c r="B303" s="1">
        <v>827687</v>
      </c>
      <c r="C303" s="1" t="s">
        <v>1110</v>
      </c>
      <c r="D303" s="1" t="s">
        <v>1111</v>
      </c>
      <c r="E303" s="3" t="s">
        <v>1112</v>
      </c>
      <c r="F303" s="1" t="s">
        <v>1113</v>
      </c>
      <c r="G303" s="1" t="s">
        <v>15</v>
      </c>
      <c r="H303" s="1" t="s">
        <v>15</v>
      </c>
      <c r="I303" s="1" t="s">
        <v>15</v>
      </c>
      <c r="J303" s="1" t="s">
        <v>16</v>
      </c>
      <c r="K303" s="2"/>
      <c r="L303" s="5">
        <f>K303*825.00</f>
        <v>0</v>
      </c>
    </row>
    <row r="304" spans="1:12">
      <c r="A304" s="1"/>
      <c r="B304" s="1">
        <v>827688</v>
      </c>
      <c r="C304" s="1" t="s">
        <v>1114</v>
      </c>
      <c r="D304" s="1">
        <v>99365</v>
      </c>
      <c r="E304" s="3" t="s">
        <v>1115</v>
      </c>
      <c r="F304" s="1" t="s">
        <v>317</v>
      </c>
      <c r="G304" s="1" t="s">
        <v>15</v>
      </c>
      <c r="H304" s="1" t="s">
        <v>15</v>
      </c>
      <c r="I304" s="1" t="s">
        <v>15</v>
      </c>
      <c r="J304" s="1" t="s">
        <v>16</v>
      </c>
      <c r="K304" s="2"/>
      <c r="L304" s="5">
        <f>K304*0.00</f>
        <v>0</v>
      </c>
    </row>
    <row r="305" spans="1:12">
      <c r="A305" s="1"/>
      <c r="B305" s="1">
        <v>827689</v>
      </c>
      <c r="C305" s="1" t="s">
        <v>1116</v>
      </c>
      <c r="D305" s="1" t="s">
        <v>1117</v>
      </c>
      <c r="E305" s="3" t="s">
        <v>1118</v>
      </c>
      <c r="F305" s="1" t="s">
        <v>1119</v>
      </c>
      <c r="G305" s="1" t="s">
        <v>15</v>
      </c>
      <c r="H305" s="1" t="s">
        <v>15</v>
      </c>
      <c r="I305" s="1" t="s">
        <v>15</v>
      </c>
      <c r="J305" s="1" t="s">
        <v>16</v>
      </c>
      <c r="K305" s="2"/>
      <c r="L305" s="5">
        <f>K305*145.80</f>
        <v>0</v>
      </c>
    </row>
    <row r="306" spans="1:12">
      <c r="A306" s="1"/>
      <c r="B306" s="1">
        <v>827690</v>
      </c>
      <c r="C306" s="1" t="s">
        <v>1120</v>
      </c>
      <c r="D306" s="1" t="s">
        <v>1121</v>
      </c>
      <c r="E306" s="3" t="s">
        <v>1122</v>
      </c>
      <c r="F306" s="1" t="s">
        <v>1123</v>
      </c>
      <c r="G306" s="1" t="s">
        <v>15</v>
      </c>
      <c r="H306" s="1" t="s">
        <v>15</v>
      </c>
      <c r="I306" s="1" t="s">
        <v>15</v>
      </c>
      <c r="J306" s="1" t="s">
        <v>16</v>
      </c>
      <c r="K306" s="2"/>
      <c r="L306" s="5">
        <f>K306*189.54</f>
        <v>0</v>
      </c>
    </row>
    <row r="307" spans="1:12">
      <c r="A307" s="1"/>
      <c r="B307" s="1">
        <v>827691</v>
      </c>
      <c r="C307" s="1" t="s">
        <v>1124</v>
      </c>
      <c r="D307" s="1" t="s">
        <v>1125</v>
      </c>
      <c r="E307" s="3" t="s">
        <v>1126</v>
      </c>
      <c r="F307" s="1" t="s">
        <v>1127</v>
      </c>
      <c r="G307" s="1" t="s">
        <v>15</v>
      </c>
      <c r="H307" s="1" t="s">
        <v>15</v>
      </c>
      <c r="I307" s="1" t="s">
        <v>15</v>
      </c>
      <c r="J307" s="1" t="s">
        <v>16</v>
      </c>
      <c r="K307" s="2"/>
      <c r="L307" s="5">
        <f>K307*305.86</f>
        <v>0</v>
      </c>
    </row>
    <row r="308" spans="1:12">
      <c r="A308" s="1"/>
      <c r="B308" s="1">
        <v>827692</v>
      </c>
      <c r="C308" s="1" t="s">
        <v>1128</v>
      </c>
      <c r="D308" s="1" t="s">
        <v>1129</v>
      </c>
      <c r="E308" s="3" t="s">
        <v>1130</v>
      </c>
      <c r="F308" s="1" t="s">
        <v>1131</v>
      </c>
      <c r="G308" s="1" t="s">
        <v>15</v>
      </c>
      <c r="H308" s="1" t="s">
        <v>15</v>
      </c>
      <c r="I308" s="1" t="s">
        <v>15</v>
      </c>
      <c r="J308" s="1" t="s">
        <v>16</v>
      </c>
      <c r="K308" s="2"/>
      <c r="L308" s="5">
        <f>K308*645.24</f>
        <v>0</v>
      </c>
    </row>
    <row r="309" spans="1:12">
      <c r="A309" s="1"/>
      <c r="B309" s="1">
        <v>827693</v>
      </c>
      <c r="C309" s="1" t="s">
        <v>1132</v>
      </c>
      <c r="D309" s="1" t="s">
        <v>1133</v>
      </c>
      <c r="E309" s="3" t="s">
        <v>1134</v>
      </c>
      <c r="F309" s="1" t="s">
        <v>1135</v>
      </c>
      <c r="G309" s="1" t="s">
        <v>15</v>
      </c>
      <c r="H309" s="1" t="s">
        <v>15</v>
      </c>
      <c r="I309" s="1" t="s">
        <v>15</v>
      </c>
      <c r="J309" s="1" t="s">
        <v>16</v>
      </c>
      <c r="K309" s="2"/>
      <c r="L309" s="5">
        <f>K309*1046.73</f>
        <v>0</v>
      </c>
    </row>
    <row r="310" spans="1:12">
      <c r="A310" s="1"/>
      <c r="B310" s="1">
        <v>827694</v>
      </c>
      <c r="C310" s="1" t="s">
        <v>1136</v>
      </c>
      <c r="D310" s="1" t="s">
        <v>1137</v>
      </c>
      <c r="E310" s="3" t="s">
        <v>1138</v>
      </c>
      <c r="F310" s="1" t="s">
        <v>1139</v>
      </c>
      <c r="G310" s="1" t="s">
        <v>15</v>
      </c>
      <c r="H310" s="1" t="s">
        <v>15</v>
      </c>
      <c r="I310" s="1" t="s">
        <v>15</v>
      </c>
      <c r="J310" s="1" t="s">
        <v>16</v>
      </c>
      <c r="K310" s="2"/>
      <c r="L310" s="5">
        <f>K310*1544.26</f>
        <v>0</v>
      </c>
    </row>
    <row r="311" spans="1:12">
      <c r="A311" s="1"/>
      <c r="B311" s="1">
        <v>827695</v>
      </c>
      <c r="C311" s="1" t="s">
        <v>1140</v>
      </c>
      <c r="D311" s="1" t="s">
        <v>1141</v>
      </c>
      <c r="E311" s="3" t="s">
        <v>1142</v>
      </c>
      <c r="F311" s="1" t="s">
        <v>1143</v>
      </c>
      <c r="G311" s="1" t="s">
        <v>15</v>
      </c>
      <c r="H311" s="1" t="s">
        <v>15</v>
      </c>
      <c r="I311" s="1" t="s">
        <v>15</v>
      </c>
      <c r="J311" s="1" t="s">
        <v>16</v>
      </c>
      <c r="K311" s="2"/>
      <c r="L311" s="5">
        <f>K311*183.04</f>
        <v>0</v>
      </c>
    </row>
    <row r="312" spans="1:12">
      <c r="A312" s="1"/>
      <c r="B312" s="1">
        <v>827696</v>
      </c>
      <c r="C312" s="1" t="s">
        <v>1144</v>
      </c>
      <c r="D312" s="1" t="s">
        <v>1145</v>
      </c>
      <c r="E312" s="3" t="s">
        <v>1146</v>
      </c>
      <c r="F312" s="1" t="s">
        <v>1147</v>
      </c>
      <c r="G312" s="1" t="s">
        <v>15</v>
      </c>
      <c r="H312" s="1" t="s">
        <v>15</v>
      </c>
      <c r="I312" s="1" t="s">
        <v>15</v>
      </c>
      <c r="J312" s="1" t="s">
        <v>16</v>
      </c>
      <c r="K312" s="2"/>
      <c r="L312" s="5">
        <f>K312*263.98</f>
        <v>0</v>
      </c>
    </row>
    <row r="313" spans="1:12">
      <c r="A313" s="1"/>
      <c r="B313" s="1">
        <v>827697</v>
      </c>
      <c r="C313" s="1" t="s">
        <v>1148</v>
      </c>
      <c r="D313" s="1" t="s">
        <v>1149</v>
      </c>
      <c r="E313" s="3" t="s">
        <v>1150</v>
      </c>
      <c r="F313" s="1" t="s">
        <v>1151</v>
      </c>
      <c r="G313" s="1" t="s">
        <v>15</v>
      </c>
      <c r="H313" s="1" t="s">
        <v>15</v>
      </c>
      <c r="I313" s="1" t="s">
        <v>15</v>
      </c>
      <c r="J313" s="1" t="s">
        <v>16</v>
      </c>
      <c r="K313" s="2"/>
      <c r="L313" s="5">
        <f>K313*410.40</f>
        <v>0</v>
      </c>
    </row>
    <row r="314" spans="1:12">
      <c r="A314" s="1"/>
      <c r="B314" s="1">
        <v>827698</v>
      </c>
      <c r="C314" s="1" t="s">
        <v>1152</v>
      </c>
      <c r="D314" s="1" t="s">
        <v>1153</v>
      </c>
      <c r="E314" s="3" t="s">
        <v>1154</v>
      </c>
      <c r="F314" s="1" t="s">
        <v>1155</v>
      </c>
      <c r="G314" s="1" t="s">
        <v>15</v>
      </c>
      <c r="H314" s="1" t="s">
        <v>15</v>
      </c>
      <c r="I314" s="1" t="s">
        <v>15</v>
      </c>
      <c r="J314" s="1" t="s">
        <v>16</v>
      </c>
      <c r="K314" s="2"/>
      <c r="L314" s="5">
        <f>K314*537.42</f>
        <v>0</v>
      </c>
    </row>
    <row r="315" spans="1:12">
      <c r="A315" s="1"/>
      <c r="B315" s="1">
        <v>827699</v>
      </c>
      <c r="C315" s="1" t="s">
        <v>1156</v>
      </c>
      <c r="D315" s="1" t="s">
        <v>1157</v>
      </c>
      <c r="E315" s="3" t="s">
        <v>1158</v>
      </c>
      <c r="F315" s="1" t="s">
        <v>1159</v>
      </c>
      <c r="G315" s="1" t="s">
        <v>15</v>
      </c>
      <c r="H315" s="1" t="s">
        <v>15</v>
      </c>
      <c r="I315" s="1" t="s">
        <v>15</v>
      </c>
      <c r="J315" s="1" t="s">
        <v>16</v>
      </c>
      <c r="K315" s="2"/>
      <c r="L315" s="5">
        <f>K315*858.51</f>
        <v>0</v>
      </c>
    </row>
    <row r="316" spans="1:12">
      <c r="A316" s="1"/>
      <c r="B316" s="1">
        <v>827700</v>
      </c>
      <c r="C316" s="1" t="s">
        <v>1160</v>
      </c>
      <c r="D316" s="1" t="s">
        <v>1161</v>
      </c>
      <c r="E316" s="3" t="s">
        <v>1162</v>
      </c>
      <c r="F316" s="1" t="s">
        <v>1163</v>
      </c>
      <c r="G316" s="1" t="s">
        <v>15</v>
      </c>
      <c r="H316" s="1" t="s">
        <v>15</v>
      </c>
      <c r="I316" s="1" t="s">
        <v>15</v>
      </c>
      <c r="J316" s="1" t="s">
        <v>16</v>
      </c>
      <c r="K316" s="2"/>
      <c r="L316" s="5">
        <f>K316*1418.40</f>
        <v>0</v>
      </c>
    </row>
    <row r="317" spans="1:12">
      <c r="A317" s="1"/>
      <c r="B317" s="1">
        <v>827701</v>
      </c>
      <c r="C317" s="1" t="s">
        <v>1164</v>
      </c>
      <c r="D317" s="1" t="s">
        <v>1165</v>
      </c>
      <c r="E317" s="3" t="s">
        <v>1166</v>
      </c>
      <c r="F317" s="1" t="s">
        <v>1167</v>
      </c>
      <c r="G317" s="1" t="s">
        <v>15</v>
      </c>
      <c r="H317" s="1" t="s">
        <v>15</v>
      </c>
      <c r="I317" s="1" t="s">
        <v>15</v>
      </c>
      <c r="J317" s="1" t="s">
        <v>16</v>
      </c>
      <c r="K317" s="2"/>
      <c r="L317" s="5">
        <f>K317*126.36</f>
        <v>0</v>
      </c>
    </row>
    <row r="318" spans="1:12">
      <c r="A318" s="1"/>
      <c r="B318" s="1">
        <v>827702</v>
      </c>
      <c r="C318" s="1" t="s">
        <v>1168</v>
      </c>
      <c r="D318" s="1" t="s">
        <v>1169</v>
      </c>
      <c r="E318" s="3" t="s">
        <v>1170</v>
      </c>
      <c r="F318" s="1" t="s">
        <v>1171</v>
      </c>
      <c r="G318" s="1" t="s">
        <v>15</v>
      </c>
      <c r="H318" s="1" t="s">
        <v>15</v>
      </c>
      <c r="I318" s="1" t="s">
        <v>15</v>
      </c>
      <c r="J318" s="1" t="s">
        <v>16</v>
      </c>
      <c r="K318" s="2"/>
      <c r="L318" s="5">
        <f>K318*196.99</f>
        <v>0</v>
      </c>
    </row>
    <row r="319" spans="1:12">
      <c r="A319" s="1"/>
      <c r="B319" s="1">
        <v>827703</v>
      </c>
      <c r="C319" s="1" t="s">
        <v>1172</v>
      </c>
      <c r="D319" s="1" t="s">
        <v>1173</v>
      </c>
      <c r="E319" s="3" t="s">
        <v>1174</v>
      </c>
      <c r="F319" s="1" t="s">
        <v>1175</v>
      </c>
      <c r="G319" s="1" t="s">
        <v>15</v>
      </c>
      <c r="H319" s="1" t="s">
        <v>15</v>
      </c>
      <c r="I319" s="1" t="s">
        <v>15</v>
      </c>
      <c r="J319" s="1" t="s">
        <v>16</v>
      </c>
      <c r="K319" s="2"/>
      <c r="L319" s="5">
        <f>K319*267.30</f>
        <v>0</v>
      </c>
    </row>
    <row r="320" spans="1:12">
      <c r="A320" s="1"/>
      <c r="B320" s="1">
        <v>827704</v>
      </c>
      <c r="C320" s="1" t="s">
        <v>1176</v>
      </c>
      <c r="D320" s="1" t="s">
        <v>1177</v>
      </c>
      <c r="E320" s="3" t="s">
        <v>1178</v>
      </c>
      <c r="F320" s="1" t="s">
        <v>1179</v>
      </c>
      <c r="G320" s="1" t="s">
        <v>15</v>
      </c>
      <c r="H320" s="1" t="s">
        <v>15</v>
      </c>
      <c r="I320" s="1" t="s">
        <v>15</v>
      </c>
      <c r="J320" s="1" t="s">
        <v>16</v>
      </c>
      <c r="K320" s="2"/>
      <c r="L320" s="5">
        <f>K320*693.10</f>
        <v>0</v>
      </c>
    </row>
    <row r="321" spans="1:12">
      <c r="A321" s="1"/>
      <c r="B321" s="1">
        <v>827705</v>
      </c>
      <c r="C321" s="1" t="s">
        <v>1180</v>
      </c>
      <c r="D321" s="1" t="s">
        <v>1181</v>
      </c>
      <c r="E321" s="3" t="s">
        <v>1182</v>
      </c>
      <c r="F321" s="1" t="s">
        <v>1183</v>
      </c>
      <c r="G321" s="1" t="s">
        <v>15</v>
      </c>
      <c r="H321" s="1" t="s">
        <v>15</v>
      </c>
      <c r="I321" s="1" t="s">
        <v>15</v>
      </c>
      <c r="J321" s="1" t="s">
        <v>16</v>
      </c>
      <c r="K321" s="2"/>
      <c r="L321" s="5">
        <f>K321*1022.01</f>
        <v>0</v>
      </c>
    </row>
    <row r="322" spans="1:12">
      <c r="A322" s="1"/>
      <c r="B322" s="1">
        <v>827706</v>
      </c>
      <c r="C322" s="1" t="s">
        <v>1184</v>
      </c>
      <c r="D322" s="1" t="s">
        <v>1185</v>
      </c>
      <c r="E322" s="3" t="s">
        <v>1186</v>
      </c>
      <c r="F322" s="1" t="s">
        <v>1187</v>
      </c>
      <c r="G322" s="1" t="s">
        <v>15</v>
      </c>
      <c r="H322" s="1" t="s">
        <v>15</v>
      </c>
      <c r="I322" s="1" t="s">
        <v>15</v>
      </c>
      <c r="J322" s="1" t="s">
        <v>16</v>
      </c>
      <c r="K322" s="2"/>
      <c r="L322" s="5">
        <f>K322*1409.00</f>
        <v>0</v>
      </c>
    </row>
    <row r="323" spans="1:12">
      <c r="A323" s="1"/>
      <c r="B323" s="1">
        <v>827707</v>
      </c>
      <c r="C323" s="1" t="s">
        <v>1188</v>
      </c>
      <c r="D323" s="1" t="s">
        <v>1189</v>
      </c>
      <c r="E323" s="3" t="s">
        <v>1190</v>
      </c>
      <c r="F323" s="1" t="s">
        <v>1191</v>
      </c>
      <c r="G323" s="1" t="s">
        <v>15</v>
      </c>
      <c r="H323" s="1" t="s">
        <v>15</v>
      </c>
      <c r="I323" s="1" t="s">
        <v>15</v>
      </c>
      <c r="J323" s="1" t="s">
        <v>16</v>
      </c>
      <c r="K323" s="2"/>
      <c r="L323" s="5">
        <f>K323*161.21</f>
        <v>0</v>
      </c>
    </row>
    <row r="324" spans="1:12">
      <c r="A324" s="1"/>
      <c r="B324" s="1">
        <v>827708</v>
      </c>
      <c r="C324" s="1" t="s">
        <v>1192</v>
      </c>
      <c r="D324" s="1" t="s">
        <v>1193</v>
      </c>
      <c r="E324" s="3" t="s">
        <v>1194</v>
      </c>
      <c r="F324" s="1" t="s">
        <v>1195</v>
      </c>
      <c r="G324" s="1" t="s">
        <v>15</v>
      </c>
      <c r="H324" s="1" t="s">
        <v>15</v>
      </c>
      <c r="I324" s="1" t="s">
        <v>15</v>
      </c>
      <c r="J324" s="1" t="s">
        <v>16</v>
      </c>
      <c r="K324" s="2"/>
      <c r="L324" s="5">
        <f>K324*270.76</f>
        <v>0</v>
      </c>
    </row>
    <row r="325" spans="1:12">
      <c r="A325" s="1"/>
      <c r="B325" s="1">
        <v>827709</v>
      </c>
      <c r="C325" s="1" t="s">
        <v>1196</v>
      </c>
      <c r="D325" s="1" t="s">
        <v>1197</v>
      </c>
      <c r="E325" s="3" t="s">
        <v>1198</v>
      </c>
      <c r="F325" s="1" t="s">
        <v>1199</v>
      </c>
      <c r="G325" s="1" t="s">
        <v>15</v>
      </c>
      <c r="H325" s="1" t="s">
        <v>15</v>
      </c>
      <c r="I325" s="1" t="s">
        <v>15</v>
      </c>
      <c r="J325" s="1" t="s">
        <v>16</v>
      </c>
      <c r="K325" s="2"/>
      <c r="L325" s="5">
        <f>K325*257.38</f>
        <v>0</v>
      </c>
    </row>
    <row r="326" spans="1:12">
      <c r="A326" s="1"/>
      <c r="B326" s="1">
        <v>827710</v>
      </c>
      <c r="C326" s="1" t="s">
        <v>1200</v>
      </c>
      <c r="D326" s="1" t="s">
        <v>1201</v>
      </c>
      <c r="E326" s="3" t="s">
        <v>1202</v>
      </c>
      <c r="F326" s="1" t="s">
        <v>1203</v>
      </c>
      <c r="G326" s="1" t="s">
        <v>15</v>
      </c>
      <c r="H326" s="1" t="s">
        <v>15</v>
      </c>
      <c r="I326" s="1" t="s">
        <v>15</v>
      </c>
      <c r="J326" s="1" t="s">
        <v>16</v>
      </c>
      <c r="K326" s="2"/>
      <c r="L326" s="5">
        <f>K326*600.94</f>
        <v>0</v>
      </c>
    </row>
    <row r="327" spans="1:12">
      <c r="A327" s="1"/>
      <c r="B327" s="1">
        <v>827711</v>
      </c>
      <c r="C327" s="1" t="s">
        <v>1204</v>
      </c>
      <c r="D327" s="1" t="s">
        <v>1205</v>
      </c>
      <c r="E327" s="3" t="s">
        <v>1206</v>
      </c>
      <c r="F327" s="1" t="s">
        <v>1207</v>
      </c>
      <c r="G327" s="1" t="s">
        <v>15</v>
      </c>
      <c r="H327" s="1" t="s">
        <v>15</v>
      </c>
      <c r="I327" s="1" t="s">
        <v>15</v>
      </c>
      <c r="J327" s="1" t="s">
        <v>16</v>
      </c>
      <c r="K327" s="2"/>
      <c r="L327" s="5">
        <f>K327*795.97</f>
        <v>0</v>
      </c>
    </row>
    <row r="328" spans="1:12">
      <c r="A328" s="1"/>
      <c r="B328" s="1">
        <v>827712</v>
      </c>
      <c r="C328" s="1" t="s">
        <v>1208</v>
      </c>
      <c r="D328" s="1" t="s">
        <v>1209</v>
      </c>
      <c r="E328" s="3" t="s">
        <v>1210</v>
      </c>
      <c r="F328" s="1" t="s">
        <v>1211</v>
      </c>
      <c r="G328" s="1" t="s">
        <v>15</v>
      </c>
      <c r="H328" s="1" t="s">
        <v>15</v>
      </c>
      <c r="I328" s="1" t="s">
        <v>15</v>
      </c>
      <c r="J328" s="1" t="s">
        <v>16</v>
      </c>
      <c r="K328" s="2"/>
      <c r="L328" s="5">
        <f>K328*1156.20</f>
        <v>0</v>
      </c>
    </row>
    <row r="329" spans="1:12">
      <c r="A329" s="1"/>
      <c r="B329" s="1">
        <v>827713</v>
      </c>
      <c r="C329" s="1" t="s">
        <v>1212</v>
      </c>
      <c r="D329" s="1" t="s">
        <v>1213</v>
      </c>
      <c r="E329" s="3" t="s">
        <v>1214</v>
      </c>
      <c r="F329" s="1" t="s">
        <v>790</v>
      </c>
      <c r="G329" s="1" t="s">
        <v>15</v>
      </c>
      <c r="H329" s="1" t="s">
        <v>15</v>
      </c>
      <c r="I329" s="1" t="s">
        <v>15</v>
      </c>
      <c r="J329" s="1" t="s">
        <v>16</v>
      </c>
      <c r="K329" s="2"/>
      <c r="L329" s="5">
        <f>K329*120.58</f>
        <v>0</v>
      </c>
    </row>
    <row r="330" spans="1:12">
      <c r="A330" s="1"/>
      <c r="B330" s="1">
        <v>827714</v>
      </c>
      <c r="C330" s="1" t="s">
        <v>1215</v>
      </c>
      <c r="D330" s="1" t="s">
        <v>1216</v>
      </c>
      <c r="E330" s="3" t="s">
        <v>1217</v>
      </c>
      <c r="F330" s="1" t="s">
        <v>1218</v>
      </c>
      <c r="G330" s="1" t="s">
        <v>15</v>
      </c>
      <c r="H330" s="1" t="s">
        <v>15</v>
      </c>
      <c r="I330" s="1" t="s">
        <v>15</v>
      </c>
      <c r="J330" s="1" t="s">
        <v>16</v>
      </c>
      <c r="K330" s="2"/>
      <c r="L330" s="5">
        <f>K330*197.45</f>
        <v>0</v>
      </c>
    </row>
    <row r="331" spans="1:12">
      <c r="A331" s="1"/>
      <c r="B331" s="1">
        <v>827715</v>
      </c>
      <c r="C331" s="1" t="s">
        <v>1219</v>
      </c>
      <c r="D331" s="1" t="s">
        <v>1220</v>
      </c>
      <c r="E331" s="3" t="s">
        <v>1221</v>
      </c>
      <c r="F331" s="1" t="s">
        <v>1222</v>
      </c>
      <c r="G331" s="1" t="s">
        <v>15</v>
      </c>
      <c r="H331" s="1" t="s">
        <v>15</v>
      </c>
      <c r="I331" s="1" t="s">
        <v>15</v>
      </c>
      <c r="J331" s="1" t="s">
        <v>16</v>
      </c>
      <c r="K331" s="2"/>
      <c r="L331" s="5">
        <f>K331*232.70</f>
        <v>0</v>
      </c>
    </row>
    <row r="332" spans="1:12">
      <c r="A332" s="1"/>
      <c r="B332" s="1">
        <v>827716</v>
      </c>
      <c r="C332" s="1" t="s">
        <v>1223</v>
      </c>
      <c r="D332" s="1" t="s">
        <v>1224</v>
      </c>
      <c r="E332" s="3" t="s">
        <v>1225</v>
      </c>
      <c r="F332" s="1" t="s">
        <v>1226</v>
      </c>
      <c r="G332" s="1" t="s">
        <v>15</v>
      </c>
      <c r="H332" s="1" t="s">
        <v>15</v>
      </c>
      <c r="I332" s="1" t="s">
        <v>15</v>
      </c>
      <c r="J332" s="1" t="s">
        <v>16</v>
      </c>
      <c r="K332" s="2"/>
      <c r="L332" s="5">
        <f>K332*583.22</f>
        <v>0</v>
      </c>
    </row>
    <row r="333" spans="1:12">
      <c r="A333" s="1"/>
      <c r="B333" s="1">
        <v>827717</v>
      </c>
      <c r="C333" s="1" t="s">
        <v>1227</v>
      </c>
      <c r="D333" s="1" t="s">
        <v>1228</v>
      </c>
      <c r="E333" s="3" t="s">
        <v>1229</v>
      </c>
      <c r="F333" s="1" t="s">
        <v>1230</v>
      </c>
      <c r="G333" s="1" t="s">
        <v>15</v>
      </c>
      <c r="H333" s="1" t="s">
        <v>15</v>
      </c>
      <c r="I333" s="1" t="s">
        <v>15</v>
      </c>
      <c r="J333" s="1" t="s">
        <v>16</v>
      </c>
      <c r="K333" s="2"/>
      <c r="L333" s="5">
        <f>K333*784.24</f>
        <v>0</v>
      </c>
    </row>
    <row r="334" spans="1:12">
      <c r="A334" s="1"/>
      <c r="B334" s="1">
        <v>827718</v>
      </c>
      <c r="C334" s="1" t="s">
        <v>1231</v>
      </c>
      <c r="D334" s="1" t="s">
        <v>1232</v>
      </c>
      <c r="E334" s="3" t="s">
        <v>1233</v>
      </c>
      <c r="F334" s="1" t="s">
        <v>1234</v>
      </c>
      <c r="G334" s="1" t="s">
        <v>15</v>
      </c>
      <c r="H334" s="1" t="s">
        <v>15</v>
      </c>
      <c r="I334" s="1" t="s">
        <v>15</v>
      </c>
      <c r="J334" s="1" t="s">
        <v>16</v>
      </c>
      <c r="K334" s="2"/>
      <c r="L334" s="5">
        <f>K334*1026.80</f>
        <v>0</v>
      </c>
    </row>
    <row r="335" spans="1:12">
      <c r="A335" s="1"/>
      <c r="B335" s="1">
        <v>827725</v>
      </c>
      <c r="C335" s="1" t="s">
        <v>1235</v>
      </c>
      <c r="D335" s="1" t="s">
        <v>1236</v>
      </c>
      <c r="E335" s="3" t="s">
        <v>1237</v>
      </c>
      <c r="F335" s="1" t="s">
        <v>1238</v>
      </c>
      <c r="G335" s="1" t="s">
        <v>15</v>
      </c>
      <c r="H335" s="1" t="s">
        <v>15</v>
      </c>
      <c r="I335" s="1" t="s">
        <v>15</v>
      </c>
      <c r="J335" s="1" t="s">
        <v>16</v>
      </c>
      <c r="K335" s="2"/>
      <c r="L335" s="5">
        <f>K335*74.18</f>
        <v>0</v>
      </c>
    </row>
    <row r="336" spans="1:12">
      <c r="A336" s="1"/>
      <c r="B336" s="1">
        <v>827726</v>
      </c>
      <c r="C336" s="1" t="s">
        <v>1239</v>
      </c>
      <c r="D336" s="1" t="s">
        <v>1240</v>
      </c>
      <c r="E336" s="3" t="s">
        <v>1241</v>
      </c>
      <c r="F336" s="1" t="s">
        <v>1242</v>
      </c>
      <c r="G336" s="1" t="s">
        <v>15</v>
      </c>
      <c r="H336" s="1" t="s">
        <v>15</v>
      </c>
      <c r="I336" s="1" t="s">
        <v>15</v>
      </c>
      <c r="J336" s="1" t="s">
        <v>16</v>
      </c>
      <c r="K336" s="2"/>
      <c r="L336" s="5">
        <f>K336*79.07</f>
        <v>0</v>
      </c>
    </row>
    <row r="337" spans="1:12">
      <c r="A337" s="1"/>
      <c r="B337" s="1">
        <v>827727</v>
      </c>
      <c r="C337" s="1" t="s">
        <v>1243</v>
      </c>
      <c r="D337" s="1" t="s">
        <v>1244</v>
      </c>
      <c r="E337" s="3" t="s">
        <v>1245</v>
      </c>
      <c r="F337" s="1" t="s">
        <v>1246</v>
      </c>
      <c r="G337" s="1" t="s">
        <v>15</v>
      </c>
      <c r="H337" s="1" t="s">
        <v>15</v>
      </c>
      <c r="I337" s="1" t="s">
        <v>15</v>
      </c>
      <c r="J337" s="1" t="s">
        <v>16</v>
      </c>
      <c r="K337" s="2"/>
      <c r="L337" s="5">
        <f>K337*80.66</f>
        <v>0</v>
      </c>
    </row>
    <row r="338" spans="1:12">
      <c r="A338" s="1"/>
      <c r="B338" s="1">
        <v>827728</v>
      </c>
      <c r="C338" s="1" t="s">
        <v>1247</v>
      </c>
      <c r="D338" s="1" t="s">
        <v>1248</v>
      </c>
      <c r="E338" s="3" t="s">
        <v>1249</v>
      </c>
      <c r="F338" s="1" t="s">
        <v>1250</v>
      </c>
      <c r="G338" s="1" t="s">
        <v>15</v>
      </c>
      <c r="H338" s="1" t="s">
        <v>15</v>
      </c>
      <c r="I338" s="1" t="s">
        <v>15</v>
      </c>
      <c r="J338" s="1" t="s">
        <v>16</v>
      </c>
      <c r="K338" s="2"/>
      <c r="L338" s="5">
        <f>K338*100.02</f>
        <v>0</v>
      </c>
    </row>
    <row r="339" spans="1:12">
      <c r="A339" s="1"/>
      <c r="B339" s="1">
        <v>827729</v>
      </c>
      <c r="C339" s="1" t="s">
        <v>1251</v>
      </c>
      <c r="D339" s="1" t="s">
        <v>1252</v>
      </c>
      <c r="E339" s="3" t="s">
        <v>1253</v>
      </c>
      <c r="F339" s="1" t="s">
        <v>1254</v>
      </c>
      <c r="G339" s="1" t="s">
        <v>15</v>
      </c>
      <c r="H339" s="1" t="s">
        <v>15</v>
      </c>
      <c r="I339" s="1" t="s">
        <v>15</v>
      </c>
      <c r="J339" s="1" t="s">
        <v>16</v>
      </c>
      <c r="K339" s="2"/>
      <c r="L339" s="5">
        <f>K339*101.01</f>
        <v>0</v>
      </c>
    </row>
    <row r="340" spans="1:12">
      <c r="A340" s="1"/>
      <c r="B340" s="1">
        <v>827730</v>
      </c>
      <c r="C340" s="1" t="s">
        <v>1255</v>
      </c>
      <c r="D340" s="1" t="s">
        <v>1256</v>
      </c>
      <c r="E340" s="3" t="s">
        <v>1257</v>
      </c>
      <c r="F340" s="1" t="s">
        <v>1258</v>
      </c>
      <c r="G340" s="1" t="s">
        <v>15</v>
      </c>
      <c r="H340" s="1" t="s">
        <v>15</v>
      </c>
      <c r="I340" s="1" t="s">
        <v>15</v>
      </c>
      <c r="J340" s="1" t="s">
        <v>16</v>
      </c>
      <c r="K340" s="2"/>
      <c r="L340" s="5">
        <f>K340*106.49</f>
        <v>0</v>
      </c>
    </row>
    <row r="341" spans="1:12">
      <c r="A341" s="1"/>
      <c r="B341" s="1">
        <v>827731</v>
      </c>
      <c r="C341" s="1" t="s">
        <v>1259</v>
      </c>
      <c r="D341" s="1" t="s">
        <v>1260</v>
      </c>
      <c r="E341" s="3" t="s">
        <v>1261</v>
      </c>
      <c r="F341" s="1" t="s">
        <v>1262</v>
      </c>
      <c r="G341" s="1" t="s">
        <v>15</v>
      </c>
      <c r="H341" s="1" t="s">
        <v>15</v>
      </c>
      <c r="I341" s="1" t="s">
        <v>15</v>
      </c>
      <c r="J341" s="1" t="s">
        <v>16</v>
      </c>
      <c r="K341" s="2"/>
      <c r="L341" s="5">
        <f>K341*158.90</f>
        <v>0</v>
      </c>
    </row>
    <row r="342" spans="1:12">
      <c r="A342" s="1"/>
      <c r="B342" s="1">
        <v>827732</v>
      </c>
      <c r="C342" s="1" t="s">
        <v>1263</v>
      </c>
      <c r="D342" s="1" t="s">
        <v>1264</v>
      </c>
      <c r="E342" s="3" t="s">
        <v>1265</v>
      </c>
      <c r="F342" s="1" t="s">
        <v>1266</v>
      </c>
      <c r="G342" s="1" t="s">
        <v>15</v>
      </c>
      <c r="H342" s="1" t="s">
        <v>15</v>
      </c>
      <c r="I342" s="1" t="s">
        <v>15</v>
      </c>
      <c r="J342" s="1" t="s">
        <v>16</v>
      </c>
      <c r="K342" s="2"/>
      <c r="L342" s="5">
        <f>K342*160.47</f>
        <v>0</v>
      </c>
    </row>
    <row r="343" spans="1:12">
      <c r="A343" s="1"/>
      <c r="B343" s="1">
        <v>827733</v>
      </c>
      <c r="C343" s="1" t="s">
        <v>1267</v>
      </c>
      <c r="D343" s="1" t="s">
        <v>1268</v>
      </c>
      <c r="E343" s="3" t="s">
        <v>1269</v>
      </c>
      <c r="F343" s="1" t="s">
        <v>1270</v>
      </c>
      <c r="G343" s="1" t="s">
        <v>15</v>
      </c>
      <c r="H343" s="1" t="s">
        <v>15</v>
      </c>
      <c r="I343" s="1" t="s">
        <v>15</v>
      </c>
      <c r="J343" s="1" t="s">
        <v>16</v>
      </c>
      <c r="K343" s="2"/>
      <c r="L343" s="5">
        <f>K343*173.41</f>
        <v>0</v>
      </c>
    </row>
    <row r="344" spans="1:12">
      <c r="A344" s="1"/>
      <c r="B344" s="1">
        <v>827734</v>
      </c>
      <c r="C344" s="1" t="s">
        <v>1271</v>
      </c>
      <c r="D344" s="1" t="s">
        <v>1272</v>
      </c>
      <c r="E344" s="3" t="s">
        <v>1273</v>
      </c>
      <c r="F344" s="1" t="s">
        <v>1274</v>
      </c>
      <c r="G344" s="1" t="s">
        <v>15</v>
      </c>
      <c r="H344" s="1" t="s">
        <v>15</v>
      </c>
      <c r="I344" s="1" t="s">
        <v>15</v>
      </c>
      <c r="J344" s="1" t="s">
        <v>16</v>
      </c>
      <c r="K344" s="2"/>
      <c r="L344" s="5">
        <f>K344*177.43</f>
        <v>0</v>
      </c>
    </row>
    <row r="345" spans="1:12">
      <c r="A345" s="1"/>
      <c r="B345" s="1">
        <v>827735</v>
      </c>
      <c r="C345" s="1" t="s">
        <v>1275</v>
      </c>
      <c r="D345" s="1" t="s">
        <v>1276</v>
      </c>
      <c r="E345" s="3" t="s">
        <v>1277</v>
      </c>
      <c r="F345" s="1" t="s">
        <v>1278</v>
      </c>
      <c r="G345" s="1" t="s">
        <v>15</v>
      </c>
      <c r="H345" s="1" t="s">
        <v>15</v>
      </c>
      <c r="I345" s="1" t="s">
        <v>15</v>
      </c>
      <c r="J345" s="1" t="s">
        <v>16</v>
      </c>
      <c r="K345" s="2"/>
      <c r="L345" s="5">
        <f>K345*116.95</f>
        <v>0</v>
      </c>
    </row>
    <row r="346" spans="1:12">
      <c r="A346" s="1"/>
      <c r="B346" s="1">
        <v>827736</v>
      </c>
      <c r="C346" s="1" t="s">
        <v>1279</v>
      </c>
      <c r="D346" s="1" t="s">
        <v>1280</v>
      </c>
      <c r="E346" s="3" t="s">
        <v>1281</v>
      </c>
      <c r="F346" s="1" t="s">
        <v>1282</v>
      </c>
      <c r="G346" s="1" t="s">
        <v>15</v>
      </c>
      <c r="H346" s="1" t="s">
        <v>15</v>
      </c>
      <c r="I346" s="1" t="s">
        <v>15</v>
      </c>
      <c r="J346" s="1" t="s">
        <v>16</v>
      </c>
      <c r="K346" s="2"/>
      <c r="L346" s="5">
        <f>K346*136.30</f>
        <v>0</v>
      </c>
    </row>
    <row r="347" spans="1:12">
      <c r="A347" s="1"/>
      <c r="B347" s="1">
        <v>827737</v>
      </c>
      <c r="C347" s="1" t="s">
        <v>1283</v>
      </c>
      <c r="D347" s="1" t="s">
        <v>1284</v>
      </c>
      <c r="E347" s="3" t="s">
        <v>1285</v>
      </c>
      <c r="F347" s="1" t="s">
        <v>1286</v>
      </c>
      <c r="G347" s="1" t="s">
        <v>15</v>
      </c>
      <c r="H347" s="1" t="s">
        <v>15</v>
      </c>
      <c r="I347" s="1" t="s">
        <v>15</v>
      </c>
      <c r="J347" s="1" t="s">
        <v>16</v>
      </c>
      <c r="K347" s="2"/>
      <c r="L347" s="5">
        <f>K347*138.20</f>
        <v>0</v>
      </c>
    </row>
    <row r="348" spans="1:12">
      <c r="A348" s="1"/>
      <c r="B348" s="1">
        <v>827738</v>
      </c>
      <c r="C348" s="1" t="s">
        <v>1287</v>
      </c>
      <c r="D348" s="1" t="s">
        <v>1288</v>
      </c>
      <c r="E348" s="3" t="s">
        <v>1289</v>
      </c>
      <c r="F348" s="1" t="s">
        <v>1290</v>
      </c>
      <c r="G348" s="1" t="s">
        <v>15</v>
      </c>
      <c r="H348" s="1" t="s">
        <v>15</v>
      </c>
      <c r="I348" s="1" t="s">
        <v>15</v>
      </c>
      <c r="J348" s="1" t="s">
        <v>16</v>
      </c>
      <c r="K348" s="2"/>
      <c r="L348" s="5">
        <f>K348*153.23</f>
        <v>0</v>
      </c>
    </row>
    <row r="349" spans="1:12">
      <c r="A349" s="1"/>
      <c r="B349" s="1">
        <v>827739</v>
      </c>
      <c r="C349" s="1" t="s">
        <v>1291</v>
      </c>
      <c r="D349" s="1" t="s">
        <v>1292</v>
      </c>
      <c r="E349" s="3" t="s">
        <v>1293</v>
      </c>
      <c r="F349" s="1" t="s">
        <v>1294</v>
      </c>
      <c r="G349" s="1" t="s">
        <v>15</v>
      </c>
      <c r="H349" s="1" t="s">
        <v>15</v>
      </c>
      <c r="I349" s="1" t="s">
        <v>15</v>
      </c>
      <c r="J349" s="1" t="s">
        <v>16</v>
      </c>
      <c r="K349" s="2"/>
      <c r="L349" s="5">
        <f>K349*183.88</f>
        <v>0</v>
      </c>
    </row>
    <row r="350" spans="1:12">
      <c r="A350" s="1"/>
      <c r="B350" s="1">
        <v>827740</v>
      </c>
      <c r="C350" s="1" t="s">
        <v>1295</v>
      </c>
      <c r="D350" s="1" t="s">
        <v>1296</v>
      </c>
      <c r="E350" s="3" t="s">
        <v>1297</v>
      </c>
      <c r="F350" s="1" t="s">
        <v>1298</v>
      </c>
      <c r="G350" s="1" t="s">
        <v>15</v>
      </c>
      <c r="H350" s="1" t="s">
        <v>15</v>
      </c>
      <c r="I350" s="1" t="s">
        <v>15</v>
      </c>
      <c r="J350" s="1" t="s">
        <v>16</v>
      </c>
      <c r="K350" s="2"/>
      <c r="L350" s="5">
        <f>K350*180.67</f>
        <v>0</v>
      </c>
    </row>
    <row r="351" spans="1:12">
      <c r="A351" s="1"/>
      <c r="B351" s="1">
        <v>827741</v>
      </c>
      <c r="C351" s="1" t="s">
        <v>1299</v>
      </c>
      <c r="D351" s="1" t="s">
        <v>1300</v>
      </c>
      <c r="E351" s="3" t="s">
        <v>1301</v>
      </c>
      <c r="F351" s="1" t="s">
        <v>1302</v>
      </c>
      <c r="G351" s="1" t="s">
        <v>15</v>
      </c>
      <c r="H351" s="1" t="s">
        <v>15</v>
      </c>
      <c r="I351" s="1" t="s">
        <v>15</v>
      </c>
      <c r="J351" s="1" t="s">
        <v>16</v>
      </c>
      <c r="K351" s="2"/>
      <c r="L351" s="5">
        <f>K351*212.92</f>
        <v>0</v>
      </c>
    </row>
    <row r="352" spans="1:12">
      <c r="A352" s="1"/>
      <c r="B352" s="1">
        <v>827742</v>
      </c>
      <c r="C352" s="1" t="s">
        <v>1303</v>
      </c>
      <c r="D352" s="1" t="s">
        <v>1304</v>
      </c>
      <c r="E352" s="3" t="s">
        <v>1305</v>
      </c>
      <c r="F352" s="1" t="s">
        <v>1306</v>
      </c>
      <c r="G352" s="1" t="s">
        <v>15</v>
      </c>
      <c r="H352" s="1" t="s">
        <v>15</v>
      </c>
      <c r="I352" s="1" t="s">
        <v>15</v>
      </c>
      <c r="J352" s="1" t="s">
        <v>16</v>
      </c>
      <c r="K352" s="2"/>
      <c r="L352" s="5">
        <f>K352*233.88</f>
        <v>0</v>
      </c>
    </row>
    <row r="353" spans="1:12">
      <c r="A353" s="1"/>
      <c r="B353" s="1">
        <v>827743</v>
      </c>
      <c r="C353" s="1" t="s">
        <v>1307</v>
      </c>
      <c r="D353" s="1" t="s">
        <v>1308</v>
      </c>
      <c r="E353" s="3" t="s">
        <v>1309</v>
      </c>
      <c r="F353" s="1" t="s">
        <v>1310</v>
      </c>
      <c r="G353" s="1" t="s">
        <v>15</v>
      </c>
      <c r="H353" s="1" t="s">
        <v>15</v>
      </c>
      <c r="I353" s="1" t="s">
        <v>15</v>
      </c>
      <c r="J353" s="1" t="s">
        <v>16</v>
      </c>
      <c r="K353" s="2"/>
      <c r="L353" s="5">
        <f>K353*274.22</f>
        <v>0</v>
      </c>
    </row>
    <row r="354" spans="1:12">
      <c r="A354" s="1"/>
      <c r="B354" s="1">
        <v>827744</v>
      </c>
      <c r="C354" s="1" t="s">
        <v>1311</v>
      </c>
      <c r="D354" s="1" t="s">
        <v>1312</v>
      </c>
      <c r="E354" s="3" t="s">
        <v>1313</v>
      </c>
      <c r="F354" s="1" t="s">
        <v>1314</v>
      </c>
      <c r="G354" s="1" t="s">
        <v>15</v>
      </c>
      <c r="H354" s="1" t="s">
        <v>15</v>
      </c>
      <c r="I354" s="1" t="s">
        <v>15</v>
      </c>
      <c r="J354" s="1" t="s">
        <v>16</v>
      </c>
      <c r="K354" s="2"/>
      <c r="L354" s="5">
        <f>K354*219.50</f>
        <v>0</v>
      </c>
    </row>
    <row r="355" spans="1:12">
      <c r="A355" s="1"/>
      <c r="B355" s="1">
        <v>827745</v>
      </c>
      <c r="C355" s="1" t="s">
        <v>1315</v>
      </c>
      <c r="D355" s="1" t="s">
        <v>1316</v>
      </c>
      <c r="E355" s="3" t="s">
        <v>1317</v>
      </c>
      <c r="F355" s="1" t="s">
        <v>1318</v>
      </c>
      <c r="G355" s="1" t="s">
        <v>15</v>
      </c>
      <c r="H355" s="1" t="s">
        <v>15</v>
      </c>
      <c r="I355" s="1" t="s">
        <v>15</v>
      </c>
      <c r="J355" s="1" t="s">
        <v>16</v>
      </c>
      <c r="K355" s="2"/>
      <c r="L355" s="5">
        <f>K355*237.21</f>
        <v>0</v>
      </c>
    </row>
    <row r="356" spans="1:12">
      <c r="A356" s="1"/>
      <c r="B356" s="1">
        <v>827746</v>
      </c>
      <c r="C356" s="1" t="s">
        <v>1319</v>
      </c>
      <c r="D356" s="1" t="s">
        <v>1320</v>
      </c>
      <c r="E356" s="3" t="s">
        <v>1321</v>
      </c>
      <c r="F356" s="1" t="s">
        <v>1322</v>
      </c>
      <c r="G356" s="1" t="s">
        <v>15</v>
      </c>
      <c r="H356" s="1" t="s">
        <v>15</v>
      </c>
      <c r="I356" s="1" t="s">
        <v>15</v>
      </c>
      <c r="J356" s="1" t="s">
        <v>16</v>
      </c>
      <c r="K356" s="2"/>
      <c r="L356" s="5">
        <f>K356*255.20</f>
        <v>0</v>
      </c>
    </row>
    <row r="357" spans="1:12">
      <c r="A357" s="1"/>
      <c r="B357" s="1">
        <v>827747</v>
      </c>
      <c r="C357" s="1" t="s">
        <v>1323</v>
      </c>
      <c r="D357" s="1" t="s">
        <v>1324</v>
      </c>
      <c r="E357" s="3" t="s">
        <v>1325</v>
      </c>
      <c r="F357" s="1" t="s">
        <v>1326</v>
      </c>
      <c r="G357" s="1" t="s">
        <v>15</v>
      </c>
      <c r="H357" s="1" t="s">
        <v>15</v>
      </c>
      <c r="I357" s="1" t="s">
        <v>15</v>
      </c>
      <c r="J357" s="1" t="s">
        <v>16</v>
      </c>
      <c r="K357" s="2"/>
      <c r="L357" s="5">
        <f>K357*313.28</f>
        <v>0</v>
      </c>
    </row>
    <row r="358" spans="1:12">
      <c r="A358" s="1"/>
      <c r="B358" s="1">
        <v>827748</v>
      </c>
      <c r="C358" s="1" t="s">
        <v>1327</v>
      </c>
      <c r="D358" s="1" t="s">
        <v>1328</v>
      </c>
      <c r="E358" s="3" t="s">
        <v>1329</v>
      </c>
      <c r="F358" s="1" t="s">
        <v>1330</v>
      </c>
      <c r="G358" s="1" t="s">
        <v>15</v>
      </c>
      <c r="H358" s="1" t="s">
        <v>15</v>
      </c>
      <c r="I358" s="1" t="s">
        <v>15</v>
      </c>
      <c r="J358" s="1" t="s">
        <v>16</v>
      </c>
      <c r="K358" s="2"/>
      <c r="L358" s="5">
        <f>K358*399.16</f>
        <v>0</v>
      </c>
    </row>
    <row r="359" spans="1:12">
      <c r="A359" s="1"/>
      <c r="B359" s="1">
        <v>827749</v>
      </c>
      <c r="C359" s="1" t="s">
        <v>1331</v>
      </c>
      <c r="D359" s="1" t="s">
        <v>1332</v>
      </c>
      <c r="E359" s="3" t="s">
        <v>1333</v>
      </c>
      <c r="F359" s="1" t="s">
        <v>1334</v>
      </c>
      <c r="G359" s="1" t="s">
        <v>15</v>
      </c>
      <c r="H359" s="1" t="s">
        <v>15</v>
      </c>
      <c r="I359" s="1" t="s">
        <v>15</v>
      </c>
      <c r="J359" s="1" t="s">
        <v>16</v>
      </c>
      <c r="K359" s="2"/>
      <c r="L359" s="5">
        <f>K359*65.39</f>
        <v>0</v>
      </c>
    </row>
    <row r="360" spans="1:12">
      <c r="A360" s="1"/>
      <c r="B360" s="1">
        <v>827750</v>
      </c>
      <c r="C360" s="1" t="s">
        <v>1335</v>
      </c>
      <c r="D360" s="1" t="s">
        <v>1336</v>
      </c>
      <c r="E360" s="3" t="s">
        <v>1337</v>
      </c>
      <c r="F360" s="1" t="s">
        <v>1338</v>
      </c>
      <c r="G360" s="1" t="s">
        <v>15</v>
      </c>
      <c r="H360" s="1" t="s">
        <v>15</v>
      </c>
      <c r="I360" s="1" t="s">
        <v>15</v>
      </c>
      <c r="J360" s="1" t="s">
        <v>16</v>
      </c>
      <c r="K360" s="2"/>
      <c r="L360" s="5">
        <f>K360*94.39</f>
        <v>0</v>
      </c>
    </row>
    <row r="361" spans="1:12">
      <c r="A361" s="1"/>
      <c r="B361" s="1">
        <v>827751</v>
      </c>
      <c r="C361" s="1" t="s">
        <v>1339</v>
      </c>
      <c r="D361" s="1" t="s">
        <v>1340</v>
      </c>
      <c r="E361" s="3" t="s">
        <v>1341</v>
      </c>
      <c r="F361" s="1" t="s">
        <v>1342</v>
      </c>
      <c r="G361" s="1" t="s">
        <v>15</v>
      </c>
      <c r="H361" s="1" t="s">
        <v>15</v>
      </c>
      <c r="I361" s="1" t="s">
        <v>15</v>
      </c>
      <c r="J361" s="1" t="s">
        <v>16</v>
      </c>
      <c r="K361" s="2"/>
      <c r="L361" s="5">
        <f>K361*117.20</f>
        <v>0</v>
      </c>
    </row>
    <row r="362" spans="1:12">
      <c r="A362" s="1"/>
      <c r="B362" s="1">
        <v>827752</v>
      </c>
      <c r="C362" s="1" t="s">
        <v>1343</v>
      </c>
      <c r="D362" s="1" t="s">
        <v>1344</v>
      </c>
      <c r="E362" s="3" t="s">
        <v>1345</v>
      </c>
      <c r="F362" s="1" t="s">
        <v>1346</v>
      </c>
      <c r="G362" s="1" t="s">
        <v>15</v>
      </c>
      <c r="H362" s="1" t="s">
        <v>15</v>
      </c>
      <c r="I362" s="1" t="s">
        <v>15</v>
      </c>
      <c r="J362" s="1" t="s">
        <v>16</v>
      </c>
      <c r="K362" s="2"/>
      <c r="L362" s="5">
        <f>K362*74.68</f>
        <v>0</v>
      </c>
    </row>
    <row r="363" spans="1:12">
      <c r="A363" s="1"/>
      <c r="B363" s="1">
        <v>827753</v>
      </c>
      <c r="C363" s="1" t="s">
        <v>1347</v>
      </c>
      <c r="D363" s="1" t="s">
        <v>1348</v>
      </c>
      <c r="E363" s="3" t="s">
        <v>1349</v>
      </c>
      <c r="F363" s="1" t="s">
        <v>1350</v>
      </c>
      <c r="G363" s="1" t="s">
        <v>15</v>
      </c>
      <c r="H363" s="1" t="s">
        <v>15</v>
      </c>
      <c r="I363" s="1" t="s">
        <v>15</v>
      </c>
      <c r="J363" s="1" t="s">
        <v>16</v>
      </c>
      <c r="K363" s="2"/>
      <c r="L363" s="5">
        <f>K363*85.99</f>
        <v>0</v>
      </c>
    </row>
    <row r="364" spans="1:12">
      <c r="A364" s="1"/>
      <c r="B364" s="1">
        <v>827754</v>
      </c>
      <c r="C364" s="1" t="s">
        <v>1351</v>
      </c>
      <c r="D364" s="1" t="s">
        <v>1352</v>
      </c>
      <c r="E364" s="3" t="s">
        <v>1353</v>
      </c>
      <c r="F364" s="1" t="s">
        <v>1354</v>
      </c>
      <c r="G364" s="1" t="s">
        <v>15</v>
      </c>
      <c r="H364" s="1" t="s">
        <v>15</v>
      </c>
      <c r="I364" s="1" t="s">
        <v>15</v>
      </c>
      <c r="J364" s="1" t="s">
        <v>16</v>
      </c>
      <c r="K364" s="2"/>
      <c r="L364" s="5">
        <f>K364*87.37</f>
        <v>0</v>
      </c>
    </row>
    <row r="365" spans="1:12">
      <c r="A365" s="1"/>
      <c r="B365" s="1">
        <v>827755</v>
      </c>
      <c r="C365" s="1" t="s">
        <v>1355</v>
      </c>
      <c r="D365" s="1" t="s">
        <v>1356</v>
      </c>
      <c r="E365" s="3" t="s">
        <v>1357</v>
      </c>
      <c r="F365" s="1" t="s">
        <v>1358</v>
      </c>
      <c r="G365" s="1" t="s">
        <v>15</v>
      </c>
      <c r="H365" s="1" t="s">
        <v>15</v>
      </c>
      <c r="I365" s="1" t="s">
        <v>15</v>
      </c>
      <c r="J365" s="1" t="s">
        <v>16</v>
      </c>
      <c r="K365" s="2"/>
      <c r="L365" s="5">
        <f>K365*149.46</f>
        <v>0</v>
      </c>
    </row>
    <row r="366" spans="1:12">
      <c r="A366" s="1"/>
      <c r="B366" s="1">
        <v>827756</v>
      </c>
      <c r="C366" s="1" t="s">
        <v>1359</v>
      </c>
      <c r="D366" s="1" t="s">
        <v>1360</v>
      </c>
      <c r="E366" s="3" t="s">
        <v>1361</v>
      </c>
      <c r="F366" s="1" t="s">
        <v>1362</v>
      </c>
      <c r="G366" s="1" t="s">
        <v>15</v>
      </c>
      <c r="H366" s="1" t="s">
        <v>15</v>
      </c>
      <c r="I366" s="1" t="s">
        <v>15</v>
      </c>
      <c r="J366" s="1" t="s">
        <v>16</v>
      </c>
      <c r="K366" s="2"/>
      <c r="L366" s="5">
        <f>K366*153.46</f>
        <v>0</v>
      </c>
    </row>
    <row r="367" spans="1:12">
      <c r="A367" s="1"/>
      <c r="B367" s="1">
        <v>827757</v>
      </c>
      <c r="C367" s="1" t="s">
        <v>1363</v>
      </c>
      <c r="D367" s="1" t="s">
        <v>1364</v>
      </c>
      <c r="E367" s="3" t="s">
        <v>1365</v>
      </c>
      <c r="F367" s="1" t="s">
        <v>1366</v>
      </c>
      <c r="G367" s="1" t="s">
        <v>15</v>
      </c>
      <c r="H367" s="1" t="s">
        <v>15</v>
      </c>
      <c r="I367" s="1" t="s">
        <v>15</v>
      </c>
      <c r="J367" s="1" t="s">
        <v>16</v>
      </c>
      <c r="K367" s="2"/>
      <c r="L367" s="5">
        <f>K367*162.48</f>
        <v>0</v>
      </c>
    </row>
    <row r="368" spans="1:12">
      <c r="A368" s="1"/>
      <c r="B368" s="1">
        <v>827758</v>
      </c>
      <c r="C368" s="1" t="s">
        <v>1367</v>
      </c>
      <c r="D368" s="1" t="s">
        <v>1368</v>
      </c>
      <c r="E368" s="3" t="s">
        <v>1369</v>
      </c>
      <c r="F368" s="1" t="s">
        <v>1370</v>
      </c>
      <c r="G368" s="1" t="s">
        <v>15</v>
      </c>
      <c r="H368" s="1" t="s">
        <v>15</v>
      </c>
      <c r="I368" s="1" t="s">
        <v>15</v>
      </c>
      <c r="J368" s="1" t="s">
        <v>16</v>
      </c>
      <c r="K368" s="2"/>
      <c r="L368" s="5">
        <f>K368*248.85</f>
        <v>0</v>
      </c>
    </row>
    <row r="369" spans="1:12">
      <c r="A369" s="1"/>
      <c r="B369" s="1">
        <v>827759</v>
      </c>
      <c r="C369" s="1" t="s">
        <v>1371</v>
      </c>
      <c r="D369" s="1" t="s">
        <v>1372</v>
      </c>
      <c r="E369" s="3" t="s">
        <v>1373</v>
      </c>
      <c r="F369" s="1" t="s">
        <v>1370</v>
      </c>
      <c r="G369" s="1" t="s">
        <v>15</v>
      </c>
      <c r="H369" s="1" t="s">
        <v>15</v>
      </c>
      <c r="I369" s="1" t="s">
        <v>15</v>
      </c>
      <c r="J369" s="1" t="s">
        <v>16</v>
      </c>
      <c r="K369" s="2"/>
      <c r="L369" s="5">
        <f>K369*248.85</f>
        <v>0</v>
      </c>
    </row>
    <row r="370" spans="1:12">
      <c r="A370" s="1"/>
      <c r="B370" s="1">
        <v>827760</v>
      </c>
      <c r="C370" s="1" t="s">
        <v>1374</v>
      </c>
      <c r="D370" s="1" t="s">
        <v>1375</v>
      </c>
      <c r="E370" s="3" t="s">
        <v>1376</v>
      </c>
      <c r="F370" s="1" t="s">
        <v>1370</v>
      </c>
      <c r="G370" s="1" t="s">
        <v>15</v>
      </c>
      <c r="H370" s="1" t="s">
        <v>15</v>
      </c>
      <c r="I370" s="1" t="s">
        <v>15</v>
      </c>
      <c r="J370" s="1" t="s">
        <v>16</v>
      </c>
      <c r="K370" s="2"/>
      <c r="L370" s="5">
        <f>K370*248.85</f>
        <v>0</v>
      </c>
    </row>
    <row r="371" spans="1:12">
      <c r="A371" s="1"/>
      <c r="B371" s="1">
        <v>827761</v>
      </c>
      <c r="C371" s="1" t="s">
        <v>1377</v>
      </c>
      <c r="D371" s="1" t="s">
        <v>1378</v>
      </c>
      <c r="E371" s="3" t="s">
        <v>1379</v>
      </c>
      <c r="F371" s="1" t="s">
        <v>1380</v>
      </c>
      <c r="G371" s="1" t="s">
        <v>15</v>
      </c>
      <c r="H371" s="1" t="s">
        <v>15</v>
      </c>
      <c r="I371" s="1" t="s">
        <v>15</v>
      </c>
      <c r="J371" s="1" t="s">
        <v>16</v>
      </c>
      <c r="K371" s="2"/>
      <c r="L371" s="5">
        <f>K371*165.69</f>
        <v>0</v>
      </c>
    </row>
    <row r="372" spans="1:12">
      <c r="A372" s="1"/>
      <c r="B372" s="1">
        <v>827762</v>
      </c>
      <c r="C372" s="1" t="s">
        <v>1381</v>
      </c>
      <c r="D372" s="1" t="s">
        <v>1382</v>
      </c>
      <c r="E372" s="3" t="s">
        <v>1383</v>
      </c>
      <c r="F372" s="1" t="s">
        <v>1384</v>
      </c>
      <c r="G372" s="1" t="s">
        <v>15</v>
      </c>
      <c r="H372" s="1" t="s">
        <v>15</v>
      </c>
      <c r="I372" s="1" t="s">
        <v>15</v>
      </c>
      <c r="J372" s="1" t="s">
        <v>16</v>
      </c>
      <c r="K372" s="2"/>
      <c r="L372" s="5">
        <f>K372*168.35</f>
        <v>0</v>
      </c>
    </row>
    <row r="373" spans="1:12">
      <c r="A373" s="1"/>
      <c r="B373" s="1">
        <v>827763</v>
      </c>
      <c r="C373" s="1" t="s">
        <v>1385</v>
      </c>
      <c r="D373" s="1" t="s">
        <v>1386</v>
      </c>
      <c r="E373" s="3" t="s">
        <v>1387</v>
      </c>
      <c r="F373" s="1" t="s">
        <v>1388</v>
      </c>
      <c r="G373" s="1" t="s">
        <v>15</v>
      </c>
      <c r="H373" s="1" t="s">
        <v>15</v>
      </c>
      <c r="I373" s="1" t="s">
        <v>15</v>
      </c>
      <c r="J373" s="1" t="s">
        <v>16</v>
      </c>
      <c r="K373" s="2"/>
      <c r="L373" s="5">
        <f>K373*167.89</f>
        <v>0</v>
      </c>
    </row>
    <row r="374" spans="1:12">
      <c r="A374" s="1"/>
      <c r="B374" s="1">
        <v>827764</v>
      </c>
      <c r="C374" s="1" t="s">
        <v>1389</v>
      </c>
      <c r="D374" s="1" t="s">
        <v>1390</v>
      </c>
      <c r="E374" s="3" t="s">
        <v>1391</v>
      </c>
      <c r="F374" s="1" t="s">
        <v>1392</v>
      </c>
      <c r="G374" s="1" t="s">
        <v>15</v>
      </c>
      <c r="H374" s="1" t="s">
        <v>15</v>
      </c>
      <c r="I374" s="1" t="s">
        <v>15</v>
      </c>
      <c r="J374" s="1" t="s">
        <v>16</v>
      </c>
      <c r="K374" s="2"/>
      <c r="L374" s="5">
        <f>K374*193.37</f>
        <v>0</v>
      </c>
    </row>
    <row r="375" spans="1:12">
      <c r="A375" s="1"/>
      <c r="B375" s="1">
        <v>827765</v>
      </c>
      <c r="C375" s="1" t="s">
        <v>1393</v>
      </c>
      <c r="D375" s="1" t="s">
        <v>1394</v>
      </c>
      <c r="E375" s="3" t="s">
        <v>1395</v>
      </c>
      <c r="F375" s="1" t="s">
        <v>1396</v>
      </c>
      <c r="G375" s="1" t="s">
        <v>15</v>
      </c>
      <c r="H375" s="1" t="s">
        <v>15</v>
      </c>
      <c r="I375" s="1" t="s">
        <v>15</v>
      </c>
      <c r="J375" s="1" t="s">
        <v>16</v>
      </c>
      <c r="K375" s="2"/>
      <c r="L375" s="5">
        <f>K375*293.18</f>
        <v>0</v>
      </c>
    </row>
    <row r="376" spans="1:12">
      <c r="A376" s="1"/>
      <c r="B376" s="1">
        <v>827766</v>
      </c>
      <c r="C376" s="1" t="s">
        <v>1397</v>
      </c>
      <c r="D376" s="1" t="s">
        <v>1398</v>
      </c>
      <c r="E376" s="3" t="s">
        <v>1399</v>
      </c>
      <c r="F376" s="1" t="s">
        <v>1400</v>
      </c>
      <c r="G376" s="1" t="s">
        <v>15</v>
      </c>
      <c r="H376" s="1" t="s">
        <v>15</v>
      </c>
      <c r="I376" s="1" t="s">
        <v>15</v>
      </c>
      <c r="J376" s="1" t="s">
        <v>16</v>
      </c>
      <c r="K376" s="2"/>
      <c r="L376" s="5">
        <f>K376*296.53</f>
        <v>0</v>
      </c>
    </row>
    <row r="377" spans="1:12">
      <c r="A377" s="1"/>
      <c r="B377" s="1">
        <v>827767</v>
      </c>
      <c r="C377" s="1" t="s">
        <v>1401</v>
      </c>
      <c r="D377" s="1" t="s">
        <v>1402</v>
      </c>
      <c r="E377" s="3" t="s">
        <v>1403</v>
      </c>
      <c r="F377" s="1" t="s">
        <v>1404</v>
      </c>
      <c r="G377" s="1" t="s">
        <v>15</v>
      </c>
      <c r="H377" s="1" t="s">
        <v>15</v>
      </c>
      <c r="I377" s="1" t="s">
        <v>15</v>
      </c>
      <c r="J377" s="1" t="s">
        <v>16</v>
      </c>
      <c r="K377" s="2"/>
      <c r="L377" s="5">
        <f>K377*235.96</f>
        <v>0</v>
      </c>
    </row>
    <row r="378" spans="1:12">
      <c r="A378" s="1"/>
      <c r="B378" s="1">
        <v>827768</v>
      </c>
      <c r="C378" s="1" t="s">
        <v>1405</v>
      </c>
      <c r="D378" s="1" t="s">
        <v>1406</v>
      </c>
      <c r="E378" s="3" t="s">
        <v>1407</v>
      </c>
      <c r="F378" s="1" t="s">
        <v>1408</v>
      </c>
      <c r="G378" s="1" t="s">
        <v>15</v>
      </c>
      <c r="H378" s="1" t="s">
        <v>15</v>
      </c>
      <c r="I378" s="1" t="s">
        <v>15</v>
      </c>
      <c r="J378" s="1" t="s">
        <v>16</v>
      </c>
      <c r="K378" s="2"/>
      <c r="L378" s="5">
        <f>K378*171.99</f>
        <v>0</v>
      </c>
    </row>
    <row r="379" spans="1:12">
      <c r="A379" s="1"/>
      <c r="B379" s="1">
        <v>827769</v>
      </c>
      <c r="C379" s="1" t="s">
        <v>1409</v>
      </c>
      <c r="D379" s="1" t="s">
        <v>1410</v>
      </c>
      <c r="E379" s="3" t="s">
        <v>1411</v>
      </c>
      <c r="F379" s="1" t="s">
        <v>1412</v>
      </c>
      <c r="G379" s="1" t="s">
        <v>15</v>
      </c>
      <c r="H379" s="1" t="s">
        <v>15</v>
      </c>
      <c r="I379" s="1" t="s">
        <v>15</v>
      </c>
      <c r="J379" s="1" t="s">
        <v>16</v>
      </c>
      <c r="K379" s="2"/>
      <c r="L379" s="5">
        <f>K379*334.56</f>
        <v>0</v>
      </c>
    </row>
    <row r="380" spans="1:12">
      <c r="A380" s="1"/>
      <c r="B380" s="1">
        <v>827770</v>
      </c>
      <c r="C380" s="1" t="s">
        <v>1413</v>
      </c>
      <c r="D380" s="1" t="s">
        <v>1414</v>
      </c>
      <c r="E380" s="3" t="s">
        <v>1415</v>
      </c>
      <c r="F380" s="1" t="s">
        <v>1416</v>
      </c>
      <c r="G380" s="1" t="s">
        <v>15</v>
      </c>
      <c r="H380" s="1" t="s">
        <v>15</v>
      </c>
      <c r="I380" s="1" t="s">
        <v>15</v>
      </c>
      <c r="J380" s="1" t="s">
        <v>16</v>
      </c>
      <c r="K380" s="2"/>
      <c r="L380" s="5">
        <f>K380*362.09</f>
        <v>0</v>
      </c>
    </row>
    <row r="381" spans="1:12">
      <c r="A381" s="1"/>
      <c r="B381" s="1">
        <v>827771</v>
      </c>
      <c r="C381" s="1" t="s">
        <v>1417</v>
      </c>
      <c r="D381" s="1" t="s">
        <v>1418</v>
      </c>
      <c r="E381" s="3" t="s">
        <v>1419</v>
      </c>
      <c r="F381" s="1" t="s">
        <v>1420</v>
      </c>
      <c r="G381" s="1" t="s">
        <v>15</v>
      </c>
      <c r="H381" s="1" t="s">
        <v>15</v>
      </c>
      <c r="I381" s="1" t="s">
        <v>15</v>
      </c>
      <c r="J381" s="1" t="s">
        <v>16</v>
      </c>
      <c r="K381" s="2"/>
      <c r="L381" s="5">
        <f>K381*399.21</f>
        <v>0</v>
      </c>
    </row>
    <row r="382" spans="1:12">
      <c r="A382" s="1"/>
      <c r="B382" s="1">
        <v>827772</v>
      </c>
      <c r="C382" s="1" t="s">
        <v>1421</v>
      </c>
      <c r="D382" s="1" t="s">
        <v>1422</v>
      </c>
      <c r="E382" s="3" t="s">
        <v>1423</v>
      </c>
      <c r="F382" s="1" t="s">
        <v>1424</v>
      </c>
      <c r="G382" s="1" t="s">
        <v>15</v>
      </c>
      <c r="H382" s="1" t="s">
        <v>15</v>
      </c>
      <c r="I382" s="1" t="s">
        <v>15</v>
      </c>
      <c r="J382" s="1" t="s">
        <v>16</v>
      </c>
      <c r="K382" s="2"/>
      <c r="L382" s="5">
        <f>K382*365.89</f>
        <v>0</v>
      </c>
    </row>
    <row r="383" spans="1:12">
      <c r="A383" s="1"/>
      <c r="B383" s="1">
        <v>827773</v>
      </c>
      <c r="C383" s="1" t="s">
        <v>1425</v>
      </c>
      <c r="D383" s="1">
        <v>9911013090002</v>
      </c>
      <c r="E383" s="3" t="s">
        <v>1426</v>
      </c>
      <c r="F383" s="1" t="s">
        <v>1420</v>
      </c>
      <c r="G383" s="1" t="s">
        <v>15</v>
      </c>
      <c r="H383" s="1" t="s">
        <v>15</v>
      </c>
      <c r="I383" s="1" t="s">
        <v>15</v>
      </c>
      <c r="J383" s="1" t="s">
        <v>16</v>
      </c>
      <c r="K383" s="2"/>
      <c r="L383" s="5">
        <f>K383*399.21</f>
        <v>0</v>
      </c>
    </row>
    <row r="384" spans="1:12">
      <c r="A384" s="1"/>
      <c r="B384" s="1">
        <v>827774</v>
      </c>
      <c r="C384" s="1" t="s">
        <v>1427</v>
      </c>
      <c r="D384" s="1" t="s">
        <v>1428</v>
      </c>
      <c r="E384" s="3" t="s">
        <v>1429</v>
      </c>
      <c r="F384" s="1" t="s">
        <v>1420</v>
      </c>
      <c r="G384" s="1" t="s">
        <v>15</v>
      </c>
      <c r="H384" s="1" t="s">
        <v>15</v>
      </c>
      <c r="I384" s="1" t="s">
        <v>15</v>
      </c>
      <c r="J384" s="1" t="s">
        <v>16</v>
      </c>
      <c r="K384" s="2"/>
      <c r="L384" s="5">
        <f>K384*399.21</f>
        <v>0</v>
      </c>
    </row>
    <row r="385" spans="1:12">
      <c r="A385" s="1"/>
      <c r="B385" s="1">
        <v>827775</v>
      </c>
      <c r="C385" s="1" t="s">
        <v>1430</v>
      </c>
      <c r="D385" s="1" t="s">
        <v>1431</v>
      </c>
      <c r="E385" s="3" t="s">
        <v>1432</v>
      </c>
      <c r="F385" s="1" t="s">
        <v>1433</v>
      </c>
      <c r="G385" s="1" t="s">
        <v>15</v>
      </c>
      <c r="H385" s="1" t="s">
        <v>15</v>
      </c>
      <c r="I385" s="1" t="s">
        <v>15</v>
      </c>
      <c r="J385" s="1" t="s">
        <v>16</v>
      </c>
      <c r="K385" s="2"/>
      <c r="L385" s="5">
        <f>K385*314.30</f>
        <v>0</v>
      </c>
    </row>
    <row r="386" spans="1:12">
      <c r="A386" s="1"/>
      <c r="B386" s="1">
        <v>827776</v>
      </c>
      <c r="C386" s="1" t="s">
        <v>1434</v>
      </c>
      <c r="D386" s="1" t="s">
        <v>1435</v>
      </c>
      <c r="E386" s="3" t="s">
        <v>1436</v>
      </c>
      <c r="F386" s="1" t="s">
        <v>1437</v>
      </c>
      <c r="G386" s="1" t="s">
        <v>15</v>
      </c>
      <c r="H386" s="1" t="s">
        <v>15</v>
      </c>
      <c r="I386" s="1" t="s">
        <v>15</v>
      </c>
      <c r="J386" s="1" t="s">
        <v>16</v>
      </c>
      <c r="K386" s="2"/>
      <c r="L386" s="5">
        <f>K386*507.38</f>
        <v>0</v>
      </c>
    </row>
    <row r="387" spans="1:12">
      <c r="A387" s="1"/>
      <c r="B387" s="1">
        <v>827777</v>
      </c>
      <c r="C387" s="1" t="s">
        <v>1438</v>
      </c>
      <c r="D387" s="1" t="s">
        <v>1439</v>
      </c>
      <c r="E387" s="3" t="s">
        <v>1440</v>
      </c>
      <c r="F387" s="1" t="s">
        <v>1437</v>
      </c>
      <c r="G387" s="1" t="s">
        <v>15</v>
      </c>
      <c r="H387" s="1" t="s">
        <v>15</v>
      </c>
      <c r="I387" s="1" t="s">
        <v>15</v>
      </c>
      <c r="J387" s="1" t="s">
        <v>16</v>
      </c>
      <c r="K387" s="2"/>
      <c r="L387" s="5">
        <f>K387*507.38</f>
        <v>0</v>
      </c>
    </row>
    <row r="388" spans="1:12">
      <c r="A388" s="1"/>
      <c r="B388" s="1">
        <v>827778</v>
      </c>
      <c r="C388" s="1" t="s">
        <v>1441</v>
      </c>
      <c r="D388" s="1" t="s">
        <v>1442</v>
      </c>
      <c r="E388" s="3" t="s">
        <v>1443</v>
      </c>
      <c r="F388" s="1" t="s">
        <v>1437</v>
      </c>
      <c r="G388" s="1" t="s">
        <v>15</v>
      </c>
      <c r="H388" s="1" t="s">
        <v>15</v>
      </c>
      <c r="I388" s="1" t="s">
        <v>15</v>
      </c>
      <c r="J388" s="1" t="s">
        <v>16</v>
      </c>
      <c r="K388" s="2"/>
      <c r="L388" s="5">
        <f>K388*507.38</f>
        <v>0</v>
      </c>
    </row>
    <row r="389" spans="1:12">
      <c r="A389" s="1"/>
      <c r="B389" s="1">
        <v>827779</v>
      </c>
      <c r="C389" s="1" t="s">
        <v>1444</v>
      </c>
      <c r="D389" s="1" t="s">
        <v>1445</v>
      </c>
      <c r="E389" s="3" t="s">
        <v>1446</v>
      </c>
      <c r="F389" s="1" t="s">
        <v>1447</v>
      </c>
      <c r="G389" s="1" t="s">
        <v>15</v>
      </c>
      <c r="H389" s="1" t="s">
        <v>15</v>
      </c>
      <c r="I389" s="1" t="s">
        <v>15</v>
      </c>
      <c r="J389" s="1" t="s">
        <v>16</v>
      </c>
      <c r="K389" s="2"/>
      <c r="L389" s="5">
        <f>K389*485.58</f>
        <v>0</v>
      </c>
    </row>
    <row r="390" spans="1:12">
      <c r="A390" s="1"/>
      <c r="B390" s="1">
        <v>827780</v>
      </c>
      <c r="C390" s="1" t="s">
        <v>1448</v>
      </c>
      <c r="D390" s="1" t="s">
        <v>1449</v>
      </c>
      <c r="E390" s="3" t="s">
        <v>1450</v>
      </c>
      <c r="F390" s="1" t="s">
        <v>1451</v>
      </c>
      <c r="G390" s="1" t="s">
        <v>15</v>
      </c>
      <c r="H390" s="1" t="s">
        <v>15</v>
      </c>
      <c r="I390" s="1" t="s">
        <v>15</v>
      </c>
      <c r="J390" s="1" t="s">
        <v>16</v>
      </c>
      <c r="K390" s="2"/>
      <c r="L390" s="5">
        <f>K390*568.10</f>
        <v>0</v>
      </c>
    </row>
    <row r="391" spans="1:12">
      <c r="A391" s="1"/>
      <c r="B391" s="1">
        <v>827781</v>
      </c>
      <c r="C391" s="1" t="s">
        <v>1452</v>
      </c>
      <c r="D391" s="1" t="s">
        <v>1453</v>
      </c>
      <c r="E391" s="3" t="s">
        <v>1454</v>
      </c>
      <c r="F391" s="1" t="s">
        <v>1451</v>
      </c>
      <c r="G391" s="1" t="s">
        <v>15</v>
      </c>
      <c r="H391" s="1" t="s">
        <v>15</v>
      </c>
      <c r="I391" s="1" t="s">
        <v>15</v>
      </c>
      <c r="J391" s="1" t="s">
        <v>16</v>
      </c>
      <c r="K391" s="2"/>
      <c r="L391" s="5">
        <f>K391*568.10</f>
        <v>0</v>
      </c>
    </row>
    <row r="392" spans="1:12">
      <c r="A392" s="1"/>
      <c r="B392" s="1">
        <v>827782</v>
      </c>
      <c r="C392" s="1" t="s">
        <v>1455</v>
      </c>
      <c r="D392" s="1" t="s">
        <v>1456</v>
      </c>
      <c r="E392" s="3" t="s">
        <v>1457</v>
      </c>
      <c r="F392" s="1" t="s">
        <v>1451</v>
      </c>
      <c r="G392" s="1" t="s">
        <v>15</v>
      </c>
      <c r="H392" s="1" t="s">
        <v>15</v>
      </c>
      <c r="I392" s="1" t="s">
        <v>15</v>
      </c>
      <c r="J392" s="1" t="s">
        <v>16</v>
      </c>
      <c r="K392" s="2"/>
      <c r="L392" s="5">
        <f>K392*568.10</f>
        <v>0</v>
      </c>
    </row>
    <row r="393" spans="1:12">
      <c r="A393" s="1"/>
      <c r="B393" s="1">
        <v>827783</v>
      </c>
      <c r="C393" s="1" t="s">
        <v>1458</v>
      </c>
      <c r="D393" s="1" t="s">
        <v>1459</v>
      </c>
      <c r="E393" s="3" t="s">
        <v>1460</v>
      </c>
      <c r="F393" s="1" t="s">
        <v>1447</v>
      </c>
      <c r="G393" s="1" t="s">
        <v>15</v>
      </c>
      <c r="H393" s="1" t="s">
        <v>15</v>
      </c>
      <c r="I393" s="1" t="s">
        <v>15</v>
      </c>
      <c r="J393" s="1" t="s">
        <v>16</v>
      </c>
      <c r="K393" s="2"/>
      <c r="L393" s="5">
        <f>K393*485.58</f>
        <v>0</v>
      </c>
    </row>
    <row r="394" spans="1:12">
      <c r="A394" s="1"/>
      <c r="B394" s="1">
        <v>827784</v>
      </c>
      <c r="C394" s="1" t="s">
        <v>1461</v>
      </c>
      <c r="D394" s="1" t="s">
        <v>1462</v>
      </c>
      <c r="E394" s="3" t="s">
        <v>1463</v>
      </c>
      <c r="F394" s="1" t="s">
        <v>1447</v>
      </c>
      <c r="G394" s="1" t="s">
        <v>15</v>
      </c>
      <c r="H394" s="1" t="s">
        <v>15</v>
      </c>
      <c r="I394" s="1" t="s">
        <v>15</v>
      </c>
      <c r="J394" s="1" t="s">
        <v>16</v>
      </c>
      <c r="K394" s="2"/>
      <c r="L394" s="5">
        <f>K394*485.58</f>
        <v>0</v>
      </c>
    </row>
    <row r="395" spans="1:12">
      <c r="A395" s="1"/>
      <c r="B395" s="1">
        <v>827785</v>
      </c>
      <c r="C395" s="1" t="s">
        <v>1464</v>
      </c>
      <c r="D395" s="1" t="s">
        <v>1465</v>
      </c>
      <c r="E395" s="3" t="s">
        <v>1466</v>
      </c>
      <c r="F395" s="1" t="s">
        <v>1467</v>
      </c>
      <c r="G395" s="1" t="s">
        <v>15</v>
      </c>
      <c r="H395" s="1" t="s">
        <v>15</v>
      </c>
      <c r="I395" s="1" t="s">
        <v>15</v>
      </c>
      <c r="J395" s="1" t="s">
        <v>16</v>
      </c>
      <c r="K395" s="2"/>
      <c r="L395" s="5">
        <f>K395*540.01</f>
        <v>0</v>
      </c>
    </row>
    <row r="396" spans="1:12">
      <c r="A396" s="1"/>
      <c r="B396" s="1">
        <v>827786</v>
      </c>
      <c r="C396" s="1" t="s">
        <v>1468</v>
      </c>
      <c r="D396" s="1" t="s">
        <v>1469</v>
      </c>
      <c r="E396" s="3" t="s">
        <v>1470</v>
      </c>
      <c r="F396" s="1" t="s">
        <v>1471</v>
      </c>
      <c r="G396" s="1" t="s">
        <v>15</v>
      </c>
      <c r="H396" s="1" t="s">
        <v>15</v>
      </c>
      <c r="I396" s="1" t="s">
        <v>15</v>
      </c>
      <c r="J396" s="1" t="s">
        <v>16</v>
      </c>
      <c r="K396" s="2"/>
      <c r="L396" s="5">
        <f>K396*723.19</f>
        <v>0</v>
      </c>
    </row>
    <row r="397" spans="1:12">
      <c r="A397" s="1"/>
      <c r="B397" s="1">
        <v>827787</v>
      </c>
      <c r="C397" s="1" t="s">
        <v>1472</v>
      </c>
      <c r="D397" s="1" t="s">
        <v>1473</v>
      </c>
      <c r="E397" s="3" t="s">
        <v>1474</v>
      </c>
      <c r="F397" s="1" t="s">
        <v>1475</v>
      </c>
      <c r="G397" s="1" t="s">
        <v>15</v>
      </c>
      <c r="H397" s="1" t="s">
        <v>15</v>
      </c>
      <c r="I397" s="1" t="s">
        <v>15</v>
      </c>
      <c r="J397" s="1" t="s">
        <v>16</v>
      </c>
      <c r="K397" s="2"/>
      <c r="L397" s="5">
        <f>K397*559.87</f>
        <v>0</v>
      </c>
    </row>
    <row r="398" spans="1:12">
      <c r="A398" s="1"/>
      <c r="B398" s="1">
        <v>827788</v>
      </c>
      <c r="C398" s="1" t="s">
        <v>1476</v>
      </c>
      <c r="D398" s="1" t="s">
        <v>1477</v>
      </c>
      <c r="E398" s="3" t="s">
        <v>1478</v>
      </c>
      <c r="F398" s="1" t="s">
        <v>1479</v>
      </c>
      <c r="G398" s="1" t="s">
        <v>15</v>
      </c>
      <c r="H398" s="1" t="s">
        <v>15</v>
      </c>
      <c r="I398" s="1" t="s">
        <v>15</v>
      </c>
      <c r="J398" s="1" t="s">
        <v>16</v>
      </c>
      <c r="K398" s="2"/>
      <c r="L398" s="5">
        <f>K398*554.32</f>
        <v>0</v>
      </c>
    </row>
    <row r="399" spans="1:12">
      <c r="A399" s="1"/>
      <c r="B399" s="1">
        <v>827789</v>
      </c>
      <c r="C399" s="1" t="s">
        <v>1480</v>
      </c>
      <c r="D399" s="1" t="s">
        <v>1481</v>
      </c>
      <c r="E399" s="3" t="s">
        <v>1482</v>
      </c>
      <c r="F399" s="1" t="s">
        <v>1471</v>
      </c>
      <c r="G399" s="1" t="s">
        <v>15</v>
      </c>
      <c r="H399" s="1" t="s">
        <v>15</v>
      </c>
      <c r="I399" s="1" t="s">
        <v>15</v>
      </c>
      <c r="J399" s="1" t="s">
        <v>16</v>
      </c>
      <c r="K399" s="2"/>
      <c r="L399" s="5">
        <f>K399*723.19</f>
        <v>0</v>
      </c>
    </row>
    <row r="400" spans="1:12">
      <c r="A400" s="1"/>
      <c r="B400" s="1">
        <v>827790</v>
      </c>
      <c r="C400" s="1" t="s">
        <v>1483</v>
      </c>
      <c r="D400" s="1" t="s">
        <v>1484</v>
      </c>
      <c r="E400" s="3" t="s">
        <v>1485</v>
      </c>
      <c r="F400" s="1" t="s">
        <v>1486</v>
      </c>
      <c r="G400" s="1" t="s">
        <v>15</v>
      </c>
      <c r="H400" s="1" t="s">
        <v>15</v>
      </c>
      <c r="I400" s="1" t="s">
        <v>15</v>
      </c>
      <c r="J400" s="1" t="s">
        <v>16</v>
      </c>
      <c r="K400" s="2"/>
      <c r="L400" s="5">
        <f>K400*1011.16</f>
        <v>0</v>
      </c>
    </row>
    <row r="401" spans="1:12">
      <c r="A401" s="1"/>
      <c r="B401" s="1">
        <v>827791</v>
      </c>
      <c r="C401" s="1" t="s">
        <v>1487</v>
      </c>
      <c r="D401" s="1" t="s">
        <v>1488</v>
      </c>
      <c r="E401" s="3" t="s">
        <v>1489</v>
      </c>
      <c r="F401" s="1" t="s">
        <v>1490</v>
      </c>
      <c r="G401" s="1" t="s">
        <v>15</v>
      </c>
      <c r="H401" s="1" t="s">
        <v>15</v>
      </c>
      <c r="I401" s="1" t="s">
        <v>15</v>
      </c>
      <c r="J401" s="1" t="s">
        <v>16</v>
      </c>
      <c r="K401" s="2"/>
      <c r="L401" s="5">
        <f>K401*1314.50</f>
        <v>0</v>
      </c>
    </row>
    <row r="402" spans="1:12">
      <c r="A402" s="1"/>
      <c r="B402" s="1">
        <v>827792</v>
      </c>
      <c r="C402" s="1" t="s">
        <v>1491</v>
      </c>
      <c r="D402" s="1" t="s">
        <v>1492</v>
      </c>
      <c r="E402" s="3" t="s">
        <v>1493</v>
      </c>
      <c r="F402" s="1" t="s">
        <v>1490</v>
      </c>
      <c r="G402" s="1" t="s">
        <v>15</v>
      </c>
      <c r="H402" s="1" t="s">
        <v>15</v>
      </c>
      <c r="I402" s="1" t="s">
        <v>15</v>
      </c>
      <c r="J402" s="1" t="s">
        <v>16</v>
      </c>
      <c r="K402" s="2"/>
      <c r="L402" s="5">
        <f>K402*1314.50</f>
        <v>0</v>
      </c>
    </row>
    <row r="403" spans="1:12">
      <c r="A403" s="1"/>
      <c r="B403" s="1">
        <v>871418</v>
      </c>
      <c r="C403" s="1" t="s">
        <v>1494</v>
      </c>
      <c r="D403" s="1">
        <v>9026</v>
      </c>
      <c r="E403" s="3" t="s">
        <v>1495</v>
      </c>
      <c r="F403" s="1" t="s">
        <v>1496</v>
      </c>
      <c r="G403" s="1" t="s">
        <v>15</v>
      </c>
      <c r="H403" s="1" t="s">
        <v>15</v>
      </c>
      <c r="I403" s="1" t="s">
        <v>15</v>
      </c>
      <c r="J403" s="1" t="s">
        <v>16</v>
      </c>
      <c r="K403" s="2"/>
      <c r="L403" s="5">
        <f>K403*176.18</f>
        <v>0</v>
      </c>
    </row>
    <row r="404" spans="1:12">
      <c r="A404" s="1"/>
      <c r="B404" s="1">
        <v>871419</v>
      </c>
      <c r="C404" s="1" t="s">
        <v>1497</v>
      </c>
      <c r="D404" s="1" t="s">
        <v>1498</v>
      </c>
      <c r="E404" s="3" t="s">
        <v>1499</v>
      </c>
      <c r="F404" s="1" t="s">
        <v>1500</v>
      </c>
      <c r="G404" s="1" t="s">
        <v>15</v>
      </c>
      <c r="H404" s="1" t="s">
        <v>15</v>
      </c>
      <c r="I404" s="1" t="s">
        <v>15</v>
      </c>
      <c r="J404" s="1" t="s">
        <v>16</v>
      </c>
      <c r="K404" s="2"/>
      <c r="L404" s="5">
        <f>K404*3245.11</f>
        <v>0</v>
      </c>
    </row>
    <row r="405" spans="1:12">
      <c r="A405" s="1"/>
      <c r="B405" s="1">
        <v>871420</v>
      </c>
      <c r="C405" s="1" t="s">
        <v>1501</v>
      </c>
      <c r="D405" s="1" t="s">
        <v>1502</v>
      </c>
      <c r="E405" s="3" t="s">
        <v>1503</v>
      </c>
      <c r="F405" s="1" t="s">
        <v>1504</v>
      </c>
      <c r="G405" s="1" t="s">
        <v>15</v>
      </c>
      <c r="H405" s="1" t="s">
        <v>15</v>
      </c>
      <c r="I405" s="1" t="s">
        <v>15</v>
      </c>
      <c r="J405" s="1" t="s">
        <v>16</v>
      </c>
      <c r="K405" s="2"/>
      <c r="L405" s="5">
        <f>K405*874.52</f>
        <v>0</v>
      </c>
    </row>
    <row r="406" spans="1:12">
      <c r="A406" s="1"/>
      <c r="B406" s="1">
        <v>871421</v>
      </c>
      <c r="C406" s="1" t="s">
        <v>1505</v>
      </c>
      <c r="D406" s="1" t="s">
        <v>1506</v>
      </c>
      <c r="E406" s="3" t="s">
        <v>1507</v>
      </c>
      <c r="F406" s="1" t="s">
        <v>1508</v>
      </c>
      <c r="G406" s="1" t="s">
        <v>15</v>
      </c>
      <c r="H406" s="1" t="s">
        <v>15</v>
      </c>
      <c r="I406" s="1" t="s">
        <v>15</v>
      </c>
      <c r="J406" s="1" t="s">
        <v>16</v>
      </c>
      <c r="K406" s="2"/>
      <c r="L406" s="5">
        <f>K406*1064.77</f>
        <v>0</v>
      </c>
    </row>
    <row r="407" spans="1:12">
      <c r="A407" s="1"/>
      <c r="B407" s="1">
        <v>871422</v>
      </c>
      <c r="C407" s="1" t="s">
        <v>1509</v>
      </c>
      <c r="D407" s="1" t="s">
        <v>1510</v>
      </c>
      <c r="E407" s="3" t="s">
        <v>1511</v>
      </c>
      <c r="F407" s="1" t="s">
        <v>1512</v>
      </c>
      <c r="G407" s="1" t="s">
        <v>15</v>
      </c>
      <c r="H407" s="1" t="s">
        <v>15</v>
      </c>
      <c r="I407" s="1" t="s">
        <v>15</v>
      </c>
      <c r="J407" s="1" t="s">
        <v>16</v>
      </c>
      <c r="K407" s="2"/>
      <c r="L407" s="5">
        <f>K407*1480.28</f>
        <v>0</v>
      </c>
    </row>
    <row r="408" spans="1:12">
      <c r="A408" s="1"/>
      <c r="B408" s="1">
        <v>871423</v>
      </c>
      <c r="C408" s="1" t="s">
        <v>1513</v>
      </c>
      <c r="D408" s="1" t="s">
        <v>1514</v>
      </c>
      <c r="E408" s="3" t="s">
        <v>1515</v>
      </c>
      <c r="F408" s="1" t="s">
        <v>1516</v>
      </c>
      <c r="G408" s="1" t="s">
        <v>15</v>
      </c>
      <c r="H408" s="1" t="s">
        <v>15</v>
      </c>
      <c r="I408" s="1" t="s">
        <v>15</v>
      </c>
      <c r="J408" s="1" t="s">
        <v>16</v>
      </c>
      <c r="K408" s="2"/>
      <c r="L408" s="5">
        <f>K408*2063.40</f>
        <v>0</v>
      </c>
    </row>
    <row r="409" spans="1:12">
      <c r="A409" s="1"/>
      <c r="B409" s="1">
        <v>871424</v>
      </c>
      <c r="C409" s="1" t="s">
        <v>1517</v>
      </c>
      <c r="D409" s="1" t="s">
        <v>1518</v>
      </c>
      <c r="E409" s="3" t="s">
        <v>1519</v>
      </c>
      <c r="F409" s="1" t="s">
        <v>1520</v>
      </c>
      <c r="G409" s="1" t="s">
        <v>15</v>
      </c>
      <c r="H409" s="1" t="s">
        <v>15</v>
      </c>
      <c r="I409" s="1" t="s">
        <v>15</v>
      </c>
      <c r="J409" s="1" t="s">
        <v>16</v>
      </c>
      <c r="K409" s="2"/>
      <c r="L409" s="5">
        <f>K409*2934.36</f>
        <v>0</v>
      </c>
    </row>
    <row r="410" spans="1:12">
      <c r="A410" s="1"/>
      <c r="B410" s="1">
        <v>882926</v>
      </c>
      <c r="C410" s="1" t="s">
        <v>1521</v>
      </c>
      <c r="D410" s="1"/>
      <c r="E410" s="3" t="s">
        <v>1522</v>
      </c>
      <c r="F410" s="1" t="s">
        <v>1523</v>
      </c>
      <c r="G410" s="1" t="s">
        <v>15</v>
      </c>
      <c r="H410" s="1" t="s">
        <v>15</v>
      </c>
      <c r="I410" s="1" t="s">
        <v>15</v>
      </c>
      <c r="J410" s="1" t="s">
        <v>21</v>
      </c>
      <c r="K410" s="2"/>
      <c r="L410" s="5">
        <f>K410*46.03</f>
        <v>0</v>
      </c>
    </row>
    <row r="411" spans="1:12">
      <c r="A411" s="1"/>
      <c r="B411" s="1">
        <v>882927</v>
      </c>
      <c r="C411" s="1" t="s">
        <v>1524</v>
      </c>
      <c r="D411" s="1"/>
      <c r="E411" s="3" t="s">
        <v>1525</v>
      </c>
      <c r="F411" s="1" t="s">
        <v>1526</v>
      </c>
      <c r="G411" s="1" t="s">
        <v>15</v>
      </c>
      <c r="H411" s="1" t="s">
        <v>15</v>
      </c>
      <c r="I411" s="1" t="s">
        <v>15</v>
      </c>
      <c r="J411" s="1" t="s">
        <v>21</v>
      </c>
      <c r="K411" s="2"/>
      <c r="L411" s="5">
        <f>K411*62.08</f>
        <v>0</v>
      </c>
    </row>
    <row r="412" spans="1:12">
      <c r="A412" s="1"/>
      <c r="B412" s="1">
        <v>882928</v>
      </c>
      <c r="C412" s="1" t="s">
        <v>1527</v>
      </c>
      <c r="D412" s="1"/>
      <c r="E412" s="3" t="s">
        <v>1528</v>
      </c>
      <c r="F412" s="1" t="s">
        <v>1529</v>
      </c>
      <c r="G412" s="1" t="s">
        <v>15</v>
      </c>
      <c r="H412" s="1" t="s">
        <v>15</v>
      </c>
      <c r="I412" s="1" t="s">
        <v>15</v>
      </c>
      <c r="J412" s="1" t="s">
        <v>21</v>
      </c>
      <c r="K412" s="2"/>
      <c r="L412" s="5">
        <f>K412*104.53</f>
        <v>0</v>
      </c>
    </row>
    <row r="413" spans="1:12">
      <c r="A413" s="1"/>
      <c r="B413" s="1">
        <v>882929</v>
      </c>
      <c r="C413" s="1" t="s">
        <v>1530</v>
      </c>
      <c r="D413" s="1"/>
      <c r="E413" s="3" t="s">
        <v>1531</v>
      </c>
      <c r="F413" s="1" t="s">
        <v>1529</v>
      </c>
      <c r="G413" s="1" t="s">
        <v>15</v>
      </c>
      <c r="H413" s="1" t="s">
        <v>15</v>
      </c>
      <c r="I413" s="1" t="s">
        <v>15</v>
      </c>
      <c r="J413" s="1" t="s">
        <v>21</v>
      </c>
      <c r="K413" s="2"/>
      <c r="L413" s="5">
        <f>K413*104.53</f>
        <v>0</v>
      </c>
    </row>
    <row r="414" spans="1:12">
      <c r="A414" s="1"/>
      <c r="B414" s="1">
        <v>829337</v>
      </c>
      <c r="C414" s="1" t="s">
        <v>1532</v>
      </c>
      <c r="D414" s="1" t="s">
        <v>1533</v>
      </c>
      <c r="E414" s="3" t="s">
        <v>1534</v>
      </c>
      <c r="F414" s="1" t="s">
        <v>1535</v>
      </c>
      <c r="G414" s="1" t="s">
        <v>15</v>
      </c>
      <c r="H414" s="1" t="s">
        <v>15</v>
      </c>
      <c r="I414" s="1" t="s">
        <v>15</v>
      </c>
      <c r="J414" s="1" t="s">
        <v>16</v>
      </c>
      <c r="K414" s="2"/>
      <c r="L414" s="5">
        <f>K414*495.27</f>
        <v>0</v>
      </c>
    </row>
    <row r="415" spans="1:12">
      <c r="A415" s="1"/>
      <c r="B415" s="1">
        <v>829338</v>
      </c>
      <c r="C415" s="1" t="s">
        <v>1536</v>
      </c>
      <c r="D415" s="1" t="s">
        <v>1537</v>
      </c>
      <c r="E415" s="3" t="s">
        <v>1538</v>
      </c>
      <c r="F415" s="1" t="s">
        <v>1539</v>
      </c>
      <c r="G415" s="1" t="s">
        <v>15</v>
      </c>
      <c r="H415" s="1" t="s">
        <v>15</v>
      </c>
      <c r="I415" s="1" t="s">
        <v>15</v>
      </c>
      <c r="J415" s="1" t="s">
        <v>16</v>
      </c>
      <c r="K415" s="2"/>
      <c r="L415" s="5">
        <f>K415*568.52</f>
        <v>0</v>
      </c>
    </row>
    <row r="416" spans="1:12">
      <c r="A416" s="1"/>
      <c r="B416" s="1">
        <v>829339</v>
      </c>
      <c r="C416" s="1" t="s">
        <v>1540</v>
      </c>
      <c r="D416" s="1" t="s">
        <v>1541</v>
      </c>
      <c r="E416" s="3" t="s">
        <v>1542</v>
      </c>
      <c r="F416" s="1" t="s">
        <v>1543</v>
      </c>
      <c r="G416" s="1" t="s">
        <v>15</v>
      </c>
      <c r="H416" s="1" t="s">
        <v>15</v>
      </c>
      <c r="I416" s="1" t="s">
        <v>15</v>
      </c>
      <c r="J416" s="1" t="s">
        <v>16</v>
      </c>
      <c r="K416" s="2"/>
      <c r="L416" s="5">
        <f>K416*705.48</f>
        <v>0</v>
      </c>
    </row>
    <row r="417" spans="1:12">
      <c r="A417" s="1"/>
      <c r="B417" s="1">
        <v>829340</v>
      </c>
      <c r="C417" s="1" t="s">
        <v>1544</v>
      </c>
      <c r="D417" s="1" t="s">
        <v>1545</v>
      </c>
      <c r="E417" s="3" t="s">
        <v>1546</v>
      </c>
      <c r="F417" s="1" t="s">
        <v>1547</v>
      </c>
      <c r="G417" s="1" t="s">
        <v>15</v>
      </c>
      <c r="H417" s="1" t="s">
        <v>15</v>
      </c>
      <c r="I417" s="1" t="s">
        <v>15</v>
      </c>
      <c r="J417" s="1" t="s">
        <v>16</v>
      </c>
      <c r="K417" s="2"/>
      <c r="L417" s="5">
        <f>K417*668.85</f>
        <v>0</v>
      </c>
    </row>
    <row r="418" spans="1:12">
      <c r="A418" s="1"/>
      <c r="B418" s="1">
        <v>882921</v>
      </c>
      <c r="C418" s="1" t="s">
        <v>1548</v>
      </c>
      <c r="D418" s="1"/>
      <c r="E418" s="3" t="s">
        <v>1549</v>
      </c>
      <c r="F418" s="1" t="s">
        <v>1550</v>
      </c>
      <c r="G418" s="1" t="s">
        <v>15</v>
      </c>
      <c r="H418" s="1" t="s">
        <v>15</v>
      </c>
      <c r="I418" s="1" t="s">
        <v>15</v>
      </c>
      <c r="J418" s="1" t="s">
        <v>16</v>
      </c>
      <c r="K418" s="2"/>
      <c r="L418" s="5">
        <f>K418*528.08</f>
        <v>0</v>
      </c>
    </row>
    <row r="419" spans="1:12">
      <c r="A419" s="1"/>
      <c r="B419" s="1">
        <v>882924</v>
      </c>
      <c r="C419" s="1" t="s">
        <v>1551</v>
      </c>
      <c r="D419" s="1"/>
      <c r="E419" s="3" t="s">
        <v>1552</v>
      </c>
      <c r="F419" s="1" t="s">
        <v>1553</v>
      </c>
      <c r="G419" s="1" t="s">
        <v>15</v>
      </c>
      <c r="H419" s="1" t="s">
        <v>15</v>
      </c>
      <c r="I419" s="1" t="s">
        <v>15</v>
      </c>
      <c r="J419" s="1" t="s">
        <v>16</v>
      </c>
      <c r="K419" s="2"/>
      <c r="L419" s="5">
        <f>K419*1761.94</f>
        <v>0</v>
      </c>
    </row>
    <row r="420" spans="1:12">
      <c r="A420" s="1"/>
      <c r="B420" s="1">
        <v>882925</v>
      </c>
      <c r="C420" s="1" t="s">
        <v>1554</v>
      </c>
      <c r="D420" s="1"/>
      <c r="E420" s="3" t="s">
        <v>1555</v>
      </c>
      <c r="F420" s="1" t="s">
        <v>1556</v>
      </c>
      <c r="G420" s="1" t="s">
        <v>15</v>
      </c>
      <c r="H420" s="1" t="s">
        <v>15</v>
      </c>
      <c r="I420" s="1" t="s">
        <v>15</v>
      </c>
      <c r="J420" s="1" t="s">
        <v>16</v>
      </c>
      <c r="K420" s="2"/>
      <c r="L420" s="5">
        <f>K420*2619.00</f>
        <v>0</v>
      </c>
    </row>
    <row r="421" spans="1:12">
      <c r="A421" s="1"/>
      <c r="B421" s="1">
        <v>882922</v>
      </c>
      <c r="C421" s="1" t="s">
        <v>1557</v>
      </c>
      <c r="D421" s="1"/>
      <c r="E421" s="3" t="s">
        <v>1558</v>
      </c>
      <c r="F421" s="1" t="s">
        <v>1559</v>
      </c>
      <c r="G421" s="1" t="s">
        <v>15</v>
      </c>
      <c r="H421" s="1" t="s">
        <v>15</v>
      </c>
      <c r="I421" s="1" t="s">
        <v>15</v>
      </c>
      <c r="J421" s="1" t="s">
        <v>16</v>
      </c>
      <c r="K421" s="2"/>
      <c r="L421" s="5">
        <f>K421*493.58</f>
        <v>0</v>
      </c>
    </row>
    <row r="422" spans="1:12">
      <c r="A422" s="1"/>
      <c r="B422" s="1">
        <v>882923</v>
      </c>
      <c r="C422" s="1" t="s">
        <v>1560</v>
      </c>
      <c r="D422" s="1"/>
      <c r="E422" s="3" t="s">
        <v>1561</v>
      </c>
      <c r="F422" s="1" t="s">
        <v>1562</v>
      </c>
      <c r="G422" s="1" t="s">
        <v>15</v>
      </c>
      <c r="H422" s="1" t="s">
        <v>15</v>
      </c>
      <c r="I422" s="1" t="s">
        <v>15</v>
      </c>
      <c r="J422" s="1" t="s">
        <v>16</v>
      </c>
      <c r="K422" s="2"/>
      <c r="L422" s="5">
        <f>K422*1834.56</f>
        <v>0</v>
      </c>
    </row>
    <row r="423" spans="1:12">
      <c r="A423" s="1"/>
      <c r="B423" s="1">
        <v>878105</v>
      </c>
      <c r="C423" s="1" t="s">
        <v>1563</v>
      </c>
      <c r="D423" s="1" t="s">
        <v>1564</v>
      </c>
      <c r="E423" s="3" t="s">
        <v>1565</v>
      </c>
      <c r="F423" s="1" t="s">
        <v>1566</v>
      </c>
      <c r="G423" s="1" t="s">
        <v>15</v>
      </c>
      <c r="H423" s="1" t="s">
        <v>15</v>
      </c>
      <c r="I423" s="1" t="s">
        <v>15</v>
      </c>
      <c r="J423" s="1" t="s">
        <v>16</v>
      </c>
      <c r="K423" s="2"/>
      <c r="L423" s="5">
        <f>K423*291.43</f>
        <v>0</v>
      </c>
    </row>
    <row r="424" spans="1:12">
      <c r="A424" s="1"/>
      <c r="B424" s="1">
        <v>878106</v>
      </c>
      <c r="C424" s="1" t="s">
        <v>1567</v>
      </c>
      <c r="D424" s="1" t="s">
        <v>1568</v>
      </c>
      <c r="E424" s="3" t="s">
        <v>1569</v>
      </c>
      <c r="F424" s="1" t="s">
        <v>1570</v>
      </c>
      <c r="G424" s="1" t="s">
        <v>15</v>
      </c>
      <c r="H424" s="1" t="s">
        <v>15</v>
      </c>
      <c r="I424" s="1" t="s">
        <v>15</v>
      </c>
      <c r="J424" s="1" t="s">
        <v>16</v>
      </c>
      <c r="K424" s="2"/>
      <c r="L424" s="5">
        <f>K424*334.43</f>
        <v>0</v>
      </c>
    </row>
    <row r="425" spans="1:12">
      <c r="A425" s="1"/>
      <c r="B425" s="1">
        <v>878107</v>
      </c>
      <c r="C425" s="1" t="s">
        <v>1571</v>
      </c>
      <c r="D425" s="1" t="s">
        <v>1572</v>
      </c>
      <c r="E425" s="3" t="s">
        <v>1573</v>
      </c>
      <c r="F425" s="1" t="s">
        <v>1574</v>
      </c>
      <c r="G425" s="1" t="s">
        <v>15</v>
      </c>
      <c r="H425" s="1" t="s">
        <v>15</v>
      </c>
      <c r="I425" s="1" t="s">
        <v>15</v>
      </c>
      <c r="J425" s="1" t="s">
        <v>16</v>
      </c>
      <c r="K425" s="2"/>
      <c r="L425" s="5">
        <f>K425*512.79</f>
        <v>0</v>
      </c>
    </row>
    <row r="426" spans="1:12">
      <c r="A426" s="1"/>
      <c r="B426" s="1">
        <v>878108</v>
      </c>
      <c r="C426" s="1" t="s">
        <v>1575</v>
      </c>
      <c r="D426" s="1" t="s">
        <v>1576</v>
      </c>
      <c r="E426" s="3" t="s">
        <v>1577</v>
      </c>
      <c r="F426" s="1" t="s">
        <v>1578</v>
      </c>
      <c r="G426" s="1" t="s">
        <v>15</v>
      </c>
      <c r="H426" s="1" t="s">
        <v>15</v>
      </c>
      <c r="I426" s="1" t="s">
        <v>15</v>
      </c>
      <c r="J426" s="1" t="s">
        <v>16</v>
      </c>
      <c r="K426" s="2"/>
      <c r="L426" s="5">
        <f>K426*656.11</f>
        <v>0</v>
      </c>
    </row>
    <row r="427" spans="1:12">
      <c r="A427" s="1"/>
      <c r="B427" s="1">
        <v>878109</v>
      </c>
      <c r="C427" s="1" t="s">
        <v>1579</v>
      </c>
      <c r="D427" s="1" t="s">
        <v>1580</v>
      </c>
      <c r="E427" s="3" t="s">
        <v>1581</v>
      </c>
      <c r="F427" s="1" t="s">
        <v>1582</v>
      </c>
      <c r="G427" s="1" t="s">
        <v>15</v>
      </c>
      <c r="H427" s="1" t="s">
        <v>15</v>
      </c>
      <c r="I427" s="1" t="s">
        <v>15</v>
      </c>
      <c r="J427" s="1" t="s">
        <v>16</v>
      </c>
      <c r="K427" s="2"/>
      <c r="L427" s="5">
        <f>K427*723.00</f>
        <v>0</v>
      </c>
    </row>
    <row r="428" spans="1:12">
      <c r="A428" s="1"/>
      <c r="B428" s="1">
        <v>878110</v>
      </c>
      <c r="C428" s="1" t="s">
        <v>1583</v>
      </c>
      <c r="D428" s="1" t="s">
        <v>1584</v>
      </c>
      <c r="E428" s="3" t="s">
        <v>1585</v>
      </c>
      <c r="F428" s="1" t="s">
        <v>1586</v>
      </c>
      <c r="G428" s="1" t="s">
        <v>15</v>
      </c>
      <c r="H428" s="1" t="s">
        <v>15</v>
      </c>
      <c r="I428" s="1" t="s">
        <v>15</v>
      </c>
      <c r="J428" s="1" t="s">
        <v>16</v>
      </c>
      <c r="K428" s="2"/>
      <c r="L428" s="5">
        <f>K428*1038.31</f>
        <v>0</v>
      </c>
    </row>
    <row r="429" spans="1:12">
      <c r="A429" s="1"/>
      <c r="B429" s="1">
        <v>878111</v>
      </c>
      <c r="C429" s="1" t="s">
        <v>1587</v>
      </c>
      <c r="D429" s="1" t="s">
        <v>1588</v>
      </c>
      <c r="E429" s="3" t="s">
        <v>1589</v>
      </c>
      <c r="F429" s="1" t="s">
        <v>1590</v>
      </c>
      <c r="G429" s="1" t="s">
        <v>15</v>
      </c>
      <c r="H429" s="1" t="s">
        <v>15</v>
      </c>
      <c r="I429" s="1" t="s">
        <v>15</v>
      </c>
      <c r="J429" s="1" t="s">
        <v>16</v>
      </c>
      <c r="K429" s="2"/>
      <c r="L429" s="5">
        <f>K429*1361.59</f>
        <v>0</v>
      </c>
    </row>
    <row r="430" spans="1:12">
      <c r="A430" s="1"/>
      <c r="B430" s="1">
        <v>883906</v>
      </c>
      <c r="C430" s="1" t="s">
        <v>1591</v>
      </c>
      <c r="D430" s="1" t="s">
        <v>1592</v>
      </c>
      <c r="E430" s="3" t="s">
        <v>1593</v>
      </c>
      <c r="F430" s="1" t="s">
        <v>1594</v>
      </c>
      <c r="G430" s="1" t="s">
        <v>15</v>
      </c>
      <c r="H430" s="1" t="s">
        <v>15</v>
      </c>
      <c r="I430" s="1" t="s">
        <v>15</v>
      </c>
      <c r="J430" s="1" t="s">
        <v>16</v>
      </c>
      <c r="K430" s="2"/>
      <c r="L430" s="5">
        <f>K430*3220.04</f>
        <v>0</v>
      </c>
    </row>
    <row r="431" spans="1:12">
      <c r="A431" s="1"/>
      <c r="B431" s="1">
        <v>885066</v>
      </c>
      <c r="C431" s="1" t="s">
        <v>1595</v>
      </c>
      <c r="D431" s="1" t="s">
        <v>1596</v>
      </c>
      <c r="E431" s="3" t="s">
        <v>1597</v>
      </c>
      <c r="F431" s="1" t="s">
        <v>1598</v>
      </c>
      <c r="G431" s="1" t="s">
        <v>15</v>
      </c>
      <c r="H431" s="1" t="s">
        <v>15</v>
      </c>
      <c r="I431" s="1" t="s">
        <v>15</v>
      </c>
      <c r="J431" s="1" t="s">
        <v>16</v>
      </c>
      <c r="K431" s="2"/>
      <c r="L431" s="5">
        <f>K431*498.45</f>
        <v>0</v>
      </c>
    </row>
    <row r="432" spans="1:12">
      <c r="A432" s="1"/>
      <c r="B432" s="1">
        <v>885067</v>
      </c>
      <c r="C432" s="1" t="s">
        <v>1599</v>
      </c>
      <c r="D432" s="1" t="s">
        <v>1600</v>
      </c>
      <c r="E432" s="3" t="s">
        <v>1601</v>
      </c>
      <c r="F432" s="1" t="s">
        <v>1602</v>
      </c>
      <c r="G432" s="1" t="s">
        <v>15</v>
      </c>
      <c r="H432" s="1" t="s">
        <v>15</v>
      </c>
      <c r="I432" s="1" t="s">
        <v>15</v>
      </c>
      <c r="J432" s="1" t="s">
        <v>16</v>
      </c>
      <c r="K432" s="2"/>
      <c r="L432" s="5">
        <f>K432*778.73</f>
        <v>0</v>
      </c>
    </row>
    <row r="433" spans="1:12">
      <c r="A433" s="1"/>
      <c r="B433" s="1">
        <v>885068</v>
      </c>
      <c r="C433" s="1" t="s">
        <v>1603</v>
      </c>
      <c r="D433" s="1" t="s">
        <v>1604</v>
      </c>
      <c r="E433" s="3" t="s">
        <v>1605</v>
      </c>
      <c r="F433" s="1" t="s">
        <v>1606</v>
      </c>
      <c r="G433" s="1" t="s">
        <v>15</v>
      </c>
      <c r="H433" s="1" t="s">
        <v>15</v>
      </c>
      <c r="I433" s="1" t="s">
        <v>15</v>
      </c>
      <c r="J433" s="1" t="s">
        <v>16</v>
      </c>
      <c r="K433" s="2"/>
      <c r="L433" s="5">
        <f>K433*777.14</f>
        <v>0</v>
      </c>
    </row>
    <row r="434" spans="1:12">
      <c r="A434" s="1"/>
      <c r="B434" s="1">
        <v>885977</v>
      </c>
      <c r="C434" s="1" t="s">
        <v>1607</v>
      </c>
      <c r="D434" s="1" t="s">
        <v>1608</v>
      </c>
      <c r="E434" s="3" t="s">
        <v>1609</v>
      </c>
      <c r="F434" s="1" t="s">
        <v>1610</v>
      </c>
      <c r="G434" s="1" t="s">
        <v>15</v>
      </c>
      <c r="H434" s="1" t="s">
        <v>15</v>
      </c>
      <c r="I434" s="1" t="s">
        <v>15</v>
      </c>
      <c r="J434" s="1" t="s">
        <v>16</v>
      </c>
      <c r="K434" s="2"/>
      <c r="L434" s="5">
        <f>K434*756.44</f>
        <v>0</v>
      </c>
    </row>
    <row r="435" spans="1:12">
      <c r="A435" s="1"/>
      <c r="B435" s="1">
        <v>885859</v>
      </c>
      <c r="C435" s="1" t="s">
        <v>1611</v>
      </c>
      <c r="D435" s="1" t="s">
        <v>1612</v>
      </c>
      <c r="E435" s="3" t="s">
        <v>1613</v>
      </c>
      <c r="F435" s="1" t="s">
        <v>1614</v>
      </c>
      <c r="G435" s="1" t="s">
        <v>15</v>
      </c>
      <c r="H435" s="1" t="s">
        <v>15</v>
      </c>
      <c r="I435" s="1" t="s">
        <v>15</v>
      </c>
      <c r="J435" s="1" t="s">
        <v>16</v>
      </c>
      <c r="K435" s="2"/>
      <c r="L435" s="5">
        <f>K435*748.48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2025-05-30T07:24:01+03:00</dcterms:created>
  <dcterms:modified xsi:type="dcterms:W3CDTF">2025-05-30T07:24:01+03:00</dcterms:modified>
  <dc:title>Untitled Spreadsheet</dc:title>
  <dc:description/>
  <dc:subject/>
  <cp:keywords/>
  <cp:category/>
</cp:coreProperties>
</file>