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<sst xmlns="http://schemas.openxmlformats.org/spreadsheetml/2006/main" uniqueCount="2800">
  <si>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</si>
  <si>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</si>
  <si>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</si>
  <si>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</si>
  <si>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</si>
  <si>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</si>
  <si>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</si>
  <si>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</si>
  <si>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</si>
  <si>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</si>
  <si>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</si>
  <si>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FIO-330001</t>
  </si>
  <si>
    <t>Дивертор на кран</t>
  </si>
  <si>
    <t>883.83 руб.</t>
  </si>
  <si>
    <t>Уточняйте</t>
  </si>
  <si>
    <t>шт</t>
  </si>
  <si>
    <t>FRK-110172</t>
  </si>
  <si>
    <t>PV43</t>
  </si>
  <si>
    <t>Эксцентрик для смесителя 3/4х1/2" (1/500шт)</t>
  </si>
  <si>
    <t>152.88 руб.</t>
  </si>
  <si>
    <t>FRK-110173</t>
  </si>
  <si>
    <t>PV45</t>
  </si>
  <si>
    <t>Набор коротких усиленных эксцентриков (2шт) в блистере с прокладками (1/48шт)</t>
  </si>
  <si>
    <t>404.50 руб.</t>
  </si>
  <si>
    <t>FRK-110174</t>
  </si>
  <si>
    <t>PV46</t>
  </si>
  <si>
    <t>Набор длинных усиленных эксцентриков (2шт) в блистере с прокладками (1/48шт)</t>
  </si>
  <si>
    <t>523.93 руб.</t>
  </si>
  <si>
    <t>FRK-111002</t>
  </si>
  <si>
    <t>Набор эксцентриков с отражателем 2шт, нержавеющая сталь</t>
  </si>
  <si>
    <t>49.00 руб.</t>
  </si>
  <si>
    <t>GAL-207498</t>
  </si>
  <si>
    <t>Смеситель СоюзКран для ванны с дл. изливом, с душ набором,керам. кран-букса 1/2, цинк (1/10)</t>
  </si>
  <si>
    <t>1 844.08 руб.</t>
  </si>
  <si>
    <t>OTM-110058</t>
  </si>
  <si>
    <t>Шланг для душа 1/2 металлический имп-имп ЭКОНОМ (150см) (100шт)</t>
  </si>
  <si>
    <t>135.71 руб.</t>
  </si>
  <si>
    <t>OTM-110063</t>
  </si>
  <si>
    <t>Лейка для  душа 1/2 КОБРА хром (160шт)</t>
  </si>
  <si>
    <t>85.43 руб.</t>
  </si>
  <si>
    <t>OTM-110067</t>
  </si>
  <si>
    <t>Держатель настенный для лейки пластик хром</t>
  </si>
  <si>
    <t>24.70 руб.</t>
  </si>
  <si>
    <t>SCH-100142</t>
  </si>
  <si>
    <t>Шланг для душа виниловый 150 см белый (упак.30)</t>
  </si>
  <si>
    <t>278.30 руб.</t>
  </si>
  <si>
    <t>SCH-100143</t>
  </si>
  <si>
    <t>Шланг для душа виниловый 150 см серый (упак.30)</t>
  </si>
  <si>
    <t>SCH-100144</t>
  </si>
  <si>
    <t>Шланг для душа виниловый 150 см черный матовый (упак.30)</t>
  </si>
  <si>
    <t>SMS-111006</t>
  </si>
  <si>
    <t>Смеситель СоюзКран для ванны с дл. изливом 40см, с душ набором,резин. кран-букса 1/2, цинк</t>
  </si>
  <si>
    <t>1 802.64 руб.</t>
  </si>
  <si>
    <t>SMS-160001</t>
  </si>
  <si>
    <t>V113531</t>
  </si>
  <si>
    <t>Смеситель одноручковый для  ванны с коротким изливом VIEIR (1/10шт)</t>
  </si>
  <si>
    <t>7 268.25 руб.</t>
  </si>
  <si>
    <t>SMS-160002</t>
  </si>
  <si>
    <t>V093542</t>
  </si>
  <si>
    <t>Смеситель одноручковый для  ванны с длинным поворотным плоским изливом VIEIR (1/10шт)</t>
  </si>
  <si>
    <t>4 590.01 руб.</t>
  </si>
  <si>
    <t>SMS-160003</t>
  </si>
  <si>
    <t>V103542</t>
  </si>
  <si>
    <t>Смеситель одноручковый для ванны с длинным поворотным плоским изливом VIEIR (1/10шт)</t>
  </si>
  <si>
    <t>4 488.81 руб.</t>
  </si>
  <si>
    <t>SMS-160004</t>
  </si>
  <si>
    <t>V113541</t>
  </si>
  <si>
    <t>Смеситель одноручковый для  ванны с длинным повортным плоским изливом VIEIR (1/10шт)</t>
  </si>
  <si>
    <t>5 830.39 руб.</t>
  </si>
  <si>
    <t>SMS-160005</t>
  </si>
  <si>
    <t>V174041</t>
  </si>
  <si>
    <t>5 209.52 руб.</t>
  </si>
  <si>
    <t>SMS-160006</t>
  </si>
  <si>
    <t>V184041</t>
  </si>
  <si>
    <t>5 324.29 руб.</t>
  </si>
  <si>
    <t>SMS-160007</t>
  </si>
  <si>
    <t>V194041</t>
  </si>
  <si>
    <t>5 604.87 руб.</t>
  </si>
  <si>
    <t>SMS-160008</t>
  </si>
  <si>
    <t>V204041</t>
  </si>
  <si>
    <t>5 239.46 руб.</t>
  </si>
  <si>
    <t>SMS-160009</t>
  </si>
  <si>
    <t>V184012</t>
  </si>
  <si>
    <t>Смеситель одноручковый для умывальника VIEIR (1/10шт)</t>
  </si>
  <si>
    <t>2 346.20 руб.</t>
  </si>
  <si>
    <t>SMS-160010</t>
  </si>
  <si>
    <t>V103511</t>
  </si>
  <si>
    <t>2 515.85 руб.</t>
  </si>
  <si>
    <t>SMS-160011</t>
  </si>
  <si>
    <t>V093511</t>
  </si>
  <si>
    <t>2 758.69 руб.</t>
  </si>
  <si>
    <t>SMS-160012</t>
  </si>
  <si>
    <t>V174012</t>
  </si>
  <si>
    <t>2 313.45 руб.</t>
  </si>
  <si>
    <t>SMS-160013</t>
  </si>
  <si>
    <t>V194012</t>
  </si>
  <si>
    <t>2 341.83 руб.</t>
  </si>
  <si>
    <t>SMS-160014</t>
  </si>
  <si>
    <t>V204012</t>
  </si>
  <si>
    <t>2 531.96 руб.</t>
  </si>
  <si>
    <t>SMS-160015</t>
  </si>
  <si>
    <t>V013541</t>
  </si>
  <si>
    <t>5 900.60 руб.</t>
  </si>
  <si>
    <t>SMS-160016</t>
  </si>
  <si>
    <t>V023531</t>
  </si>
  <si>
    <t>5 799.68 руб.</t>
  </si>
  <si>
    <t>SMS-160017</t>
  </si>
  <si>
    <t>V023541</t>
  </si>
  <si>
    <t>5 657.79 руб.</t>
  </si>
  <si>
    <t>SMS-160018</t>
  </si>
  <si>
    <t>V033531</t>
  </si>
  <si>
    <t>5 498.36 руб.</t>
  </si>
  <si>
    <t>SMS-160019</t>
  </si>
  <si>
    <t>V053541</t>
  </si>
  <si>
    <t>5 896.22 руб.</t>
  </si>
  <si>
    <t>SMS-160020</t>
  </si>
  <si>
    <t>V073531</t>
  </si>
  <si>
    <t>5 270.05 руб.</t>
  </si>
  <si>
    <t>SMS-160021</t>
  </si>
  <si>
    <t>V073541</t>
  </si>
  <si>
    <t>5 213.30 руб.</t>
  </si>
  <si>
    <t>SMS-160022</t>
  </si>
  <si>
    <t>V083532</t>
  </si>
  <si>
    <t>9 724.82 руб.</t>
  </si>
  <si>
    <t>SMS-160023</t>
  </si>
  <si>
    <t>V243531</t>
  </si>
  <si>
    <t>5 634.39 руб.</t>
  </si>
  <si>
    <t>SMS-160024</t>
  </si>
  <si>
    <t>V243541</t>
  </si>
  <si>
    <t>6 652.83 руб.</t>
  </si>
  <si>
    <t>SMS-160025</t>
  </si>
  <si>
    <t>V093531</t>
  </si>
  <si>
    <t>Смеситель одноручковый для ванны с коротким поворотным плоским изливом VIEIR (1/5шт)</t>
  </si>
  <si>
    <t>5 333.07 руб.</t>
  </si>
  <si>
    <t>SMS-160026</t>
  </si>
  <si>
    <t>V093541</t>
  </si>
  <si>
    <t>Смеситель одноручковый для ванны с длинным поворотным плоским изливом VIEIR (1/5шт)</t>
  </si>
  <si>
    <t>5 393.04 руб.</t>
  </si>
  <si>
    <t>SMS-160027</t>
  </si>
  <si>
    <t>V130141</t>
  </si>
  <si>
    <t>Смеситель двуручковый для ванны с длинным поворотным круглым изливом VIEIR (1/5шт)</t>
  </si>
  <si>
    <t>4 689.47 руб.</t>
  </si>
  <si>
    <t>SMS-160028</t>
  </si>
  <si>
    <t>V013531</t>
  </si>
  <si>
    <t>6 027.86 руб.</t>
  </si>
  <si>
    <t>SMS-160029</t>
  </si>
  <si>
    <t>V033541</t>
  </si>
  <si>
    <t>5 624.15 руб.</t>
  </si>
  <si>
    <t>SMS-160030</t>
  </si>
  <si>
    <t>V043531</t>
  </si>
  <si>
    <t>5 963.50 руб.</t>
  </si>
  <si>
    <t>SMS-160031</t>
  </si>
  <si>
    <t>V043541</t>
  </si>
  <si>
    <t>5 818.69 руб.</t>
  </si>
  <si>
    <t>SMS-160032</t>
  </si>
  <si>
    <t>V063541</t>
  </si>
  <si>
    <t>4 658.76 руб.</t>
  </si>
  <si>
    <t>SMS-160033</t>
  </si>
  <si>
    <t>V103531</t>
  </si>
  <si>
    <t>Смеситель одноручковый для ванны с коротким поворотным плоским изливом VIEIR (1/10шт)</t>
  </si>
  <si>
    <t>4 708.24 руб.</t>
  </si>
  <si>
    <t>SMS-160034</t>
  </si>
  <si>
    <t>V103541</t>
  </si>
  <si>
    <t>4 780.12 руб.</t>
  </si>
  <si>
    <t>SMS-160035</t>
  </si>
  <si>
    <t>V120131</t>
  </si>
  <si>
    <t>Смеситель двуручковый для ванны с коротким поворотным круглым изливом VIEIR (1/10шт)</t>
  </si>
  <si>
    <t>4 904.49 руб.</t>
  </si>
  <si>
    <t>SMS-160036</t>
  </si>
  <si>
    <t>V120141</t>
  </si>
  <si>
    <t>Смеситель двуручковый для ванны с длинным поворотным круглым изливом VIEIR (1/10шт)</t>
  </si>
  <si>
    <t>4 844.52 руб.</t>
  </si>
  <si>
    <t>SMS-160037</t>
  </si>
  <si>
    <t>V120142</t>
  </si>
  <si>
    <t>Смеситель двуручковый для ванны с длинным поворотным плоским изливом VIEIR (1/10шт)</t>
  </si>
  <si>
    <t>4 876.70 руб.</t>
  </si>
  <si>
    <t>SMS-160038</t>
  </si>
  <si>
    <t>V120162</t>
  </si>
  <si>
    <t>Смеситель двуруч. для ванны с кор. пов. плоским изливом с душ.стойкой "тропический душ"  VIEIR (1/10</t>
  </si>
  <si>
    <t>12 523.79 руб.</t>
  </si>
  <si>
    <t>SMS-160039</t>
  </si>
  <si>
    <t>V130142</t>
  </si>
  <si>
    <t>4 734.82 руб.</t>
  </si>
  <si>
    <t>SMS-160040</t>
  </si>
  <si>
    <t>V150131</t>
  </si>
  <si>
    <t>Смеситель двуручковый для  ванны с коротким изливом VIEIR (1/10шт)</t>
  </si>
  <si>
    <t>5 619.76 руб.</t>
  </si>
  <si>
    <t>SMS-160041</t>
  </si>
  <si>
    <t>V150142</t>
  </si>
  <si>
    <t>5 464.71 руб.</t>
  </si>
  <si>
    <t>SMS-160042</t>
  </si>
  <si>
    <t>V130131</t>
  </si>
  <si>
    <t>Смеситель двуручковый для  ванны с коротким поворотным изливом VIEIR (1/10шт)</t>
  </si>
  <si>
    <t>4 900.11 руб.</t>
  </si>
  <si>
    <t>SMS-160043</t>
  </si>
  <si>
    <t>V023552</t>
  </si>
  <si>
    <t>Смеситель одноручковый с гигиеническим душем (метал лейка) VIEIR (1/10шт)</t>
  </si>
  <si>
    <t>4 873.78 руб.</t>
  </si>
  <si>
    <t>SMS-160044</t>
  </si>
  <si>
    <t>V023561</t>
  </si>
  <si>
    <t>Смеситель одноручковый для душа VIEIR (1/10шт)</t>
  </si>
  <si>
    <t>4 459.83 руб.</t>
  </si>
  <si>
    <t>SMS-160045</t>
  </si>
  <si>
    <t>V033552</t>
  </si>
  <si>
    <t>Смеситель одноручковый для биде VIEIR (1/10шт)</t>
  </si>
  <si>
    <t>4 859.15 руб.</t>
  </si>
  <si>
    <t>SMS-160046</t>
  </si>
  <si>
    <t>V073561</t>
  </si>
  <si>
    <t>4 439.35 руб.</t>
  </si>
  <si>
    <t>SMS-160047</t>
  </si>
  <si>
    <t>V243552</t>
  </si>
  <si>
    <t>Смеситель одноручковый скрытой установки с гигиеническим душем метал лейка VIEIR (1/10шт)</t>
  </si>
  <si>
    <t>6 130.74 руб.</t>
  </si>
  <si>
    <t>SMS-160048</t>
  </si>
  <si>
    <t>V033561</t>
  </si>
  <si>
    <t>4 237.49 руб.</t>
  </si>
  <si>
    <t>SMS-160049</t>
  </si>
  <si>
    <t>V043532</t>
  </si>
  <si>
    <t>Смеситель одноручковый для душа с плоским поворотным  изливом VIEIR (1/10шт)</t>
  </si>
  <si>
    <t>8 954.76 руб.</t>
  </si>
  <si>
    <t>SMS-160050</t>
  </si>
  <si>
    <t>V063561</t>
  </si>
  <si>
    <t>3 607.06 руб.</t>
  </si>
  <si>
    <t>SMS-160051</t>
  </si>
  <si>
    <t>V013511</t>
  </si>
  <si>
    <t>3 626.08 руб.</t>
  </si>
  <si>
    <t>SMS-160052</t>
  </si>
  <si>
    <t>V033512</t>
  </si>
  <si>
    <t>Смеситель одноручковый для умывальника с плоским поворотным средним изливом VIEIR (1/10шт)</t>
  </si>
  <si>
    <t>2 527.58 руб.</t>
  </si>
  <si>
    <t>SMS-160053</t>
  </si>
  <si>
    <t>V043511</t>
  </si>
  <si>
    <t>3 870.35 руб.</t>
  </si>
  <si>
    <t>SMS-160054</t>
  </si>
  <si>
    <t>V053511</t>
  </si>
  <si>
    <t>3 653.87 руб.</t>
  </si>
  <si>
    <t>SMS-160055</t>
  </si>
  <si>
    <t>V063511</t>
  </si>
  <si>
    <t>2 555.37 руб.</t>
  </si>
  <si>
    <t>SMS-160056</t>
  </si>
  <si>
    <t>V073511</t>
  </si>
  <si>
    <t>3 136.31 руб.</t>
  </si>
  <si>
    <t>SMS-160057</t>
  </si>
  <si>
    <t>V073512</t>
  </si>
  <si>
    <t>2 627.46 руб.</t>
  </si>
  <si>
    <t>SMS-160058</t>
  </si>
  <si>
    <t>V083511</t>
  </si>
  <si>
    <t>4 068.87 руб.</t>
  </si>
  <si>
    <t>SMS-160059</t>
  </si>
  <si>
    <t>V243522</t>
  </si>
  <si>
    <t>Смеситель одноручковый для умывальника с плоским поворотным длинным изливом VIEIR (1/10шт)</t>
  </si>
  <si>
    <t>2 416.41 руб.</t>
  </si>
  <si>
    <t>SMS-160060</t>
  </si>
  <si>
    <t>V113512</t>
  </si>
  <si>
    <t>4 167.28 руб.</t>
  </si>
  <si>
    <t>SMS-160061</t>
  </si>
  <si>
    <t>V023511</t>
  </si>
  <si>
    <t>3 454.94 руб.</t>
  </si>
  <si>
    <t>SMS-160062</t>
  </si>
  <si>
    <t>V033511</t>
  </si>
  <si>
    <t>3 475.42 руб.</t>
  </si>
  <si>
    <t>SMS-160063</t>
  </si>
  <si>
    <t>V063512</t>
  </si>
  <si>
    <t>2 104.85 руб.</t>
  </si>
  <si>
    <t>SMS-160064</t>
  </si>
  <si>
    <t>V113511</t>
  </si>
  <si>
    <t>Смеситель одноручковый для умывальника с плоским поворотным изливом VIEIR (1/10шт)</t>
  </si>
  <si>
    <t>3 526.61 руб.</t>
  </si>
  <si>
    <t>SMS-160065</t>
  </si>
  <si>
    <t>V113521</t>
  </si>
  <si>
    <t>3 721.15 руб.</t>
  </si>
  <si>
    <t>SMS-160066</t>
  </si>
  <si>
    <t>V120111</t>
  </si>
  <si>
    <t>Смеситель двуручковый для умывальника VIEIR (1/10шт)</t>
  </si>
  <si>
    <t>3 029.29 руб.</t>
  </si>
  <si>
    <t>SMS-160067</t>
  </si>
  <si>
    <t>V120112</t>
  </si>
  <si>
    <t>Смеситель двуручковый для умывальника средний поворотный излив VIEIR (1/10шт)</t>
  </si>
  <si>
    <t>3 191.65 руб.</t>
  </si>
  <si>
    <t>SMS-160068</t>
  </si>
  <si>
    <t>V150111</t>
  </si>
  <si>
    <t>3 431.54 руб.</t>
  </si>
  <si>
    <t>SMS-160069</t>
  </si>
  <si>
    <t>V243512</t>
  </si>
  <si>
    <t>2 689.88 руб.</t>
  </si>
  <si>
    <t>SMS-160070</t>
  </si>
  <si>
    <t>V130111</t>
  </si>
  <si>
    <t>3 032.21 руб.</t>
  </si>
  <si>
    <t>SMS-160071</t>
  </si>
  <si>
    <t>V243573</t>
  </si>
  <si>
    <t>Душевой набор для ванны VIEIR (1/5шт)</t>
  </si>
  <si>
    <t>12 373.09 руб.</t>
  </si>
  <si>
    <t>SMS-160072</t>
  </si>
  <si>
    <t>V013573</t>
  </si>
  <si>
    <t>Душевой набор для ванны VIEIR (1/8шт)</t>
  </si>
  <si>
    <t>12 777.89 руб.</t>
  </si>
  <si>
    <t>SMS-160073</t>
  </si>
  <si>
    <t>V023573</t>
  </si>
  <si>
    <t>12 212.30 руб.</t>
  </si>
  <si>
    <t>SMS-160074</t>
  </si>
  <si>
    <t>V033572</t>
  </si>
  <si>
    <t>7 392.58 руб.</t>
  </si>
  <si>
    <t>SMS-160075</t>
  </si>
  <si>
    <t>V033573</t>
  </si>
  <si>
    <t>11 909.64 руб.</t>
  </si>
  <si>
    <t>SMS-160076</t>
  </si>
  <si>
    <t>V073571</t>
  </si>
  <si>
    <t>9 382.44 руб.</t>
  </si>
  <si>
    <t>SMS-160077</t>
  </si>
  <si>
    <t>V063571</t>
  </si>
  <si>
    <t>7 513.98 руб.</t>
  </si>
  <si>
    <t>SMS-160078</t>
  </si>
  <si>
    <t>V063572</t>
  </si>
  <si>
    <t>6 010.31 руб.</t>
  </si>
  <si>
    <t>SMS-160079</t>
  </si>
  <si>
    <t>V113573</t>
  </si>
  <si>
    <t>13 955.79 руб.</t>
  </si>
  <si>
    <t>SMS-160080</t>
  </si>
  <si>
    <t>V113562</t>
  </si>
  <si>
    <t>Душевая система VIEIR (1/4шт)</t>
  </si>
  <si>
    <t>14 431.18 руб.</t>
  </si>
  <si>
    <t>SMS-160081</t>
  </si>
  <si>
    <t>V033562</t>
  </si>
  <si>
    <t>Душевая система VIEIR (1/5шт)</t>
  </si>
  <si>
    <t>12 219.55 руб.</t>
  </si>
  <si>
    <t>SMS-160082</t>
  </si>
  <si>
    <t>V083562</t>
  </si>
  <si>
    <t>16 570.59 руб.</t>
  </si>
  <si>
    <t>SMS-160083</t>
  </si>
  <si>
    <t>V243562</t>
  </si>
  <si>
    <t>15 696.66 руб.</t>
  </si>
  <si>
    <t>SMS-160084</t>
  </si>
  <si>
    <t>V243563</t>
  </si>
  <si>
    <t>10 531.57 руб.</t>
  </si>
  <si>
    <t>SMS-160085</t>
  </si>
  <si>
    <t>V25001</t>
  </si>
  <si>
    <t>6 936.21 руб.</t>
  </si>
  <si>
    <t>SMS-160086</t>
  </si>
  <si>
    <t>V25002</t>
  </si>
  <si>
    <t>9 370.17 руб.</t>
  </si>
  <si>
    <t>SMS-160087</t>
  </si>
  <si>
    <t>V130162</t>
  </si>
  <si>
    <t>Душевая система VIEIR (1/10шт)</t>
  </si>
  <si>
    <t>12 213.70 руб.</t>
  </si>
  <si>
    <t>SMS-160088</t>
  </si>
  <si>
    <t>V023562</t>
  </si>
  <si>
    <t>9 016.19 руб.</t>
  </si>
  <si>
    <t>SMS-160089</t>
  </si>
  <si>
    <t>V043562</t>
  </si>
  <si>
    <t>15 969.95 руб.</t>
  </si>
  <si>
    <t>SMS-160090</t>
  </si>
  <si>
    <t>V053562</t>
  </si>
  <si>
    <t>13 241.99 руб.</t>
  </si>
  <si>
    <t>SMS-160091</t>
  </si>
  <si>
    <t>V063562</t>
  </si>
  <si>
    <t>13 525.75 руб.</t>
  </si>
  <si>
    <t>SMS-160104</t>
  </si>
  <si>
    <t>V263531C</t>
  </si>
  <si>
    <t>Смеситель для ванны “VIEIR  (10/1шт)  (10/1шт)</t>
  </si>
  <si>
    <t>5 259.93 руб.</t>
  </si>
  <si>
    <t>SMS-160118</t>
  </si>
  <si>
    <t>V273541</t>
  </si>
  <si>
    <t>Смеситель для ванны “VIEIR  (8/1шт)  (8/1шт)</t>
  </si>
  <si>
    <t>6 011.77 руб.</t>
  </si>
  <si>
    <t>SMS-160126</t>
  </si>
  <si>
    <t>V150141</t>
  </si>
  <si>
    <t>Смеситель для ванны, длинный с поворотным изливом 320мм   (10/1шт)</t>
  </si>
  <si>
    <t>5 432.53 руб.</t>
  </si>
  <si>
    <t>SMS-160127</t>
  </si>
  <si>
    <t>V233541</t>
  </si>
  <si>
    <t>5 463.25 руб.</t>
  </si>
  <si>
    <t>SMS-160130</t>
  </si>
  <si>
    <t>V140142</t>
  </si>
  <si>
    <t>Смеситель для ванны, с плоским длинным поворотным изливом 310мм   (10/1шт)</t>
  </si>
  <si>
    <t>SMS-160131</t>
  </si>
  <si>
    <t>V140143</t>
  </si>
  <si>
    <t>Смеситель для ванны, круглый, длинный с поворотным изливом 310мм   (10/1шт)</t>
  </si>
  <si>
    <t>5 558.33 руб.</t>
  </si>
  <si>
    <t>SMS-160132</t>
  </si>
  <si>
    <t>V043531C</t>
  </si>
  <si>
    <t>Смеситель для ванны, литой с коротким изливом (10/1шт)</t>
  </si>
  <si>
    <t>SMS-160143</t>
  </si>
  <si>
    <t>V333541</t>
  </si>
  <si>
    <t>Смеситель для ванны“VIEIR  (10/1шт)  (10/1шт)</t>
  </si>
  <si>
    <t>6 482.77 руб.</t>
  </si>
  <si>
    <t>SMS-160149</t>
  </si>
  <si>
    <t>V263511C</t>
  </si>
  <si>
    <t>Смеситель для раковины “VIEIR  (10/1шт)  (10/1шт)</t>
  </si>
  <si>
    <t>3 307.21 руб.</t>
  </si>
  <si>
    <t>SMS-160151</t>
  </si>
  <si>
    <t>V273511D</t>
  </si>
  <si>
    <t>4 910.34 руб.</t>
  </si>
  <si>
    <t>SMS-160161</t>
  </si>
  <si>
    <t>V293511CL</t>
  </si>
  <si>
    <t>4 420.33 руб.</t>
  </si>
  <si>
    <t>SMS-160162</t>
  </si>
  <si>
    <t>V293511FL</t>
  </si>
  <si>
    <t>SMS-160165</t>
  </si>
  <si>
    <t>V332511C</t>
  </si>
  <si>
    <t>3 456.40 руб.</t>
  </si>
  <si>
    <t>SMS-160205</t>
  </si>
  <si>
    <t>V150162</t>
  </si>
  <si>
    <t>Душевая система  Подсолнух  3-х функциональная, литой излив (4/1шт)</t>
  </si>
  <si>
    <t>13 154.22 руб.</t>
  </si>
  <si>
    <t>SMS-160206</t>
  </si>
  <si>
    <t>V174062</t>
  </si>
  <si>
    <t>10 139.08 руб.</t>
  </si>
  <si>
    <t>SMS-160213</t>
  </si>
  <si>
    <t>V043562C</t>
  </si>
  <si>
    <t>Душевая система  Подсолнух  3-х функциональная, поворотный излив (5/1шт)</t>
  </si>
  <si>
    <t>16 830.03 руб.</t>
  </si>
  <si>
    <t>SMS-160214</t>
  </si>
  <si>
    <t>V073562</t>
  </si>
  <si>
    <t>12 868.69 руб.</t>
  </si>
  <si>
    <t>SMS-160218</t>
  </si>
  <si>
    <t>V273562D</t>
  </si>
  <si>
    <t>Душевая система для ванны “VIEIR  (3/1шт)  (3/1шт)</t>
  </si>
  <si>
    <t>21 523.90 руб.</t>
  </si>
  <si>
    <t>SMS-160219</t>
  </si>
  <si>
    <t>V273562</t>
  </si>
  <si>
    <t>Душевая система для ванны “VIEIR  (4/1шт)  (4/1шт)</t>
  </si>
  <si>
    <t>15 933.39 руб.</t>
  </si>
  <si>
    <t>SMS-160500</t>
  </si>
  <si>
    <t>V313531</t>
  </si>
  <si>
    <t>Смеситель из нержавеющей стали для ванны “VIEIR  (8/1шт)  (8/1шт)</t>
  </si>
  <si>
    <t>5 376.95 руб.</t>
  </si>
  <si>
    <t>SMS-160501</t>
  </si>
  <si>
    <t>V313541</t>
  </si>
  <si>
    <t>5 211.66 руб.</t>
  </si>
  <si>
    <t>SMS-180001</t>
  </si>
  <si>
    <t>NUD1-A045</t>
  </si>
  <si>
    <t>смеситель G.Lauf для умывальника монолитный, ø35, гайка(корона) NUD1-A045</t>
  </si>
  <si>
    <t>2 570.28 руб.</t>
  </si>
  <si>
    <t>SMS-180002</t>
  </si>
  <si>
    <t>NUD1-A146</t>
  </si>
  <si>
    <t>смеситель G.Lauf для умывальника монолитный, ø35, гайка(корона) NUD1-A146</t>
  </si>
  <si>
    <t>SMS-180003</t>
  </si>
  <si>
    <t>NUD2-A045</t>
  </si>
  <si>
    <t>смеситель G.Lauf для биде, ø35, гайка(корона) NUD2-A045</t>
  </si>
  <si>
    <t>0.00 руб.</t>
  </si>
  <si>
    <t>SMS-180004</t>
  </si>
  <si>
    <t>NUD2-A146</t>
  </si>
  <si>
    <t>смеситель G.Lauf для биде, ø35, гайка(корона) NUD2-A146</t>
  </si>
  <si>
    <t>SMS-180005</t>
  </si>
  <si>
    <t>NUD3-A045</t>
  </si>
  <si>
    <t>смеситель G.Lauf для ванны с литым пов. изливом 150мм, ø35, встр. переключение NUD3-A045</t>
  </si>
  <si>
    <t>3 982.05 руб.</t>
  </si>
  <si>
    <t>SMS-180006</t>
  </si>
  <si>
    <t>NUD3-A146</t>
  </si>
  <si>
    <t>смеситель G.Lauf для ванны с литым пов. изливом 150мм, ø35, встр. переключение NUD3-A146</t>
  </si>
  <si>
    <t>SMS-180007</t>
  </si>
  <si>
    <t>NUD4-A045</t>
  </si>
  <si>
    <t>смеситель G.Lauf для кух. мойки с пов. изливом, ø35, гайка (корона) NUD4-A045</t>
  </si>
  <si>
    <t>2 033.68 руб.</t>
  </si>
  <si>
    <t>SMS-180008</t>
  </si>
  <si>
    <t>NUD4-A146</t>
  </si>
  <si>
    <t>смеситель G.Lauf для кух. мойки с пов. изливом, ø35, гайка (корона) NUD4-A146</t>
  </si>
  <si>
    <t>SMS-180009</t>
  </si>
  <si>
    <t>NUD5-A045</t>
  </si>
  <si>
    <t>смеситель G.Lauf для душа,  ø35 NUD5-A045</t>
  </si>
  <si>
    <t>2 715.55 руб.</t>
  </si>
  <si>
    <t>SMS-180010</t>
  </si>
  <si>
    <t>NUD5-A146</t>
  </si>
  <si>
    <t>смеситель G.Lauf для душа,  ø35 NUD5-A146</t>
  </si>
  <si>
    <t>SMS-180011</t>
  </si>
  <si>
    <t>NUD6-A045</t>
  </si>
  <si>
    <t>смеситель G.Lauf для ванны с плоским пов. изливом, ø35, выносной дивертор NUD6-A045</t>
  </si>
  <si>
    <t>3 717.19 руб.</t>
  </si>
  <si>
    <t>SMS-180012</t>
  </si>
  <si>
    <t>NUD6-A146</t>
  </si>
  <si>
    <t>смеситель G.Lauf для ванны с плоским пов. изливом, ø35, выносной дивертор NUD6-A146</t>
  </si>
  <si>
    <t>SMS-180013</t>
  </si>
  <si>
    <t>NUD7-A045</t>
  </si>
  <si>
    <t>смеситель G.Lauf для ванны с плоским пов. изливом, ø35, встр. переключение NUD7-A045</t>
  </si>
  <si>
    <t>3 711.87 руб.</t>
  </si>
  <si>
    <t>SMS-180014</t>
  </si>
  <si>
    <t>NUD7-A146</t>
  </si>
  <si>
    <t>смеситель G.Lauf для ванны с плоским пов. изливом, ø35, встр. переключение NUD7-A146</t>
  </si>
  <si>
    <t>SMS-180015</t>
  </si>
  <si>
    <t>NUD1-A045KH</t>
  </si>
  <si>
    <t>смеситель G.Lauf для умывальника монолитный, ø35, гайка(корона), сатин NUD1-A045KH</t>
  </si>
  <si>
    <t>3 355.27 руб.</t>
  </si>
  <si>
    <t>SMS-180016</t>
  </si>
  <si>
    <t>NUD1-A045KT</t>
  </si>
  <si>
    <t>смеситель G.Lauf для умывальника монолитный, ø35, гайка(корона), бронза NUD1-A045KT</t>
  </si>
  <si>
    <t>SMS-180017</t>
  </si>
  <si>
    <t>NUD3-A045KH</t>
  </si>
  <si>
    <t>смеситель G.Lauf для ванны с литым пов. изливом 150мм, ø35, встр. переключение, сатин NUD3-A045KH</t>
  </si>
  <si>
    <t>SMS-180018</t>
  </si>
  <si>
    <t>NUD3-A045KT</t>
  </si>
  <si>
    <t>смеситель G.Lauf для ванны с литым пов. изливом 150мм, ø35, встр. переключение, бронза NUD3-A045KT</t>
  </si>
  <si>
    <t>5 886.44 руб.</t>
  </si>
  <si>
    <t>SMS-180019</t>
  </si>
  <si>
    <t>NUD4-A045KH</t>
  </si>
  <si>
    <t>смеситель G.Lauf для кух. мойки с пов. изливом, ø35, гайка (корона), сатин  NUD4-A045KH</t>
  </si>
  <si>
    <t>3 169.97 руб.</t>
  </si>
  <si>
    <t>SMS-180020</t>
  </si>
  <si>
    <t>NUD4-A045KT</t>
  </si>
  <si>
    <t>смеситель G.Lauf для кух. мойки с пов. изливом, ø35, гайка (корона), бронза  NUD4-A045KT</t>
  </si>
  <si>
    <t>SMS-180021</t>
  </si>
  <si>
    <t>NUD5-A045KT</t>
  </si>
  <si>
    <t>смеситель G.Lauf для душа,  ø35 бронза NUD5-A045KT</t>
  </si>
  <si>
    <t>SMS-180022</t>
  </si>
  <si>
    <t>NUD7-A045KH</t>
  </si>
  <si>
    <t>смеситель G.Lauf для ванны с плоским пов. изливом, ø35, встр. переключение, сатин NUD7-A045KH</t>
  </si>
  <si>
    <t>6 203.54 руб.</t>
  </si>
  <si>
    <t>SMS-180023</t>
  </si>
  <si>
    <t>NUD7-A045KT</t>
  </si>
  <si>
    <t>смеситель G.Lauf для ванны с плоским пов. изливом, ø35, встр. переключение, бронза NUD7-A045KT</t>
  </si>
  <si>
    <t>SMS-180024</t>
  </si>
  <si>
    <t>NUD1-A045YB</t>
  </si>
  <si>
    <t>смеситель G.Lauf для умывальника монолитный, ø35, гайка(корона), черный NUD1-A045YB</t>
  </si>
  <si>
    <t>2 828.33 руб.</t>
  </si>
  <si>
    <t>SMS-180025</t>
  </si>
  <si>
    <t>NUD3-A045YB</t>
  </si>
  <si>
    <t>смеситель G.Lauf для ванны с литым пов. изливом 150мм, ø35, встр. переключение, черный NUD3-A045YB</t>
  </si>
  <si>
    <t>SMS-180026</t>
  </si>
  <si>
    <t>NUD4-A045YB</t>
  </si>
  <si>
    <t>смеситель G.Lauf для кух. мойки с пов. изливом, ø35, гайка (корона), черный  NUD4-A045YB</t>
  </si>
  <si>
    <t>SMS-180027</t>
  </si>
  <si>
    <t>NUD7-A045YB</t>
  </si>
  <si>
    <t>смеситель G.Lauf для ванны с плоским пов. изливом, ø35, встр. переключение, черный NUD7-A045YB</t>
  </si>
  <si>
    <t>3 769.58 руб.</t>
  </si>
  <si>
    <t>SMS-180028</t>
  </si>
  <si>
    <t>NUD1-A045YW</t>
  </si>
  <si>
    <t>смеситель G.Lauf для умывальника монолитный, ø35, гайка(корона), белый NUD1-A045YW</t>
  </si>
  <si>
    <t>2 828.34 руб.</t>
  </si>
  <si>
    <t>SMS-180029</t>
  </si>
  <si>
    <t>NUD3-A045YW</t>
  </si>
  <si>
    <t>смеситель G.Lauf для ванны с литым пов. изливом 150мм, ø35, встр. переключение, белый NUD3-A045YW</t>
  </si>
  <si>
    <t>SMS-180030</t>
  </si>
  <si>
    <t>NUD4-A045YW</t>
  </si>
  <si>
    <t>смеситель G.Lauf для кух. мойки с пов. изливом, ø35, гайка (корона), белый  NUD4-A045YW</t>
  </si>
  <si>
    <t>SMS-180031</t>
  </si>
  <si>
    <t>NUD7-A045YW</t>
  </si>
  <si>
    <t>смеситель G.Lauf для ванны с плоским пов. изливом, ø35, встр. переключение, белый NUD7-A045YW</t>
  </si>
  <si>
    <t>SMS-180032</t>
  </si>
  <si>
    <t>ZOP1-A045</t>
  </si>
  <si>
    <t>смеситель G.Lauf для умывальника с пов. изливом, ø35, гайка(корона) ZOP1-A045</t>
  </si>
  <si>
    <t>2 427.67 руб.</t>
  </si>
  <si>
    <t>SMS-180033</t>
  </si>
  <si>
    <t>ZOP4-A045</t>
  </si>
  <si>
    <t>смеситель G.Lauf для кух. мойки с Г-образным пов. изливом, ø35, гайка (корона) ZOP4-A045</t>
  </si>
  <si>
    <t>2 383.78 руб.</t>
  </si>
  <si>
    <t>SMS-180034</t>
  </si>
  <si>
    <t>ZOP4-B045</t>
  </si>
  <si>
    <t>смеситель G.Lauf для кух. мойки с пов. изливом, ø35, гайка (корона) ZOP4-B045</t>
  </si>
  <si>
    <t>2 300.54 руб.</t>
  </si>
  <si>
    <t>SMS-180035</t>
  </si>
  <si>
    <t>ZOP4-B045KH</t>
  </si>
  <si>
    <t>смеситель G.Lauf для кух. мойки с пов. изливом, ø35, гайка (корона),сатин ZOP4-B045KH</t>
  </si>
  <si>
    <t>SMS-180037</t>
  </si>
  <si>
    <t>ZOP4-E045</t>
  </si>
  <si>
    <t>смеситель G.Lauf для кух. мойки с гофрированным изливом, ø35 гайка ZOP4-E045</t>
  </si>
  <si>
    <t>2 904.43 руб.</t>
  </si>
  <si>
    <t>SMS-180039</t>
  </si>
  <si>
    <t>ZOP4-F045X</t>
  </si>
  <si>
    <t>смеситель G.Lauf для кух. мойки (без излива), ø35, гайка (корона), хром ZOP4-F045X</t>
  </si>
  <si>
    <t>1 890.38 руб.</t>
  </si>
  <si>
    <t>SMS-180040</t>
  </si>
  <si>
    <t>UCG-3257BU</t>
  </si>
  <si>
    <t>излив G.Lauf рефлекторный для ZOP4, голубой UCG-3257BU</t>
  </si>
  <si>
    <t>1 008.00 руб.</t>
  </si>
  <si>
    <t>SMS-180041</t>
  </si>
  <si>
    <t>UCG-3257KB</t>
  </si>
  <si>
    <t>излив G.Lauf рефлекторный для ZOP4, черный UCG-3257KB</t>
  </si>
  <si>
    <t>SMS-180042</t>
  </si>
  <si>
    <t>UCG-3257GN</t>
  </si>
  <si>
    <t>излив G.Lauf рефлекторный для ZOP4, зеленый UCG-3257GN</t>
  </si>
  <si>
    <t>SMS-180043</t>
  </si>
  <si>
    <t>UCG-3257GY</t>
  </si>
  <si>
    <t>излив G.Lauf рефлекторный для ZOP4, серый UCG-3257GY</t>
  </si>
  <si>
    <t>SMS-180044</t>
  </si>
  <si>
    <t>NEB1-A123</t>
  </si>
  <si>
    <t>смеситель G.Lauf для умывальника, ø35, гайка NEB1-A123</t>
  </si>
  <si>
    <t>3 285.83 руб.</t>
  </si>
  <si>
    <t>SMS-180045</t>
  </si>
  <si>
    <t>NEB2-A123</t>
  </si>
  <si>
    <t>смеситель G.Lauf для биде, ø35, шпилька NEB2-A123</t>
  </si>
  <si>
    <t>SMS-180046</t>
  </si>
  <si>
    <t>NEB3-A123</t>
  </si>
  <si>
    <t>смеситель G.Lauf для ванны с литым пов. изливом 150мм, ø35, встр. переключение NEB3-A123</t>
  </si>
  <si>
    <t>6 166.05 руб.</t>
  </si>
  <si>
    <t>SMS-180047</t>
  </si>
  <si>
    <t>NEB4-A123</t>
  </si>
  <si>
    <t>смеситель G.Lauf для кух. мойки с пов. изливом, ø35, втулка NEB4-A123</t>
  </si>
  <si>
    <t>4 298.37 руб.</t>
  </si>
  <si>
    <t>SMS-180048</t>
  </si>
  <si>
    <t>NEB5-A123</t>
  </si>
  <si>
    <t>смеситель G.Lauf для душа, ø35, NEB5-A123</t>
  </si>
  <si>
    <t>4 028.97 руб.</t>
  </si>
  <si>
    <t>SMS-180049</t>
  </si>
  <si>
    <t>NEB7-A123</t>
  </si>
  <si>
    <t xml:space="preserve">смеситель G.Lauf для ванны с плоским пов. изливом, ø35, встр. Переключение, Шланг G.Lauf из корпуса </t>
  </si>
  <si>
    <t>5 481.94 руб.</t>
  </si>
  <si>
    <t>SMS-180050</t>
  </si>
  <si>
    <t>NEB7-B123</t>
  </si>
  <si>
    <t>смеситель G.Lauf для ванны с плоским пов. изливом, ø35, встр. Перекл., Шланг через излив NEB7-B123</t>
  </si>
  <si>
    <t>SMS-180051</t>
  </si>
  <si>
    <t>NEB16-A123</t>
  </si>
  <si>
    <t>Душевая система G.Lauf  с изливом, ø35, встр. переключение (1/4шт) NEB16-A123</t>
  </si>
  <si>
    <t>13 639.77 руб.</t>
  </si>
  <si>
    <t>SMS-180054</t>
  </si>
  <si>
    <t>NEB7-B123KG</t>
  </si>
  <si>
    <t>смеситель G.Lauf для ванны с плоским пов. изливом, ø35, встр. Переключение,  золото NEB7-B123KG</t>
  </si>
  <si>
    <t>SMS-180059</t>
  </si>
  <si>
    <t>NEB5-A123KH</t>
  </si>
  <si>
    <t>смеситель G.Lauf для душа, ø35, сатин NEB5-A123KH</t>
  </si>
  <si>
    <t>SMS-180060</t>
  </si>
  <si>
    <t>NEB7-A123KH</t>
  </si>
  <si>
    <t>смеситель G.Lauf для ванны с плоским пов. изливом, ø35, встр. Переключение ,сатин  NEB7-A123KH</t>
  </si>
  <si>
    <t>SMS-180062</t>
  </si>
  <si>
    <t>NEB2-A123KT</t>
  </si>
  <si>
    <t>смеситель G.Lauf для биде, ø35, втулка, бронза NEB2-A123KT</t>
  </si>
  <si>
    <t>SMS-180063</t>
  </si>
  <si>
    <t>NEB3-A123KT</t>
  </si>
  <si>
    <t>смеситель G.Lauf для ванны с литым пов. изливом 150мм, ø35, встр. Переключение,бронза NEB3-A123KT</t>
  </si>
  <si>
    <t>SMS-180065</t>
  </si>
  <si>
    <t>NEB5-A123KT</t>
  </si>
  <si>
    <t>смеситель G.Lauf для душа, ø35,бронза NEB5-A123KT</t>
  </si>
  <si>
    <t>SMS-180066</t>
  </si>
  <si>
    <t>NEB7-B123KT</t>
  </si>
  <si>
    <t>смеситель G.Lauf для ванны с плоским пов. изливом, ø35, встр. Переключение,бронза NEB7-A123KT</t>
  </si>
  <si>
    <t>SMS-180067</t>
  </si>
  <si>
    <t>NOB1-A128</t>
  </si>
  <si>
    <t>смеситель G.Lauf для умывальника, ø35, втулка NOB1-A128</t>
  </si>
  <si>
    <t>2 899.89 руб.</t>
  </si>
  <si>
    <t>SMS-180068</t>
  </si>
  <si>
    <t>NOB2-A128</t>
  </si>
  <si>
    <t>смеситель G.Lauf для биде, ø35, втулка NOB2-A128</t>
  </si>
  <si>
    <t>SMS-180069</t>
  </si>
  <si>
    <t>NOB3-A128</t>
  </si>
  <si>
    <t>смеситель G.Lauf для ванны с литым пов. изливом 150мм, ø35, встр. переключение NOB3-A128</t>
  </si>
  <si>
    <t>5 917.83 руб.</t>
  </si>
  <si>
    <t>SMS-180070</t>
  </si>
  <si>
    <t>NOB4-A128</t>
  </si>
  <si>
    <t>смеситель G.Lauf для кух. мойки с пов. изливом, ø35, втулка NOB4-A128</t>
  </si>
  <si>
    <t>3 196.54 руб.</t>
  </si>
  <si>
    <t>SMS-180071</t>
  </si>
  <si>
    <t>NOB5-A128</t>
  </si>
  <si>
    <t>смеситель G.Lauf для душа, ø35, NOB5-A128</t>
  </si>
  <si>
    <t>SMS-180072</t>
  </si>
  <si>
    <t>NOB7-A128</t>
  </si>
  <si>
    <t>смеситель G.Lauf для ванны с плоским пов. изливом, ø35, встр. переключение NOB7-A128</t>
  </si>
  <si>
    <t>5 359.35 руб.</t>
  </si>
  <si>
    <t>SMS-180073</t>
  </si>
  <si>
    <t>NOB16-A128</t>
  </si>
  <si>
    <t>Душевая система G.Lauf  с изливом, ø35, встр. переключение (1/4шт) NOB16-A128</t>
  </si>
  <si>
    <t>12 987.45 руб.</t>
  </si>
  <si>
    <t>SMS-180075</t>
  </si>
  <si>
    <t>NOB3-A128YW</t>
  </si>
  <si>
    <t>смеситель G.Lauf для ванны с литым пов. изливом 150мм, ø35, встр. Переключение, белый,  NOB3-A128YW</t>
  </si>
  <si>
    <t>SMS-180077</t>
  </si>
  <si>
    <t>NOB7-A128YW</t>
  </si>
  <si>
    <t>смеситель G.Lauf для ванны с плоским пов. изливом, ø35, встр. переключение, белый, NOB7-A128YW</t>
  </si>
  <si>
    <t>SMS-180080</t>
  </si>
  <si>
    <t>NOB5-A128YB</t>
  </si>
  <si>
    <t>смеситель G.Lauf для душа, ø35, черный, 
NOB5-A128YB</t>
  </si>
  <si>
    <t>SMS-180081</t>
  </si>
  <si>
    <t>NOB7-A128YB</t>
  </si>
  <si>
    <t>смеситель G.Lauf для ванны с плоским пов. изливом, ø35, встр. переключение, черный, NOB7-A128YB</t>
  </si>
  <si>
    <t>SMS-180082</t>
  </si>
  <si>
    <t>GOB1-A134</t>
  </si>
  <si>
    <t>смеситель G.Lauf для умывальника, ø35, гайка-корона, GOB1-A134</t>
  </si>
  <si>
    <t>2 342.92 руб.</t>
  </si>
  <si>
    <t>SMS-180084</t>
  </si>
  <si>
    <t>GOB3-A134</t>
  </si>
  <si>
    <t>смеситель G.Lauf для ванны с кор. пов. изливом, ø35, встр. переключение GOB3-A134</t>
  </si>
  <si>
    <t>4 006.27 руб.</t>
  </si>
  <si>
    <t>SMS-180085</t>
  </si>
  <si>
    <t>GOB4-A134</t>
  </si>
  <si>
    <t>смеситель G.Lauf для кух. мойки, ø35, гайка-корона, GOB4-A134</t>
  </si>
  <si>
    <t>2 674.64 руб.</t>
  </si>
  <si>
    <t>SMS-180086</t>
  </si>
  <si>
    <t>GOB4-B134</t>
  </si>
  <si>
    <t>смеситель G.Lauf для кух. мойки, ø35, гайка-корона, GOB4-B134</t>
  </si>
  <si>
    <t>SMS-180087</t>
  </si>
  <si>
    <t>GOB5-A134</t>
  </si>
  <si>
    <t>смеситель G.Lauf для душа, ø35, GOB5-A134</t>
  </si>
  <si>
    <t>SMS-180088</t>
  </si>
  <si>
    <t>GOB7-A134</t>
  </si>
  <si>
    <t>смеситель G.Lauf для ванны с плоским пов. изливом, ø35, встр. переключение GOB7-A134</t>
  </si>
  <si>
    <t>3 691.46 руб.</t>
  </si>
  <si>
    <t>SMS-180089</t>
  </si>
  <si>
    <t>GOB16-A134</t>
  </si>
  <si>
    <t xml:space="preserve">Душевая система G.Lauf с изливом, ø35, встр. переключение GOB16-A134 (1/6шт) </t>
  </si>
  <si>
    <t>7 758.26 руб.</t>
  </si>
  <si>
    <t>SMS-180090</t>
  </si>
  <si>
    <t>GOR1-A058</t>
  </si>
  <si>
    <t>смеситель G.Lauf для умывальника, ø35, гайка-корона GOR1-A058</t>
  </si>
  <si>
    <t>2 657.73 руб.</t>
  </si>
  <si>
    <t>SMS-180091</t>
  </si>
  <si>
    <t>GOR2-A058</t>
  </si>
  <si>
    <t>смеситель G.Lauf для биде, ø35, гайка-корона GOR2-A058</t>
  </si>
  <si>
    <t>SMS-180092</t>
  </si>
  <si>
    <t>GOR3-A058</t>
  </si>
  <si>
    <t>смеситель G.Lauf для ванны с кор. пов. изливом, ø35, GOR3-A058</t>
  </si>
  <si>
    <t>5 382.05 руб.</t>
  </si>
  <si>
    <t>SMS-180093</t>
  </si>
  <si>
    <t>GOR4-A058</t>
  </si>
  <si>
    <t>смеситель G.Lauf для кух. мойки с пов. изливом 220мм, ø35, гайка (корона) GOR4-A058</t>
  </si>
  <si>
    <t>2 927.13 руб.</t>
  </si>
  <si>
    <t>SMS-180094</t>
  </si>
  <si>
    <t>GOR4-A058KB</t>
  </si>
  <si>
    <t>смеситель G.Lauf для кух. мойки с пов. изливом 220мм, ø35, гайка (корона) черный GOR4-A058KB</t>
  </si>
  <si>
    <t>SMS-180097</t>
  </si>
  <si>
    <t>GOR4-B058</t>
  </si>
  <si>
    <t>смеситель G.Lauf для кух. мойки с пов. изливом 140мм, ø35, гайка (корона) GOR4-B058</t>
  </si>
  <si>
    <t>SMS-180098</t>
  </si>
  <si>
    <t>GOR4-B058KB</t>
  </si>
  <si>
    <t>смеситель G.Lauf для кух. мойки с пов. изливом 140мм, ø35, гайка (корона) черный GOR4-B058KB</t>
  </si>
  <si>
    <t>2 542.70 руб.</t>
  </si>
  <si>
    <t>SMS-180099</t>
  </si>
  <si>
    <t>GOR4-B058KW</t>
  </si>
  <si>
    <t>смеситель G.Lauf для кух. мойки с пов. изливом 140мм, ø35, гайка (корона) белый GOR4-B058KW</t>
  </si>
  <si>
    <t>SMS-180100</t>
  </si>
  <si>
    <t>GOR4-B058KS</t>
  </si>
  <si>
    <t>смеситель G.Lauf для кух. мойки с пов. изливом 140мм, ø35, гайка (корона) песочный GOR4-B058KS</t>
  </si>
  <si>
    <t>SMS-180101</t>
  </si>
  <si>
    <t>GOR5-A058</t>
  </si>
  <si>
    <t>смеситель G.Lauf для душа, ø35, GOR5-A058</t>
  </si>
  <si>
    <t>3 535.56 руб.</t>
  </si>
  <si>
    <t>SMS-180102</t>
  </si>
  <si>
    <t>GOR7-A058</t>
  </si>
  <si>
    <t>смеситель G.Lauf для ванны с пов. изливом, ø35, GOR7-A058</t>
  </si>
  <si>
    <t>5 224.64 руб.</t>
  </si>
  <si>
    <t>SMS-180103</t>
  </si>
  <si>
    <t>LEF1-A232</t>
  </si>
  <si>
    <t>смеситель G.Lauf для умывальника, ø35, шпилька LEF1-A232</t>
  </si>
  <si>
    <t>3 045.19 руб.</t>
  </si>
  <si>
    <t>SMS-180104</t>
  </si>
  <si>
    <t>LEF2-A232</t>
  </si>
  <si>
    <t>смеситель G.Lauf для биде, ø35, шпилька LEF2-A232</t>
  </si>
  <si>
    <t>SMS-180105</t>
  </si>
  <si>
    <t>LEF3-A232</t>
  </si>
  <si>
    <t>смеситель G.Lauf для ванны с литым пов. изливом 150мм, ø35, встр. переключение LEF3-A232</t>
  </si>
  <si>
    <t>5 283.67 руб.</t>
  </si>
  <si>
    <t>SMS-180106</t>
  </si>
  <si>
    <t>LEF4-B232</t>
  </si>
  <si>
    <t>смеситель G.Lauf для кух. мойки с пов. изливом, ø35, шпилька LEF4-B232</t>
  </si>
  <si>
    <t>SMS-180107</t>
  </si>
  <si>
    <t>LEF5-A232</t>
  </si>
  <si>
    <t>смеситель G.Lauf для душа, ø35 LEF5-A232</t>
  </si>
  <si>
    <t>SMS-180108</t>
  </si>
  <si>
    <t>LEF6-A232</t>
  </si>
  <si>
    <t>смеситель G.Lauf для ванны с плоским пов. изливом, ø35 LEF6-A232</t>
  </si>
  <si>
    <t>5 173.18 руб.</t>
  </si>
  <si>
    <t>SMS-180109</t>
  </si>
  <si>
    <t>LEF7-A232</t>
  </si>
  <si>
    <t>смеситель G.Lauf для ванны с плоским пов. изливом, ø35, встр. переключение LEF7-A232</t>
  </si>
  <si>
    <t>5 861.83 руб.</t>
  </si>
  <si>
    <t>SMS-180110</t>
  </si>
  <si>
    <t>LEF12-A232</t>
  </si>
  <si>
    <t>настенный смеситель G.Lauf для кух. мойки, ø35, LEF12-A233</t>
  </si>
  <si>
    <t>SMS-180111</t>
  </si>
  <si>
    <t>LOF1-A033</t>
  </si>
  <si>
    <t>смеситель G.Lauf для умывальника, ø35, шпилька LOF1-A033</t>
  </si>
  <si>
    <t>SMS-180112</t>
  </si>
  <si>
    <t>LOF3-A033</t>
  </si>
  <si>
    <t>смеситель G.Lauf для ванны с литым пов. изливом 150мм, ø35, встр. переключение LOF3-A033</t>
  </si>
  <si>
    <t>4 914.37 руб.</t>
  </si>
  <si>
    <t>SMS-180113</t>
  </si>
  <si>
    <t>LOF4-A033</t>
  </si>
  <si>
    <t>смеситель G.Lauf для кух. мойки с пов. изливом, ø35, шпилька LOF4-A033</t>
  </si>
  <si>
    <t>3 202.59 руб.</t>
  </si>
  <si>
    <t>SMS-180114</t>
  </si>
  <si>
    <t>LOF4-C033</t>
  </si>
  <si>
    <t>смеситель G.Lauf для кух. мойки с пов. изливом, ø35, шпилька LOF4-C033</t>
  </si>
  <si>
    <t>SMS-180115</t>
  </si>
  <si>
    <t>LOF5-A033</t>
  </si>
  <si>
    <t>смеситель G.Lauf для душа, ø35 LOF5-A033</t>
  </si>
  <si>
    <t>3 462.92 руб.</t>
  </si>
  <si>
    <t>SMS-180116</t>
  </si>
  <si>
    <t>LOF6-A033</t>
  </si>
  <si>
    <t>смеситель G.Lauf для ванны с плоским пов. изливом, ø35 LOF6-A033</t>
  </si>
  <si>
    <t>4 287.78 руб.</t>
  </si>
  <si>
    <t>SMS-180117</t>
  </si>
  <si>
    <t>LOF7-A033</t>
  </si>
  <si>
    <t>смеситель G.Lauf для ванны с плоским пов. изливом, ø35, встр. переключение LOF7-A033</t>
  </si>
  <si>
    <t>4 896.21 руб.</t>
  </si>
  <si>
    <t>SMS-180118</t>
  </si>
  <si>
    <t>LOF12-A033</t>
  </si>
  <si>
    <t>настенный смеситель G.Lauf для кух. мойки, ø35, LOF12-A033</t>
  </si>
  <si>
    <t>3 246.48 руб.</t>
  </si>
  <si>
    <t>SMS-180119</t>
  </si>
  <si>
    <t>LWZ1-A182</t>
  </si>
  <si>
    <t>смеситель G.Lauf для умывальника монолитный, ø40 гайка (корона) LWZ1-A182</t>
  </si>
  <si>
    <t>2 457.94 руб.</t>
  </si>
  <si>
    <t>SMS-180120</t>
  </si>
  <si>
    <t>LWZ3-A182</t>
  </si>
  <si>
    <t>смеситель G.Lauf для ванны с монолитным изливом (Lt), ø40 встр.перекл. LWZ3-A182</t>
  </si>
  <si>
    <t>SMS-180121</t>
  </si>
  <si>
    <t>LWZ4-A182</t>
  </si>
  <si>
    <t>смеситель G.Lauf для кух. мойки с пов. изливом (Lt), ø40 гайка (корона) LWZ4-A182</t>
  </si>
  <si>
    <t>3 199.97 руб.</t>
  </si>
  <si>
    <t>SMS-180122</t>
  </si>
  <si>
    <t>LWZ5-A182</t>
  </si>
  <si>
    <t>смеситель G.Lauf для душа, ø40 LWZ5-A182</t>
  </si>
  <si>
    <t>2 211.24 руб.</t>
  </si>
  <si>
    <t>SMS-180123</t>
  </si>
  <si>
    <t>LWZ7-A182</t>
  </si>
  <si>
    <t>смеситель G.Lauf для ванны с плоским пов. изливом (Lt), ø40 встр.перекл. LWZ7-A182 (1/6шт)</t>
  </si>
  <si>
    <t>5 301.83 руб.</t>
  </si>
  <si>
    <t>SMS-180124</t>
  </si>
  <si>
    <t>LWF1-A113</t>
  </si>
  <si>
    <t>смеситель G.Lauf для умывальника монолитный (Lt), ø35 шпилька LWF1-A113</t>
  </si>
  <si>
    <t>2 656.21 руб.</t>
  </si>
  <si>
    <t>SMS-180125</t>
  </si>
  <si>
    <t>LWF3-A113</t>
  </si>
  <si>
    <t>смеситель G.Lauf для ванны с монолитным изливом (Lt), ø35 встр. перекл. LWF3-A113</t>
  </si>
  <si>
    <t>4 675.24 руб.</t>
  </si>
  <si>
    <t>SMS-180126</t>
  </si>
  <si>
    <t>LWF4-A113</t>
  </si>
  <si>
    <t>смеситель G.Lauf для кухни с  поворотным изливом (Lt), ø35  LWF4-A113</t>
  </si>
  <si>
    <t>SMS-180127</t>
  </si>
  <si>
    <t>LWF7-A113</t>
  </si>
  <si>
    <t>смеситель G.Lauf для ванны с плоским пов. изливом (Lt), ø35 встр. перекл. LWF7-A113</t>
  </si>
  <si>
    <t>4 890.16 руб.</t>
  </si>
  <si>
    <t>SMS-180129</t>
  </si>
  <si>
    <t>KLO1-A048</t>
  </si>
  <si>
    <t>смеситель G.Lauf для умывальника монолитный, ø40 гайка KLO1-A048</t>
  </si>
  <si>
    <t>2 084.11 руб.</t>
  </si>
  <si>
    <t>SMS-180132</t>
  </si>
  <si>
    <t>KLO3-A048</t>
  </si>
  <si>
    <t>смеситель G.Lauf для ванны с монолитным изливом, ø40 встр. перекл. KLO3-A048</t>
  </si>
  <si>
    <t>3 721.73 руб.</t>
  </si>
  <si>
    <t>SMS-180134</t>
  </si>
  <si>
    <t>KLO4-A048KT</t>
  </si>
  <si>
    <t>смеситель G.Lauf для кух. мойки с пов. изливом, ø40 шпилька, бронза KLO4-A048KT</t>
  </si>
  <si>
    <t>SMS-180135</t>
  </si>
  <si>
    <t>KLO5-A048</t>
  </si>
  <si>
    <t>смеситель G.Lauf для душа, ø40 KLO5-A048</t>
  </si>
  <si>
    <t>2 221.84 руб.</t>
  </si>
  <si>
    <t>SMS-180136</t>
  </si>
  <si>
    <t>KLO5-B048</t>
  </si>
  <si>
    <t>смеситель G.Lauf для душа, ø40 KLO5-B048</t>
  </si>
  <si>
    <t>SMS-180137</t>
  </si>
  <si>
    <t>KLO6-A048</t>
  </si>
  <si>
    <t>смеситель G.Lauf для ванны с плоским пов. изливом, ø40, клапанный дивертор KLO6-A048</t>
  </si>
  <si>
    <t>2 886.27 руб.</t>
  </si>
  <si>
    <t>SMS-180138</t>
  </si>
  <si>
    <t>KLO6-B048</t>
  </si>
  <si>
    <t>смеситель G.Lauf для ванны с плоским пов. изливом, ø40, поворотный дивертор KLO6-B048</t>
  </si>
  <si>
    <t>SMS-180140</t>
  </si>
  <si>
    <t>KLO6-C048</t>
  </si>
  <si>
    <t>смеситель G.Lauf для ванны с изогнутым пов. изливом, ø40, поворотный дивертор KLO6-C048</t>
  </si>
  <si>
    <t>3 067.89 руб.</t>
  </si>
  <si>
    <t>SMS-180142</t>
  </si>
  <si>
    <t>KLO7-A048</t>
  </si>
  <si>
    <t>смеситель G.Lauf для ванны с плоским пов. изливом, ø40, встр. переключение KLO7-A048</t>
  </si>
  <si>
    <t>3 497.73 руб.</t>
  </si>
  <si>
    <t>SMS-180143</t>
  </si>
  <si>
    <t>KLO7-A149</t>
  </si>
  <si>
    <t>смеситель G.Lauf для ванны с плоским пов. изливом, ø40, встр. переключение KLO7-A149</t>
  </si>
  <si>
    <t>SMS-180144</t>
  </si>
  <si>
    <t>KLO7-B048</t>
  </si>
  <si>
    <t>смеситель G.Lauf для ванны с плоским пов. изливом, ø40, встр. переключение в корпусе KLO7-B048</t>
  </si>
  <si>
    <t>SMS-180146</t>
  </si>
  <si>
    <t>KLO12-A048</t>
  </si>
  <si>
    <t>настенный смеситель G.Lauf для кух. мойки с плоским пов. изливом, ø40, встр. переключение KLO12-A048</t>
  </si>
  <si>
    <t>2 538.16 руб.</t>
  </si>
  <si>
    <t>SMS-180147</t>
  </si>
  <si>
    <t>8G4-A018</t>
  </si>
  <si>
    <t>смеситель G.Lauf для кух. м. с пов. изл., ø40, гайка кор. 8G4-A018</t>
  </si>
  <si>
    <t>2 223.35 руб.</t>
  </si>
  <si>
    <t>SMS-180148</t>
  </si>
  <si>
    <t>8G4-A180</t>
  </si>
  <si>
    <t>смеситель G.Lauf для кух. м. с пов. изл., ø40, гайка кор. 8G4-A180</t>
  </si>
  <si>
    <t>SMS-180149</t>
  </si>
  <si>
    <t>8G4-A181</t>
  </si>
  <si>
    <t>смеситель G.Lauf для кух. м. с пов. изл., ø40, гайка кор. 8G4-A181</t>
  </si>
  <si>
    <t>SMS-180150</t>
  </si>
  <si>
    <t>8G4-A182</t>
  </si>
  <si>
    <t>смеситель G.Lauf для кух. м. с пов. изл., ø40, гайка кор. 8G4-A182</t>
  </si>
  <si>
    <t>SMS-180151</t>
  </si>
  <si>
    <t>8G4-E181</t>
  </si>
  <si>
    <t>смеситель G.Lauf для кух. мойки с гофрированным изливом, ø40 гайка кор. 8G4-E181</t>
  </si>
  <si>
    <t>2 450.38 руб.</t>
  </si>
  <si>
    <t>SMS-180152</t>
  </si>
  <si>
    <t>8G4-A181KB</t>
  </si>
  <si>
    <t>смеситель G.Lauf для кух. мойки с пов. изливом, ø40, гайка (корона), черный 8G4-A181KB</t>
  </si>
  <si>
    <t>2 579.02 руб.</t>
  </si>
  <si>
    <t>SMS-180153</t>
  </si>
  <si>
    <t>8G4-A181KS</t>
  </si>
  <si>
    <t>смеситель G.Lauf для кух. мойки с пов. изливом, ø40, гайка (корона), песочный 8G4-A181KS</t>
  </si>
  <si>
    <t>SMS-180154</t>
  </si>
  <si>
    <t>8G4-A181KW</t>
  </si>
  <si>
    <t>смеситель G.Lauf для кух. мойки с пов. изливом, ø40, гайка (корона),белый 8G4-A181KW</t>
  </si>
  <si>
    <t>SMS-180155</t>
  </si>
  <si>
    <t>8G4-A181KH</t>
  </si>
  <si>
    <t>смеситель G.Lauf для кух. мойки с пов. изливом, ø40, гайка (корона), сатин 8G4-A181KH</t>
  </si>
  <si>
    <t>2 698.59 руб.</t>
  </si>
  <si>
    <t>SMS-180156</t>
  </si>
  <si>
    <t>8G4-A181KT</t>
  </si>
  <si>
    <t>смеситель G.Lauf для кух. мойки с пов. изливом, ø40, гайка (корона), бронза 8G4-A181KT</t>
  </si>
  <si>
    <t>SMS-180157</t>
  </si>
  <si>
    <t>9G4-A180</t>
  </si>
  <si>
    <t>смеситель G.Lauf для кух. м. (Lt) с пов. изл, ø40,гайка 9G4-A180</t>
  </si>
  <si>
    <t>3 370.59 руб.</t>
  </si>
  <si>
    <t>SMS-180158</t>
  </si>
  <si>
    <t>9G4-A181</t>
  </si>
  <si>
    <t>смеситель G.Lauf для кух. м. (Lt) с пов. изл, ø40,гайка 9G4-A181</t>
  </si>
  <si>
    <t>SMS-180159</t>
  </si>
  <si>
    <t>9G4-A182</t>
  </si>
  <si>
    <t>смеситель G.Lauf для кух. м. (Lt) с пов. изл, ø40,гайка 9G4-A182</t>
  </si>
  <si>
    <t>SMS-180160</t>
  </si>
  <si>
    <t>9G4-A279</t>
  </si>
  <si>
    <t>смеситель G.Lauf для кух. м. (Lt) с пов. изл, ø40,гайка 9G4-A279</t>
  </si>
  <si>
    <t>3 745.10 руб.</t>
  </si>
  <si>
    <t>SMS-180161</t>
  </si>
  <si>
    <t>9G4-A181KB</t>
  </si>
  <si>
    <t>смеситель G.Lauf для кух. мойки (Lt) с пов. изливом, ø40, гайка (корона), черный 9G4-A181KB</t>
  </si>
  <si>
    <t>3 550.70 руб.</t>
  </si>
  <si>
    <t>SMS-180162</t>
  </si>
  <si>
    <t>9G4-A181KS</t>
  </si>
  <si>
    <t>смеситель G.Lauf для кух. мойки (Lt) с пов. изливом, ø40, гайка (корона), песочный 9G4-A181KS</t>
  </si>
  <si>
    <t>SMS-180163</t>
  </si>
  <si>
    <t>9G4-A181KW</t>
  </si>
  <si>
    <t>смеситель G.Lauf для кух. мойки (Lt) с пов. изливом, ø40, гайка (корона),белый 9G4-A181KW</t>
  </si>
  <si>
    <t>SMS-180164</t>
  </si>
  <si>
    <t>9G4-A181KH</t>
  </si>
  <si>
    <t>смеситель G.Lauf для кух. мойки (Lt) с пов. изливом, ø40, гайка (корона), сатиновый 9G4-A181KH</t>
  </si>
  <si>
    <t>3 667.24 руб.</t>
  </si>
  <si>
    <t>SMS-180165</t>
  </si>
  <si>
    <t>ZAR4-B181</t>
  </si>
  <si>
    <t>смеситель G.Lauf для кух. м. с пов. изл, ø40, гайка ZAR4-B181</t>
  </si>
  <si>
    <t>3 349.40 руб.</t>
  </si>
  <si>
    <t>SMS-180169</t>
  </si>
  <si>
    <t>4T4-A043</t>
  </si>
  <si>
    <t>смеситель G.Lauf для кух. м. с пов. изл. 240мм, ø40, гайка 4T4-A043</t>
  </si>
  <si>
    <t>1 843.46 руб.</t>
  </si>
  <si>
    <t>SMS-180170</t>
  </si>
  <si>
    <t>4T4-A180</t>
  </si>
  <si>
    <t>смеситель G.Lauf для кух. м. с пов. изл. 240мм, ø40, гайка 4T4-A180</t>
  </si>
  <si>
    <t>SMS-180171</t>
  </si>
  <si>
    <t>4T4-B043</t>
  </si>
  <si>
    <t>смеситель G.Lauf для кух. м. с пов. изл. 140мм, ø40, гайка 4T4-B043</t>
  </si>
  <si>
    <t>1 793.51 руб.</t>
  </si>
  <si>
    <t>SMS-180172</t>
  </si>
  <si>
    <t>4T4-B180</t>
  </si>
  <si>
    <t>смеситель G.Lauf для кух. м. с пов. изл. 140мм, ø40, гайка 4T4-B180</t>
  </si>
  <si>
    <t>SMS-180173</t>
  </si>
  <si>
    <t>4G4-A018</t>
  </si>
  <si>
    <t>смеситель G.Lauf для кух. м. (Lt) с изл. 240мм, ø40, гайка 4G4-A018</t>
  </si>
  <si>
    <t>2 217.30 руб.</t>
  </si>
  <si>
    <t>SMS-180174</t>
  </si>
  <si>
    <t>4G4-A180</t>
  </si>
  <si>
    <t>смеситель G.Lauf для кух. м. (Lt) с изл. 240мм, ø40, гайка 4G4-A180</t>
  </si>
  <si>
    <t>SMS-180175</t>
  </si>
  <si>
    <t>4G4-A181</t>
  </si>
  <si>
    <t>смеситель G.Lauf для кух. м. (Lt) с изл. 240мм, ø40, гайка 4G4-A181</t>
  </si>
  <si>
    <t>SMS-180176</t>
  </si>
  <si>
    <t>4G4-A182</t>
  </si>
  <si>
    <t>смеситель G.Lauf для кух. м. (Lt) с изл. 240мм, ø40, гайка 4G4-A182</t>
  </si>
  <si>
    <t>SMS-180177</t>
  </si>
  <si>
    <t>4G4-B018</t>
  </si>
  <si>
    <t>смеситель G.Lauf для кух. м. (Lt) с изл. 140мм, ø40, гайка 4G4-B018</t>
  </si>
  <si>
    <t>SMS-180178</t>
  </si>
  <si>
    <t>4G4-B180</t>
  </si>
  <si>
    <t>смеситель G.Lauf для кух. м. (Lt) с изл. 140мм, ø40, гайка 4G4-B180</t>
  </si>
  <si>
    <t>SMS-180179</t>
  </si>
  <si>
    <t>4G4-B181</t>
  </si>
  <si>
    <t>смеситель G.Lauf для кух. м. (Lt) с изл. 140мм, ø40, гайка 4G4-B181</t>
  </si>
  <si>
    <t>SMS-180180</t>
  </si>
  <si>
    <t>4G4-B182</t>
  </si>
  <si>
    <t>смеситель G.Lauf для кух. м. (Lt) с изл. 140мм, ø40, гайка 4G4-B182</t>
  </si>
  <si>
    <t>SMS-180181</t>
  </si>
  <si>
    <t>4P4-A043</t>
  </si>
  <si>
    <t>смеситель G.Lauf для кух. м. с пов. изл 240мм, ø40, шпил. 4P4-A043</t>
  </si>
  <si>
    <t>1 548.32 руб.</t>
  </si>
  <si>
    <t>SMS-180182</t>
  </si>
  <si>
    <t>4P4-B043</t>
  </si>
  <si>
    <t>смеситель G.Lauf для кух. м. с пов. изл 140мм, ø40, шпил. 4P4-B043</t>
  </si>
  <si>
    <t>1 508.97 руб.</t>
  </si>
  <si>
    <t>SMS-180183</t>
  </si>
  <si>
    <t>GOP18-A093</t>
  </si>
  <si>
    <t>смеситель G.Lauf для кух. мойки с биканальным изливом, ø35, гайка-втулка (Lt) GOP18-A093</t>
  </si>
  <si>
    <t>5 966.26 руб.</t>
  </si>
  <si>
    <t>SMS-180184</t>
  </si>
  <si>
    <t>GOP18-A093KS</t>
  </si>
  <si>
    <t>смеситель G.Lauf для кух. мойки с биканальным изливом, ø35, гайка-втулка (Lt), песочный GOP18-A093KS</t>
  </si>
  <si>
    <t>6 648.86 руб.</t>
  </si>
  <si>
    <t>SMS-180185</t>
  </si>
  <si>
    <t>GOP18-A093KW</t>
  </si>
  <si>
    <t>смеситель G.Lauf для кух. мойки с биканальным изливом, ø35, гайка-втулка (Lt), белый GOP18-A093KW</t>
  </si>
  <si>
    <t>SMS-180186</t>
  </si>
  <si>
    <t>GOP18-A093KB</t>
  </si>
  <si>
    <t>смеситель G.Lauf для кух. мойки с биканальным изливом, ø35, гайка-втулка (Lt), черный GOP18-A093KB</t>
  </si>
  <si>
    <t>SMS-180187</t>
  </si>
  <si>
    <t>GEP18-A076</t>
  </si>
  <si>
    <t>смеситель G.Lauf для кух. мойки с биканальным изливом, ø35, GEP18-A076</t>
  </si>
  <si>
    <t>SMS-180188</t>
  </si>
  <si>
    <t>ZAP1-A090</t>
  </si>
  <si>
    <t>смеситель G.Lauf для умывальника с пов. изл, ø35, нерж. Сталь, гайка ZAP1-A090</t>
  </si>
  <si>
    <t>2 551.78 руб.</t>
  </si>
  <si>
    <t>SMS-180189</t>
  </si>
  <si>
    <t>ZAP1-B090</t>
  </si>
  <si>
    <t>смеситель G.Lauf для умывальника с пов. изл, ø35, нерж. Сталь, гайка ZAP1-B090</t>
  </si>
  <si>
    <t>1 973.62 руб.</t>
  </si>
  <si>
    <t>SMS-180190</t>
  </si>
  <si>
    <t>ZAP1-C090</t>
  </si>
  <si>
    <t>смеситель G.Lauf для раковины-чаши с пов. изл, ø35, нерж. Сталь, гайка ZAP1-C090</t>
  </si>
  <si>
    <t>SMS-180192</t>
  </si>
  <si>
    <t>ZAP3-A090</t>
  </si>
  <si>
    <t>смеситель G.Lauf для ванны с кор. пов. изл, ø35, нерж. сталь,  ZAP3-A090</t>
  </si>
  <si>
    <t>5 198.91 руб.</t>
  </si>
  <si>
    <t>SMS-180193</t>
  </si>
  <si>
    <t>ZAP3-B097</t>
  </si>
  <si>
    <t>смеситель G.Lauf для ванны с кор. пов. Изл. ø35, перекл. Изливом, нерж. сталь,  ZAP3-B097</t>
  </si>
  <si>
    <t>SMS-180194</t>
  </si>
  <si>
    <t>ZAP4-A090</t>
  </si>
  <si>
    <t>смеситель G.Lauf для кух. м. с пов. изл, ø35, нерж. Сталь, гайка ZAP4-A090</t>
  </si>
  <si>
    <t>2 600.21 руб.</t>
  </si>
  <si>
    <t>SMS-180195</t>
  </si>
  <si>
    <t>ZAP4-B090</t>
  </si>
  <si>
    <t>смеситель G.Lauf для кух. м. с пов. изл, ø35, нерж. Сталь, гайка ZAP4-B090</t>
  </si>
  <si>
    <t>2 633.51 руб.</t>
  </si>
  <si>
    <t>SMS-180196</t>
  </si>
  <si>
    <t>ZAP4-C090</t>
  </si>
  <si>
    <t>смеситель G.Lauf для кух. м. с пов. изл, ø35, нерж. Сталь, гайка ZAP4-C090</t>
  </si>
  <si>
    <t>4 483.02 руб.</t>
  </si>
  <si>
    <t>SMS-180197</t>
  </si>
  <si>
    <t>ZAP4-C097</t>
  </si>
  <si>
    <t>смеситель G.Lauf для кух. м. с пов. изл, ø35, нерж. Сталь, гайка ZAP4-C097</t>
  </si>
  <si>
    <t>SMS-180198</t>
  </si>
  <si>
    <t>ZAP4-D090</t>
  </si>
  <si>
    <t>смеситель G.Lauf для кух. м. с пов. изл, ø35, нерж. Сталь, гайка ZAP4-D090</t>
  </si>
  <si>
    <t>4 514.81 руб.</t>
  </si>
  <si>
    <t>SMS-180199</t>
  </si>
  <si>
    <t>ZAP4-D097</t>
  </si>
  <si>
    <t>смеситель G.Lauf для кух. м. с гибким черным изливом, ø35, нерж. Сталь, гайка ZAP4-C097</t>
  </si>
  <si>
    <t>SMS-180200</t>
  </si>
  <si>
    <t>ZAP4-E090</t>
  </si>
  <si>
    <t>смеситель G.Lauf для кух. м. с вытяжным изл, ø35, нерж. Сталь, гайка ZAP4-E090</t>
  </si>
  <si>
    <t>3 708.10 руб.</t>
  </si>
  <si>
    <t>SMS-180201</t>
  </si>
  <si>
    <t>ZAP7-B097</t>
  </si>
  <si>
    <t>смеситель G.Lauf для ванны с пов. изл, ø35, встр. Пер. нерж. сталь,  ZAP7-B097</t>
  </si>
  <si>
    <t>SMS-180202</t>
  </si>
  <si>
    <t>ZAP16-A090</t>
  </si>
  <si>
    <t>Душевая система G.Lauf  с изливом, ø35, встр. пер., нерж. сталь, ZAP16-A090 (1/4шт)</t>
  </si>
  <si>
    <t>9 226.37 руб.</t>
  </si>
  <si>
    <t>SMS-180203</t>
  </si>
  <si>
    <t>ZAP18-A090</t>
  </si>
  <si>
    <t>смеситель G.Lauf под фильтр для кух. м. с пов. изл, ø35, нерж. Сталь, гайка ZAP18-A090</t>
  </si>
  <si>
    <t>5 849.72 руб.</t>
  </si>
  <si>
    <t>SMS-180204</t>
  </si>
  <si>
    <t>ZDN6-A183</t>
  </si>
  <si>
    <t>смеситель G.Lauf для ванны с плоским пов. изливом, ø40, выносн. Дивертор ZDN6-A183</t>
  </si>
  <si>
    <t>4 089.51 руб.</t>
  </si>
  <si>
    <t>SMS-180205</t>
  </si>
  <si>
    <t>QMT1-A722</t>
  </si>
  <si>
    <t>смеситель G.Lauf для умывальника монолитный, кер. (1/2) 180°, шпилька QMT1-A722</t>
  </si>
  <si>
    <t>1 999.35 руб.</t>
  </si>
  <si>
    <t>SMS-180206</t>
  </si>
  <si>
    <t>QMT3-A722</t>
  </si>
  <si>
    <t>смеситель G.Lauf для ванны с плоским пов. изливом 150мм, кер. (1/2) 180° двухпозиц. Карт. перекл. QM</t>
  </si>
  <si>
    <t>3 257.08 руб.</t>
  </si>
  <si>
    <t>SMS-180207</t>
  </si>
  <si>
    <t>QMT4-A722</t>
  </si>
  <si>
    <t>смеситель G.Lauf для кух. мойки с пов. изливом, кер. (1/2) 180°, шпилька QMT4-A722</t>
  </si>
  <si>
    <t>1 813.19 руб.</t>
  </si>
  <si>
    <t>SMS-180208</t>
  </si>
  <si>
    <t>QMT4-B722</t>
  </si>
  <si>
    <t>смеситель G.Lauf для кух. мойки с пов. изливом, кер. (1/2) 180°, шпилька QMT4-B722</t>
  </si>
  <si>
    <t>SMS-180209</t>
  </si>
  <si>
    <t>QMT4-C722</t>
  </si>
  <si>
    <t>смеситель G.Lauf для умывальника или  кух. мойки с пов. изливом, кер. (1/2) 180°, шпилька</t>
  </si>
  <si>
    <t>2 016.00 руб.</t>
  </si>
  <si>
    <t>SMS-180210</t>
  </si>
  <si>
    <t>QMT7-A722</t>
  </si>
  <si>
    <t>смеситель G.Lauf для ванны с круглым пов. изливом, кер. (1/2) 180°, двухпозиц. Карт. перекл. QMT7-A7</t>
  </si>
  <si>
    <t>2 787.89 руб.</t>
  </si>
  <si>
    <t>SMS-180211</t>
  </si>
  <si>
    <t>QMT7-A827</t>
  </si>
  <si>
    <t>смеситель G.Lauf для ванны с круглым пов. изливом, кер. (1/2) 180°, двухпозиц. Карт. перекл. QMT7-A8</t>
  </si>
  <si>
    <t>SMS-180212</t>
  </si>
  <si>
    <t>QMT7-B722</t>
  </si>
  <si>
    <t>смеситель G.Lauf для ванны с плоским пов. изливом, кер. (1/2) 180°, двухпозиц. карт. перекл. QMT7-B7</t>
  </si>
  <si>
    <t>SMS-180213</t>
  </si>
  <si>
    <t>QFR4-A722</t>
  </si>
  <si>
    <t>смеситель G.Lauf для кух. мойки с пов. изливом, кер. (1/2) 180°, гайка QFR4-A722</t>
  </si>
  <si>
    <t>1 708.76 руб.</t>
  </si>
  <si>
    <t>SMS-180214</t>
  </si>
  <si>
    <t>QFR4-A827</t>
  </si>
  <si>
    <t>смеситель G.Lauf для кух. мойки с пов. изливом, кер. (1/2) 180°, гайка QFR4-A827</t>
  </si>
  <si>
    <t>SMS-180215</t>
  </si>
  <si>
    <t>QFR7-A722</t>
  </si>
  <si>
    <t>смеситель G.Lauf для ванны с круглым пов. изл.,кер. (1/2) 180°, шар. переключение QFR7-A722</t>
  </si>
  <si>
    <t>2 635.02 руб.</t>
  </si>
  <si>
    <t>SMS-180216</t>
  </si>
  <si>
    <t>QFR7-A827</t>
  </si>
  <si>
    <t>смеситель G.Lauf для ванны с круглым пов. изл.,кер. (1/2) 180°, шар. переключение QFR7-A827</t>
  </si>
  <si>
    <t>SMS-180217</t>
  </si>
  <si>
    <t>QFR7-C722</t>
  </si>
  <si>
    <t>смеситель G.Lauf для ванны с плоским пов. изл., кер. (1/2) 180°,шар. переключение QFR7-C722</t>
  </si>
  <si>
    <t>2 753.08 руб.</t>
  </si>
  <si>
    <t>SMS-180218</t>
  </si>
  <si>
    <t>QFR7-C827</t>
  </si>
  <si>
    <t>смеситель G.Lauf для ванны с плоским пов. изл., кер. (1/2) 180°,шар. переключение QFR7-C827</t>
  </si>
  <si>
    <t>SMS-180219</t>
  </si>
  <si>
    <t>QTZ4-A827</t>
  </si>
  <si>
    <t>смеситель G.Lauf для кух. мойки с пов. изливом, кер. (1/2) 180°, гайка (корона) QTZ4-A827</t>
  </si>
  <si>
    <t>2 510.92 руб.</t>
  </si>
  <si>
    <t>SMS-180220</t>
  </si>
  <si>
    <t>QTZ4-A856</t>
  </si>
  <si>
    <t>смеситель G.Lauf для кух. мойки с пов. изливом, кер. (1/2) 180°, гайка (корона) QTZ4-A856</t>
  </si>
  <si>
    <t>SMS-180221</t>
  </si>
  <si>
    <t>QTZ4-B827</t>
  </si>
  <si>
    <t>смеситель G.Lauf для кух. мойки с пов. изливом, кер. (1/2) 180°, гайка (корона) QTZ4-B827</t>
  </si>
  <si>
    <t>2 503.35 руб.</t>
  </si>
  <si>
    <t>SMS-180222</t>
  </si>
  <si>
    <t>QTZ4-B856</t>
  </si>
  <si>
    <t>смеситель G.Lauf для кух. мойки с пов. изливом, кер. (1/2) 180°, гайка (корона) QTZ4-B856</t>
  </si>
  <si>
    <t>SMS-180223</t>
  </si>
  <si>
    <t>QTZ4-C827</t>
  </si>
  <si>
    <t>смеситель G.Lauf для умывальника или  кух. мойки  с пов. изливом, кер. (1/2) 180°, гайка (корона)</t>
  </si>
  <si>
    <t>2 477.62 руб.</t>
  </si>
  <si>
    <t>SMS-180224</t>
  </si>
  <si>
    <t>QTZ4-C856</t>
  </si>
  <si>
    <t>смеситель G.Lauf для умывальника или  кух. мойки с пов. изливом, кер. (1/2) 180°, гайка (корона)</t>
  </si>
  <si>
    <t>SMS-180225</t>
  </si>
  <si>
    <t>QTZ4-D827</t>
  </si>
  <si>
    <t>смеситель G.Lauf для кух. мойки с пов. изливом, кер. (1/2) 180°, гайка (корона) QTZ4-D827</t>
  </si>
  <si>
    <t>2 539.67 руб.</t>
  </si>
  <si>
    <t>SMS-180226</t>
  </si>
  <si>
    <t>QTZ4-D856</t>
  </si>
  <si>
    <t>смеситель G.Lauf для кух. мойки с пов. изливом, кер. (1/2) 180°, гайка (корона) QTZ4-D856</t>
  </si>
  <si>
    <t>SMS-180231</t>
  </si>
  <si>
    <t>QTZ4-E827</t>
  </si>
  <si>
    <t>смеситель G.Lauf для кух. мойки с гиб. изливом, кер. (1/2) 180°, гайка (корона),  QTZ4-E827</t>
  </si>
  <si>
    <t>2 695.56 руб.</t>
  </si>
  <si>
    <t>SMS-180233</t>
  </si>
  <si>
    <t>QTZ5-A827</t>
  </si>
  <si>
    <t>смеситель G.Lauf для душа двуручковый ,без извива, кер. (1/2) 180°,  QTZ5-A827</t>
  </si>
  <si>
    <t>SMS-180234</t>
  </si>
  <si>
    <t>QTZ7-A827</t>
  </si>
  <si>
    <t>смеситель G.Lauf для ванны с плоским пов. изливом, кер. (1/2) 180°, шар. Переключение QTZ7-A827</t>
  </si>
  <si>
    <t>4 024.43 руб.</t>
  </si>
  <si>
    <t>SMS-180235</t>
  </si>
  <si>
    <t>QTZ7-A856</t>
  </si>
  <si>
    <t>смеситель G.Lauf для ванны с плоским пов. изливом, кер. (1/2) 180°, шар. Переключение QTZ7-A856</t>
  </si>
  <si>
    <t>SMS-180236</t>
  </si>
  <si>
    <t>QTZ7-B827</t>
  </si>
  <si>
    <t>смеситель G.Lauf для ванны с круглым пов. изливом, кер. (1/2) 180°, шар. Переключение QTZ7-B827</t>
  </si>
  <si>
    <t>3 417.51 руб.</t>
  </si>
  <si>
    <t>SMS-180237</t>
  </si>
  <si>
    <t>QTZ7-B856</t>
  </si>
  <si>
    <t>смеситель G.Lauf для ванны с круглым пов. изливом, кер. (1/2) 180°, шар. Переключение QTZ7-B856</t>
  </si>
  <si>
    <t>SMS-180239</t>
  </si>
  <si>
    <t>QTZ14-A827</t>
  </si>
  <si>
    <t>моно-смеситель G.Lauf для умывальника / мойки, кер. (1/2), гайка QTZ14-A827</t>
  </si>
  <si>
    <t>SMS-180240</t>
  </si>
  <si>
    <t>QML1-A827</t>
  </si>
  <si>
    <t>смеситель G.Lauf для умывальника с литым пов. изливом кер. (1/2) 180°, гайка (корона)  QML1-A827</t>
  </si>
  <si>
    <t>3 458.37 руб.</t>
  </si>
  <si>
    <t>SMS-180242</t>
  </si>
  <si>
    <t>QML3-A827</t>
  </si>
  <si>
    <t>смеситель G.Lauf для ванны с литым пов. изливом 150мм, кер. (1/2) 180°, встр. карт. перекл. QML3-A82</t>
  </si>
  <si>
    <t>4 124.32 руб.</t>
  </si>
  <si>
    <t>SMS-180243</t>
  </si>
  <si>
    <t>QML3-A856</t>
  </si>
  <si>
    <t>смеситель G.Lauf для ванны с литым пов. изливом 150мм, кер. (1/2) 180°, встр. карт. перекл. QML3-A85</t>
  </si>
  <si>
    <t>SMS-180244</t>
  </si>
  <si>
    <t>QML4-A827</t>
  </si>
  <si>
    <t>смеситель G.Lauf для кух. мойки с пов. изливом, кер. (1/2) 180°, гайка (корона) QML4-A827</t>
  </si>
  <si>
    <t>2 816.65 руб.</t>
  </si>
  <si>
    <t>SMS-180245</t>
  </si>
  <si>
    <t>QML4-C827</t>
  </si>
  <si>
    <t>смеситель G.Lauf для кух. мойки с пов. изливом, кер. (1/2) 180°, гайка (корона) QML4-C827</t>
  </si>
  <si>
    <t>2 809.08 руб.</t>
  </si>
  <si>
    <t>SMS-180246</t>
  </si>
  <si>
    <t>QML7-A827</t>
  </si>
  <si>
    <t>смеситель G.Lauf для ванны с круг. пов. изливом, кер. (1/2) 180°, встр. карт. перекл. QML7-A827</t>
  </si>
  <si>
    <t>3 588.54 руб.</t>
  </si>
  <si>
    <t>SMS-180247</t>
  </si>
  <si>
    <t>QML7-A856</t>
  </si>
  <si>
    <t>смеситель G.Lauf для ванны с круг. пов. изливом, кер. (1/2) 180°, встр. карт. перекл. QML7-A856</t>
  </si>
  <si>
    <t>SMS-180249</t>
  </si>
  <si>
    <t>QML14-A119</t>
  </si>
  <si>
    <t>моно-смеситель G.Lauf для умывальника / мойки, кер. (1/2) 90°, гайка QML14-A119</t>
  </si>
  <si>
    <t>1 315.24 руб.</t>
  </si>
  <si>
    <t>SMS-180250</t>
  </si>
  <si>
    <t>QSL1-A827</t>
  </si>
  <si>
    <t>(ВЫВЕДЕН) смеситель G.Lauf для умывальника монолитный, кер. (1/2) 180°, QSL1-A827</t>
  </si>
  <si>
    <t>SMS-180251</t>
  </si>
  <si>
    <t>QSL3-A827</t>
  </si>
  <si>
    <t xml:space="preserve">смеситель G.Lauf для ванны с литым пов. изливом (Lt) 150 мм, кер. (1/2) 180°, 3х-поз. Карт. Перекл. </t>
  </si>
  <si>
    <t>SMS-180252</t>
  </si>
  <si>
    <t>QSL4-A827</t>
  </si>
  <si>
    <t>смеситель G.Lauf для кух. мойки с пов. изливом (Lt), кер. (1/2) 180°, гайка (корона) QSL4-A827</t>
  </si>
  <si>
    <t>3 300.97 руб.</t>
  </si>
  <si>
    <t>SMS-180253</t>
  </si>
  <si>
    <t>QSL4-B827</t>
  </si>
  <si>
    <t>смеситель для кух. мойки с пов. изливом (Lt), кер. (1/2) 180°, гайка (корона) QSL4-B827</t>
  </si>
  <si>
    <t>3 276.75 руб.</t>
  </si>
  <si>
    <t>SMS-180254</t>
  </si>
  <si>
    <t>QSL7-A827</t>
  </si>
  <si>
    <t>смеситель G.Lauf для ванны с плоским пов. изливом (Lt), кер. (1/2) 180°,  3х-поз. Карт. Перекл. QSL7</t>
  </si>
  <si>
    <t>5 012.75 руб.</t>
  </si>
  <si>
    <t>SMS-180255</t>
  </si>
  <si>
    <t>JML4-A605</t>
  </si>
  <si>
    <t>смеситель G.Lauf для кух. мойки с пов. изливом, Резиновая (3/8), гайка JML4-A605 (2 шт в кор)</t>
  </si>
  <si>
    <t>1 050.38 руб.</t>
  </si>
  <si>
    <t>SMS-180256</t>
  </si>
  <si>
    <t>JML7-A605</t>
  </si>
  <si>
    <t>смеситель G.Lauf для ванны с круглым пов. изливом, резиновая (3/8)), штоковое переключение JML7-A605</t>
  </si>
  <si>
    <t>2 400.43 руб.</t>
  </si>
  <si>
    <t>SMS-180257</t>
  </si>
  <si>
    <t>JMX4-A605</t>
  </si>
  <si>
    <t>смеситель G.Lauf для кух. мойки с пов. изливом, кер. (1/2) 180°, гайка JMX4-A605 (2 ШТ в кор)</t>
  </si>
  <si>
    <t>1 221.40 руб.</t>
  </si>
  <si>
    <t>SMS-180258</t>
  </si>
  <si>
    <t>JMX7-A605</t>
  </si>
  <si>
    <t>смеситель G.Lauf для ванны с круглым пов. изливом, кер. (1/2) 180°, штоковое переключение JMX7-A605</t>
  </si>
  <si>
    <t>2 398.92 руб.</t>
  </si>
  <si>
    <t>SMS-180259</t>
  </si>
  <si>
    <t>JMX12-A605</t>
  </si>
  <si>
    <t>настенный смеситель G.Lauf для кух. мойки, кер. (1/2) 180° JMX12-A605 (2 ШТ в кор)</t>
  </si>
  <si>
    <t>1 748.11 руб.</t>
  </si>
  <si>
    <t>SMS-180260</t>
  </si>
  <si>
    <t>JMX14-A605</t>
  </si>
  <si>
    <t>МОНО-смеситель G.Lauf для умывальника / мойки, кер. (1/2) 180°, гайка JMX14-A605 (3 ШТ в кор)</t>
  </si>
  <si>
    <t>641.73 руб.</t>
  </si>
  <si>
    <t>SMS-180261</t>
  </si>
  <si>
    <t>QST4-A827</t>
  </si>
  <si>
    <t>смеситель G.Lauf для кух. мойки с пов. изливом, кер. (1/2) 180°, гайка кор. (Lt) QST4-A827</t>
  </si>
  <si>
    <t>3 008.86 руб.</t>
  </si>
  <si>
    <t>SMS-180262</t>
  </si>
  <si>
    <t>QST7-A827</t>
  </si>
  <si>
    <t>смеситель G.Lauf для ванны с плоский пов. изливом, кер. (1/2) 180°, двухпозиц. Карт. перекл.  (Lt) Q</t>
  </si>
  <si>
    <t>4 753.94 руб.</t>
  </si>
  <si>
    <t>SMS-180263</t>
  </si>
  <si>
    <t>QFU7-A827</t>
  </si>
  <si>
    <t>4 629.83 руб.</t>
  </si>
  <si>
    <t>SMS-180264</t>
  </si>
  <si>
    <t>KEF16-A060</t>
  </si>
  <si>
    <t>Душевая система нержавеющая стальРазмер: 1350х190мм</t>
  </si>
  <si>
    <t>16 823.32 руб.</t>
  </si>
  <si>
    <t>SMS-180265</t>
  </si>
  <si>
    <t>KEF16-A060KH</t>
  </si>
  <si>
    <t xml:space="preserve">Душевая система G.Lauf нержавеющая сталь SUS 304 нержавеющая сталь Размер: 1350х190мм </t>
  </si>
  <si>
    <t>18 334.24 руб.</t>
  </si>
  <si>
    <t>SMS-180266</t>
  </si>
  <si>
    <t>UHS-1102</t>
  </si>
  <si>
    <t>Лейка G.Lauf для душа, 1-функциональная, UHS-1102</t>
  </si>
  <si>
    <t>301.19 руб.</t>
  </si>
  <si>
    <t>SMS-180267</t>
  </si>
  <si>
    <t>UHS-1104</t>
  </si>
  <si>
    <t>Лейка G.Lauf для душа, 1-функциональная, UHS-1104</t>
  </si>
  <si>
    <t>269.41 руб.</t>
  </si>
  <si>
    <t>SMS-180268</t>
  </si>
  <si>
    <t>UHS-1106</t>
  </si>
  <si>
    <t>Лейка G.Lauf для душа, 1-функциональная, UHS-1106</t>
  </si>
  <si>
    <t>137.73 руб.</t>
  </si>
  <si>
    <t>SMS-180269</t>
  </si>
  <si>
    <t>UHS-1606</t>
  </si>
  <si>
    <t>Лейка G.Lauf для душа, 1-функциональная, UHS-1606</t>
  </si>
  <si>
    <t>307.24 руб.</t>
  </si>
  <si>
    <t>SMS-180270</t>
  </si>
  <si>
    <t>UHS-1107</t>
  </si>
  <si>
    <t>Лейка G.Lauf для душа, 1-функциональная, UHS-1107</t>
  </si>
  <si>
    <t>196.76 руб.</t>
  </si>
  <si>
    <t>SMS-180271</t>
  </si>
  <si>
    <t>UHS-1108 BLUE</t>
  </si>
  <si>
    <t>Лейка G.Lauf для душа, 1-функциональная, UHS-1108 BLUE</t>
  </si>
  <si>
    <t>204.32 руб.</t>
  </si>
  <si>
    <t>SMS-180272</t>
  </si>
  <si>
    <t>UHS-1109</t>
  </si>
  <si>
    <t>Лейка G.Lauf для душа, 3-функциональная, UHS-1109</t>
  </si>
  <si>
    <t>348.11 руб.</t>
  </si>
  <si>
    <t>SMS-180273</t>
  </si>
  <si>
    <t>UHS-1110</t>
  </si>
  <si>
    <t>Лейка G.Lauf для душа, 3-функциональная, UHS-1110</t>
  </si>
  <si>
    <t>227.03 руб.</t>
  </si>
  <si>
    <t>SMS-180274</t>
  </si>
  <si>
    <t>UHS-1130</t>
  </si>
  <si>
    <t>Лейка G.Lauf для душа, 1-функциональная, UHS-1130</t>
  </si>
  <si>
    <t>219.46 руб.</t>
  </si>
  <si>
    <t>SMS-180275</t>
  </si>
  <si>
    <t>UHS-1139</t>
  </si>
  <si>
    <t>Лейка G.Lauf для душа, 3-функциональная, UHS-1139</t>
  </si>
  <si>
    <t>258.81 руб.</t>
  </si>
  <si>
    <t>SMS-180276</t>
  </si>
  <si>
    <t>UHS-1142</t>
  </si>
  <si>
    <t>Лейка G.Lauf для душа, 3-функциональная, UHS-1142</t>
  </si>
  <si>
    <t>SMS-180277</t>
  </si>
  <si>
    <t>UHS-1150</t>
  </si>
  <si>
    <t>Лейка G.Lauf для душа, 5-функциональная, UHS-1150</t>
  </si>
  <si>
    <t>346.59 руб.</t>
  </si>
  <si>
    <t>SMS-180278</t>
  </si>
  <si>
    <t>UHS-1151</t>
  </si>
  <si>
    <t>Лейка G.Lauf для душа, 5-функциональная, UHS-1151</t>
  </si>
  <si>
    <t>336.00 руб.</t>
  </si>
  <si>
    <t>SMS-180279</t>
  </si>
  <si>
    <t>UHS-1152KB</t>
  </si>
  <si>
    <t>Лейка G.Lauf для душа, 3-функциональная, UHS-1152KB</t>
  </si>
  <si>
    <t>423.78 руб.</t>
  </si>
  <si>
    <t>SMS-180280</t>
  </si>
  <si>
    <t>UHS-1152GN</t>
  </si>
  <si>
    <t>Лейка G.Lauf для душа, 3-функциональная, UHS-1152GN</t>
  </si>
  <si>
    <t>SMS-180281</t>
  </si>
  <si>
    <t>UHS-1152OG</t>
  </si>
  <si>
    <t>Лейка G.Lauf для душа, 3-функциональная, UHS-1152OG</t>
  </si>
  <si>
    <t>SMS-180282</t>
  </si>
  <si>
    <t>UHS-1160</t>
  </si>
  <si>
    <t>Лейка G.Lauf для душа, 1-функциональная, UHS-1160</t>
  </si>
  <si>
    <t>222.49 руб.</t>
  </si>
  <si>
    <t>SMS-180283</t>
  </si>
  <si>
    <t>UHS-1250</t>
  </si>
  <si>
    <t>Лейка G.Lauf для душа, 5-функциональная, UHS-1250</t>
  </si>
  <si>
    <t>478.27 руб.</t>
  </si>
  <si>
    <t>SMS-180284</t>
  </si>
  <si>
    <t>UHS-1201</t>
  </si>
  <si>
    <t>Лейка G.Lauf для душа, 3-функциональная, UHS-1201</t>
  </si>
  <si>
    <t>387.46 руб.</t>
  </si>
  <si>
    <t>SMS-180285</t>
  </si>
  <si>
    <t>UHS-1211</t>
  </si>
  <si>
    <t>Лейка G.Lauf для душа, 3-функциональная, UHS-1211</t>
  </si>
  <si>
    <t>529.73 руб.</t>
  </si>
  <si>
    <t>SMS-180286</t>
  </si>
  <si>
    <t>UHS-1212</t>
  </si>
  <si>
    <t>Лейка G.Lauf для душа, 5-функциональная, UHS-1212</t>
  </si>
  <si>
    <t>590.27 руб.</t>
  </si>
  <si>
    <t>SMS-180287</t>
  </si>
  <si>
    <t>UHS-1213</t>
  </si>
  <si>
    <t>Лейка G.Lauf для душа, 3-функциональная, UHS-1213</t>
  </si>
  <si>
    <t>570.59 руб.</t>
  </si>
  <si>
    <t>SMS-180288</t>
  </si>
  <si>
    <t>UHS-1214</t>
  </si>
  <si>
    <t>Лейка G.Lauf для душа, 3-функциональная, UHS-1214</t>
  </si>
  <si>
    <t>SMS-180289</t>
  </si>
  <si>
    <t>UHS-1215</t>
  </si>
  <si>
    <t>Лейка G.Lauf для душа, 1-функциональная, UHS-1215</t>
  </si>
  <si>
    <t>SMS-180290</t>
  </si>
  <si>
    <t>UHS-1231</t>
  </si>
  <si>
    <t>Лейка G.Lauf для душа, 5-функциональная, UHS-1231</t>
  </si>
  <si>
    <t>693.19 руб.</t>
  </si>
  <si>
    <t>SMS-180291</t>
  </si>
  <si>
    <t>UHS-1232</t>
  </si>
  <si>
    <t>Лейка G.Lauf для душа, 5-функциональная, UHS-1232</t>
  </si>
  <si>
    <t>611.46 руб.</t>
  </si>
  <si>
    <t>SMS-180293</t>
  </si>
  <si>
    <t>UHS-2101</t>
  </si>
  <si>
    <t>Лейка G.Lauf для биде UHS-2101</t>
  </si>
  <si>
    <t>198.27 руб.</t>
  </si>
  <si>
    <t>SMS-180294</t>
  </si>
  <si>
    <t>UHS-2102</t>
  </si>
  <si>
    <t>Лейка G.Lauf для биде 1-функц. UHS-2102</t>
  </si>
  <si>
    <t>184.65 руб.</t>
  </si>
  <si>
    <t>SMS-180295</t>
  </si>
  <si>
    <t>USJ-1201</t>
  </si>
  <si>
    <t>Стойка для душа (в комп. Лейка G.Lauf, держатель, Шланг G.Lauf, рег. мыльница) USJ-1201</t>
  </si>
  <si>
    <t>2 566.92 руб.</t>
  </si>
  <si>
    <t>SMS-180296</t>
  </si>
  <si>
    <t>USJ-1203</t>
  </si>
  <si>
    <t>Стойка для душа (в комп. Лейка G.Lauf, держатель, Шланг G.Lauf, рег. мыльница) USJ-1203</t>
  </si>
  <si>
    <t>2 588.11 руб.</t>
  </si>
  <si>
    <t>SMS-180297</t>
  </si>
  <si>
    <t>USJ-1205</t>
  </si>
  <si>
    <t>Стойка для душа USJ-1205</t>
  </si>
  <si>
    <t>2 138.59 руб.</t>
  </si>
  <si>
    <t>SMS-180298</t>
  </si>
  <si>
    <t>UST-1080</t>
  </si>
  <si>
    <t>Душевая стойка G.Lauf нерж сталь  с тропическим душем, хром  UST-1080 (1/5шт)</t>
  </si>
  <si>
    <t>4 156.10 руб.</t>
  </si>
  <si>
    <t>SMS-180299</t>
  </si>
  <si>
    <t>URG-1103 I*I 150cm</t>
  </si>
  <si>
    <t>Шланг G.Lauf для душа 1/2 (Imp)* 1/2 (Imp) 150 см URG-1103 (50 шт)</t>
  </si>
  <si>
    <t>217.95 руб.</t>
  </si>
  <si>
    <t>SMS-180300</t>
  </si>
  <si>
    <t>URG-1103 I*R 150cm</t>
  </si>
  <si>
    <t>Шланг G.Lauf для душа Rus*Imp 150 см URG-1103</t>
  </si>
  <si>
    <t>SMS-180301</t>
  </si>
  <si>
    <t>URG-1103 R*R 150cm</t>
  </si>
  <si>
    <t>Шланг G.Lauf для душа Rus*Rus 150 см URG-1103</t>
  </si>
  <si>
    <t>SMS-180302</t>
  </si>
  <si>
    <t>URG-1205 I*I 150cm</t>
  </si>
  <si>
    <t>Шланг G.Lauf для душа Imp*Imp 150 см двухслойный URG-1205</t>
  </si>
  <si>
    <t>SMS-180303</t>
  </si>
  <si>
    <t>URG-1205 I*R 150cm</t>
  </si>
  <si>
    <t>Шланг G.Lauf для душа Rus*Imp 150 см двухслойный URG-1205</t>
  </si>
  <si>
    <t>SMS-180305</t>
  </si>
  <si>
    <t>URG-1207 I*I 150cm</t>
  </si>
  <si>
    <t>Шланг G.Lauf для душа Imp*Imp 150 см блистер. упак. URG-1207</t>
  </si>
  <si>
    <t>SMS-180306</t>
  </si>
  <si>
    <t>URG-1207 I*I 175cm</t>
  </si>
  <si>
    <t>Шланг G.Lauf для душа Imp*Imp 175 см блистер. упак. URG-1207</t>
  </si>
  <si>
    <t>366.27 руб.</t>
  </si>
  <si>
    <t>SMS-180307</t>
  </si>
  <si>
    <t>URG-1207 I*I 200cm</t>
  </si>
  <si>
    <t>Шланг G.Lauf для душа Imp*Imp 200 см блистер. упак. URG-1207</t>
  </si>
  <si>
    <t>426.81 руб.</t>
  </si>
  <si>
    <t>SMS-180308</t>
  </si>
  <si>
    <t>URG-1209 I*I 150cm</t>
  </si>
  <si>
    <t>Шланг G.Lauf для душа Imp*Imp 150 см URG-1209 антитвист, усиленный 12 бар</t>
  </si>
  <si>
    <t>494.92 руб.</t>
  </si>
  <si>
    <t>SMS-180309</t>
  </si>
  <si>
    <t>URG-1210 I*I 150cm</t>
  </si>
  <si>
    <t>Шланг G.Lauf для душа Imp*Imp 150 см URG-1210, усиленный 12 бар</t>
  </si>
  <si>
    <t>475.24 руб.</t>
  </si>
  <si>
    <t>SMS-180310</t>
  </si>
  <si>
    <t>URG-1211 I*I 150cm</t>
  </si>
  <si>
    <t>Шланг G.Lauf для душа Imp*Imp 150 см URG-1211, усил. 12 бар, нейлоновый с металлиз. оплеткой (40шт)</t>
  </si>
  <si>
    <t>460.11 руб.</t>
  </si>
  <si>
    <t>SMS-180311</t>
  </si>
  <si>
    <t>URG-1306 I*I 150cm</t>
  </si>
  <si>
    <t>Шланг G.Lauf для душа Imp*Imp люкс 150 см URG-1306, антитвист, усиленный 12 бар</t>
  </si>
  <si>
    <t>SMS-180312</t>
  </si>
  <si>
    <t>URG-1308 I*I 150cm</t>
  </si>
  <si>
    <t>Шланг G.Lauf для душа Imp*Imp 150 см люкс блистер. упак. URG-1308</t>
  </si>
  <si>
    <t>632.65 руб.</t>
  </si>
  <si>
    <t>SMS-180313</t>
  </si>
  <si>
    <t>URG-1308 I*I 175cm</t>
  </si>
  <si>
    <t>Шланг G.Lauf для душа Imp*Imp 175 см люкс блистер. упак. URG-1308</t>
  </si>
  <si>
    <t>SMS-180314</t>
  </si>
  <si>
    <t>URG-1308 I*I 200cm</t>
  </si>
  <si>
    <t>Шланг G.Lauf для душа Imp*Imp 200 см люкс блистер. упак. URG-1308, антитвист, усиленный 12 бар</t>
  </si>
  <si>
    <t>682.59 руб.</t>
  </si>
  <si>
    <t>SMS-180315</t>
  </si>
  <si>
    <t>URG-1312 I*I 150cm</t>
  </si>
  <si>
    <t>Шланг G.Lauf для душа Imp*Imp 150 см URG-1312, антитвист, усиленный 12 бар</t>
  </si>
  <si>
    <t>SMS-180316</t>
  </si>
  <si>
    <t>URG-1313 I*I 150cm</t>
  </si>
  <si>
    <t>Шланг G.Lauf для душа Imp*Imp 150 см URG-1313, антитвист, усиленный 12 бар</t>
  </si>
  <si>
    <t>774.92 руб.</t>
  </si>
  <si>
    <t>SMS-180317</t>
  </si>
  <si>
    <t>URG-1314 I*I 150cm</t>
  </si>
  <si>
    <t>Шланг G.Lauf для душа Imp*Imp 150 см URG-1314, антитвист, усиленный 12 бар, ПВХ серебро</t>
  </si>
  <si>
    <t>SMS-180318</t>
  </si>
  <si>
    <t>URG-1315 I*I 150cm</t>
  </si>
  <si>
    <t>Термоиндикаторный ПВХ шланг G.Lauf для душа Imp*Imp 150 см URG-1315, антитвист, усиленный 12 бар</t>
  </si>
  <si>
    <t>743.13 руб.</t>
  </si>
  <si>
    <t>SMS-180319</t>
  </si>
  <si>
    <t>UFX-2101</t>
  </si>
  <si>
    <t>рез. кр-бук. G.Lauf 360°, 3/8, 24 шлица для крест. ручек UFX-2101</t>
  </si>
  <si>
    <t>122.59 руб.</t>
  </si>
  <si>
    <t>SMS-180320</t>
  </si>
  <si>
    <t>UFX-2233</t>
  </si>
  <si>
    <t>кер. кр-бук. G.Lauf 180°, 1/2, РУССКАЯ  (под квадрат) UFX-2233</t>
  </si>
  <si>
    <t>172.54 руб.</t>
  </si>
  <si>
    <t>SMS-180321</t>
  </si>
  <si>
    <t>UFX-2236</t>
  </si>
  <si>
    <t>рез. кр-бук. G.Lauf 360°, 3/8, рос.стандарт (под квадрат) UFX-2236</t>
  </si>
  <si>
    <t>SMS-180322</t>
  </si>
  <si>
    <t>UFX-2138</t>
  </si>
  <si>
    <t>кер. кр-бук. G.Lauf 180°, 1/2, 24 шлица для крест. ручек UFX-2138</t>
  </si>
  <si>
    <t>155.89 руб.</t>
  </si>
  <si>
    <t>SMS-180323</t>
  </si>
  <si>
    <t>UFX-2238</t>
  </si>
  <si>
    <t>кер. кр-бук. G.Lauf 180°, 1/2, 24 шлица для крест. ручек, увел. толщ. стенок UFX-2238</t>
  </si>
  <si>
    <t>180.11 руб.</t>
  </si>
  <si>
    <t>SMS-180324</t>
  </si>
  <si>
    <t>UFX-2145</t>
  </si>
  <si>
    <t>рез. кр-бук. G.Lauf 360°, 1/2, 24 шлица для крест. ручек UFX-2145</t>
  </si>
  <si>
    <t>SMS-180325</t>
  </si>
  <si>
    <t>UFX-3217</t>
  </si>
  <si>
    <t>кер. кр-бук. G.Lauf 180°, 1/2, 24 шлица для перекл. ванна/душ UFX-3217</t>
  </si>
  <si>
    <t>296.65 руб.</t>
  </si>
  <si>
    <t>SMS-180326</t>
  </si>
  <si>
    <t>XOT-722</t>
  </si>
  <si>
    <t>комплект G.Lauf кер. кр-бук. 180°, 1/2 + маховик, XOT-722 (1/5шт)</t>
  </si>
  <si>
    <t>814.27 руб.</t>
  </si>
  <si>
    <t>SMS-180327</t>
  </si>
  <si>
    <t>XOT-827</t>
  </si>
  <si>
    <t>комплект G.Lauf кер. кр-бук. 180°, 1/2 + маховик, XOT-827 (1/5шт)</t>
  </si>
  <si>
    <t>SMS-180328</t>
  </si>
  <si>
    <t>XOT-856</t>
  </si>
  <si>
    <t>комплект G.Lauf кер. кр-бук. 180°, 1/2 + маховик, XOT-856 (1/5шт)</t>
  </si>
  <si>
    <t>SMS-180329</t>
  </si>
  <si>
    <t>UFX-1246</t>
  </si>
  <si>
    <t>картридж G.Lauf ⌀40 UFX-1246</t>
  </si>
  <si>
    <t>SMS-180330</t>
  </si>
  <si>
    <t>UFX-1246-F</t>
  </si>
  <si>
    <t>картридж G.Lauf ⌀40 UFX-1246-F (для KLO3)</t>
  </si>
  <si>
    <t>207.35 руб.</t>
  </si>
  <si>
    <t>SMS-180331</t>
  </si>
  <si>
    <t>UFX-1346</t>
  </si>
  <si>
    <t>картридж G.Lauf ⌀40 (Lt) UFX-1346</t>
  </si>
  <si>
    <t>281.51 руб.</t>
  </si>
  <si>
    <t>SMS-180332</t>
  </si>
  <si>
    <t>UFX-1247</t>
  </si>
  <si>
    <t>картридж G.Lauf ⌀35 UFX-1247</t>
  </si>
  <si>
    <t>189.19 руб.</t>
  </si>
  <si>
    <t>SMS-180333</t>
  </si>
  <si>
    <t>UFX-1247-F</t>
  </si>
  <si>
    <t>картридж G.Lauf ⌀35 UFX-1247-F (для ZOP, LOF4, LEF4, nud16)</t>
  </si>
  <si>
    <t>SMS-180334</t>
  </si>
  <si>
    <t>UFX-1347</t>
  </si>
  <si>
    <t>картридж G.Lauf ⌀35 (Lt) UFX-1347</t>
  </si>
  <si>
    <t>255.78 руб.</t>
  </si>
  <si>
    <t>SMS-180335</t>
  </si>
  <si>
    <t>UFX-1249</t>
  </si>
  <si>
    <t>картридж G.Lauf ⌀35 UFX-1249</t>
  </si>
  <si>
    <t>SMS-180336</t>
  </si>
  <si>
    <t>UFX-1250</t>
  </si>
  <si>
    <t>картридж G.Lauf ⌀35 UFX-1249 (для LWZ1) (1/25шт)</t>
  </si>
  <si>
    <t>SMS-180337</t>
  </si>
  <si>
    <t>UFX-3220</t>
  </si>
  <si>
    <t>картридж G.Lauf для перекл. душ/ванна. для смес. для ванны UFX-3220</t>
  </si>
  <si>
    <t>148.32 руб.</t>
  </si>
  <si>
    <t>SMS-180338</t>
  </si>
  <si>
    <t>UFX-3276</t>
  </si>
  <si>
    <t>картридж G.Lauf 3-х позиц. для пер. душ/ ванна для смес. для ван. QSL, UFX-3276</t>
  </si>
  <si>
    <t>220.97 руб.</t>
  </si>
  <si>
    <t>SMS-180339</t>
  </si>
  <si>
    <t>UFX-3277</t>
  </si>
  <si>
    <t>картридж G.Lauf для перекл. душ/ванна. для смес. для ванны QML, UFX-3277</t>
  </si>
  <si>
    <t>187.68 руб.</t>
  </si>
  <si>
    <t>SMS-180340</t>
  </si>
  <si>
    <t>UFX-3278</t>
  </si>
  <si>
    <t>картридж G.Lauf для перекл. душ/ванна. для смес. для ванны QMT, UFX-3278 (1/25шт)</t>
  </si>
  <si>
    <t>157.41 руб.</t>
  </si>
  <si>
    <t>SMS-180341</t>
  </si>
  <si>
    <t>UFX-3279</t>
  </si>
  <si>
    <t>картридж G.Lauf для перекл. душ/ванна. для смес. Серии NUD, UFX-3279</t>
  </si>
  <si>
    <t>149.84 руб.</t>
  </si>
  <si>
    <t>SMS-180343</t>
  </si>
  <si>
    <t>UFQ-1202</t>
  </si>
  <si>
    <t>дивертор G.Lauf перекл. ванна/душ картриджный UFQ-1202</t>
  </si>
  <si>
    <t>612.97 руб.</t>
  </si>
  <si>
    <t>SMS-180344</t>
  </si>
  <si>
    <t>UFQ-1204</t>
  </si>
  <si>
    <t>дивертор G.Lauf перекл. ванна/душ  UFQ-1204</t>
  </si>
  <si>
    <t>SMS-180345</t>
  </si>
  <si>
    <t>UFQ-1216</t>
  </si>
  <si>
    <t>дивертор G.Lauf перекл. ванна/душ картриджный UFQ-1216</t>
  </si>
  <si>
    <t>635.68 руб.</t>
  </si>
  <si>
    <t>SMS-180346</t>
  </si>
  <si>
    <t>UCG-1134</t>
  </si>
  <si>
    <t>излив G.Lauf для кухни, резьба UCG-1134</t>
  </si>
  <si>
    <t>193.73 руб.</t>
  </si>
  <si>
    <t>SMS-180347</t>
  </si>
  <si>
    <t>UCG-2131</t>
  </si>
  <si>
    <t>излив G.Lauf для кухни, резьба UCG-2131</t>
  </si>
  <si>
    <t>SMS-180348</t>
  </si>
  <si>
    <t>UCG-2230-35cm</t>
  </si>
  <si>
    <t>излив G.Lauf круглый для ванны 350 мм, нерж. UCG-2230</t>
  </si>
  <si>
    <t>284.54 руб.</t>
  </si>
  <si>
    <t>SMS-180349</t>
  </si>
  <si>
    <t>UCG-2231-25cm</t>
  </si>
  <si>
    <t>излив G.Lauf плоский изогн. для ванны 250 мм нерж. UCG-2231</t>
  </si>
  <si>
    <t>417.73 руб.</t>
  </si>
  <si>
    <t>SMS-180350</t>
  </si>
  <si>
    <t>UCG-2231-35cm</t>
  </si>
  <si>
    <t>излив G.Lauf плоский изогн. для ванны 350 мм нерж. UCG-2231</t>
  </si>
  <si>
    <t>SMS-180351</t>
  </si>
  <si>
    <t>UCG-2231-37cm</t>
  </si>
  <si>
    <t>излив G.Lauf плоский изогн. для ванны 370 мм нерж. UCG-2231</t>
  </si>
  <si>
    <t>SMS-180352</t>
  </si>
  <si>
    <t>UCG-2231-40cm</t>
  </si>
  <si>
    <t>излив G.Lauf плоский изогн. для ванны 400 мм нерж. UCG-2231</t>
  </si>
  <si>
    <t>SMS-180353</t>
  </si>
  <si>
    <t>UCG-2232-25cm</t>
  </si>
  <si>
    <t>излив G.Lauf плоский 250 мм нерж. UCG-2232</t>
  </si>
  <si>
    <t>SMS-180354</t>
  </si>
  <si>
    <t>UCG-2232-35cm</t>
  </si>
  <si>
    <t>излив G.Lauf плоский 350 мм нерж. UCG-2232</t>
  </si>
  <si>
    <t>488.86 руб.</t>
  </si>
  <si>
    <t>SMS-180355</t>
  </si>
  <si>
    <t>UCG-2232-37cm</t>
  </si>
  <si>
    <t>излив G.Lauf плоский 370 мм нерж. UCG-2232</t>
  </si>
  <si>
    <t>508.54 руб.</t>
  </si>
  <si>
    <t>SMS-180356</t>
  </si>
  <si>
    <t>UCG-2232-40cm</t>
  </si>
  <si>
    <t>излив G.Lauf плоский 400 мм нерж. UCG-2232</t>
  </si>
  <si>
    <t>SMS-180357</t>
  </si>
  <si>
    <t>UCG-2232-50cm</t>
  </si>
  <si>
    <t>излив G.Lauf плоский 500 мм нерж. UCG-2232</t>
  </si>
  <si>
    <t>599.35 руб.</t>
  </si>
  <si>
    <t>SMS-180358</t>
  </si>
  <si>
    <t>UCG-3235-35cm</t>
  </si>
  <si>
    <t>излив G.Lauf плоский 350 мм нерж. для смесителя NEB7-B, LEF7 с переходником  UCG-3235</t>
  </si>
  <si>
    <t>SMS-180359</t>
  </si>
  <si>
    <t>UCG-3249</t>
  </si>
  <si>
    <t>излив G.Lauf  для кухни, нерж. внутренняя резьба UCG-3249</t>
  </si>
  <si>
    <t>413.19 руб.</t>
  </si>
  <si>
    <t>SMS-180360</t>
  </si>
  <si>
    <t>UCG-3249B</t>
  </si>
  <si>
    <t>излив G.Lauf для кухни, нерж. внешняя резьба UCG-3249B</t>
  </si>
  <si>
    <t>522.16 руб.</t>
  </si>
  <si>
    <t>SMS-180361</t>
  </si>
  <si>
    <t>UCG-033B</t>
  </si>
  <si>
    <t>излив G.Lauf для кухни UCG-033B</t>
  </si>
  <si>
    <t>443.46 руб.</t>
  </si>
  <si>
    <t>SMS-180362</t>
  </si>
  <si>
    <t>UCK-1222</t>
  </si>
  <si>
    <t>аэратор G.Lauf внутр. резьба UCK-1222 (25/100/1000шт)</t>
  </si>
  <si>
    <t>60.54 руб.</t>
  </si>
  <si>
    <t>SMS-180363</t>
  </si>
  <si>
    <t>UCK-2221</t>
  </si>
  <si>
    <t>аэратор, G.Lauf внеш. резьба UCK-2221 (25/100/1000шт)</t>
  </si>
  <si>
    <t>56.00 руб.</t>
  </si>
  <si>
    <t>SMS-180364</t>
  </si>
  <si>
    <t>UWJ-1118</t>
  </si>
  <si>
    <t>Эксцентрик G.Lauf + декор. отражатель UWJ-1118</t>
  </si>
  <si>
    <t>101.41 руб.</t>
  </si>
  <si>
    <t>SMS-180365</t>
  </si>
  <si>
    <t>XOT-318</t>
  </si>
  <si>
    <t>набор G.Lauf эксцентрики + декор. отражатели в блист. упак. XOT-318</t>
  </si>
  <si>
    <t>705.30 руб.</t>
  </si>
  <si>
    <t>SMS-180366</t>
  </si>
  <si>
    <t>USG-1119</t>
  </si>
  <si>
    <t>набор шпильки (2шт) + прокладки USG-1119</t>
  </si>
  <si>
    <t>52.97 руб.</t>
  </si>
  <si>
    <t>SMS-180367</t>
  </si>
  <si>
    <t>USG-1120</t>
  </si>
  <si>
    <t>набор шпилька + прокладки USG-1120</t>
  </si>
  <si>
    <t>40.86 руб.</t>
  </si>
  <si>
    <t>SMS-180368</t>
  </si>
  <si>
    <t>UZJ-1213</t>
  </si>
  <si>
    <t>держатель G.Lauf для лейки метал. UZJ-1213</t>
  </si>
  <si>
    <t>379.89 руб.</t>
  </si>
  <si>
    <t>SMS-180369</t>
  </si>
  <si>
    <t>UZJ-3201</t>
  </si>
  <si>
    <t>держатель G.Lauf для лейки метал. UZJ-3201</t>
  </si>
  <si>
    <t>SMS-180370</t>
  </si>
  <si>
    <t>UMO-3226</t>
  </si>
  <si>
    <t>гайка внутр. G.Lauf (внешняя резьба) UMO-3226</t>
  </si>
  <si>
    <t>46.92 руб.</t>
  </si>
  <si>
    <t>SMS-180371</t>
  </si>
  <si>
    <t>UMO-2227</t>
  </si>
  <si>
    <t>накидная гайка  G.Lauf (внутр. резьба) UMO-3226</t>
  </si>
  <si>
    <t>SMS-180372</t>
  </si>
  <si>
    <t>XOT-1001</t>
  </si>
  <si>
    <t>ремкоплект G.Lauf для шарового переключения XOT-1001</t>
  </si>
  <si>
    <t>384.43 руб.</t>
  </si>
  <si>
    <t>SMS-180373</t>
  </si>
  <si>
    <t>XOT-1201</t>
  </si>
  <si>
    <t>втулка G.Lauf для ремонта излива 8G, XOT-1201</t>
  </si>
  <si>
    <t>SMS-180374</t>
  </si>
  <si>
    <t>XOT-1202</t>
  </si>
  <si>
    <t>ремкоплект G.Lauf для излива универсальный</t>
  </si>
  <si>
    <t>134.70 руб.</t>
  </si>
  <si>
    <t>SMS-180375</t>
  </si>
  <si>
    <t>UFM-1028</t>
  </si>
  <si>
    <t>гайка - корона G.Lauf UFM-1028</t>
  </si>
  <si>
    <t>SMS-180400</t>
  </si>
  <si>
    <t>SFX-0001</t>
  </si>
  <si>
    <t>кер. кран-букса Solone (1/2)  90°, для смесителей с крестовой ручкой SFX-0001</t>
  </si>
  <si>
    <t>113.51 руб.</t>
  </si>
  <si>
    <t>SMS-180401</t>
  </si>
  <si>
    <t>SFX-0002</t>
  </si>
  <si>
    <t>кер. кран-букса Solone (1/2) 90°, для смесителей с круглой ручкой SFX-0002</t>
  </si>
  <si>
    <t>SMS-180402</t>
  </si>
  <si>
    <t>SFX-2151(пара)</t>
  </si>
  <si>
    <t>ПАРА в блистере рез. кр-букс Solone, ⌀1/2, 20 шлицов, 48 мм высота, 67 гр. SFX-2151</t>
  </si>
  <si>
    <t>393.51 руб.</t>
  </si>
  <si>
    <t>SMS-180403</t>
  </si>
  <si>
    <t>SFX-2152(пара)</t>
  </si>
  <si>
    <t>ПАРА в блистере рез. кр-букс Solone , ⌀3/8, под квадрат, 53 мм высота, 60 гр. SFX-2152</t>
  </si>
  <si>
    <t>393.56 руб.</t>
  </si>
  <si>
    <t>SMS-180404</t>
  </si>
  <si>
    <t>SFX-2153(пара)</t>
  </si>
  <si>
    <t>ПАРА в блистере рез. кр-букс Solone, ⌀1/2, 20 шлицов, 53 мм высота, 67 гр. SFX-2153</t>
  </si>
  <si>
    <t>SMS-180405</t>
  </si>
  <si>
    <t>SFX-2154</t>
  </si>
  <si>
    <t>ПАРА в блистере кер. кр-букс Solone, Размер: G 1/2 под 20-24 шлица Поворот: 90°Вес: 55 гр. SFX-2154</t>
  </si>
  <si>
    <t>пар</t>
  </si>
  <si>
    <t>SMS-180406</t>
  </si>
  <si>
    <t>SFX-2261</t>
  </si>
  <si>
    <t>кер. кр-букс Solone, ⌀1/2, 20 шлицов, 180°, 49 мм высота, 55 гр. SFX-2261</t>
  </si>
  <si>
    <t>357.92 руб.</t>
  </si>
  <si>
    <t>SMS-180407</t>
  </si>
  <si>
    <t>SFX-2262</t>
  </si>
  <si>
    <t>кер. кр-букс Solone, ⌀1/2, 20-24 шлица, 90°, 51 мм высота, 53 гр. SFX-2262</t>
  </si>
  <si>
    <t>SMS-180408</t>
  </si>
  <si>
    <t>SFX-1025</t>
  </si>
  <si>
    <t>кер. картридж Solone ⌀25, для FAB1, SFX-1025</t>
  </si>
  <si>
    <t>SMS-180409</t>
  </si>
  <si>
    <t>SFX-1125</t>
  </si>
  <si>
    <t>кер. картридж Solone ⌀25, для FAB4, FAB5, FAB6, FAB7, SFX-1125</t>
  </si>
  <si>
    <t>108.97 руб.</t>
  </si>
  <si>
    <t>SMS-180410</t>
  </si>
  <si>
    <t>SFX-1135</t>
  </si>
  <si>
    <t>кер. картридж Solone ⌀35, для  SUP, 4F и 4L, SFX-1135</t>
  </si>
  <si>
    <t>SMS-180411</t>
  </si>
  <si>
    <t>SFX-1040</t>
  </si>
  <si>
    <t>кер. картридж Solone ⌀40, для LOP и SIT, SFX-1040</t>
  </si>
  <si>
    <t>177.08 руб.</t>
  </si>
  <si>
    <t>SMS-180412</t>
  </si>
  <si>
    <t>SFX-1140</t>
  </si>
  <si>
    <t>кер. картридж Solone ⌀40, для KAD и KAK, SFX-1140</t>
  </si>
  <si>
    <t>211.89 руб.</t>
  </si>
  <si>
    <t>SMS-180413</t>
  </si>
  <si>
    <t>SFX-3116</t>
  </si>
  <si>
    <t>кер. картридж Solone для перекл. NEB3, NEB7, NEB16</t>
  </si>
  <si>
    <t>151.35 руб.</t>
  </si>
  <si>
    <t>SMS-180414</t>
  </si>
  <si>
    <t>SFQ-1023</t>
  </si>
  <si>
    <t>дивертор Solone перекл. ванна/душ шаровый SFQ-1023</t>
  </si>
  <si>
    <t>646.27 руб.</t>
  </si>
  <si>
    <t>SMS-180415</t>
  </si>
  <si>
    <t>SJG-001</t>
  </si>
  <si>
    <t>Пара штуцеров- удлинителей Solone для подводки (Lt) SJG-001</t>
  </si>
  <si>
    <t>127.14 руб.</t>
  </si>
  <si>
    <t>SMS-180416</t>
  </si>
  <si>
    <t>SCG-501</t>
  </si>
  <si>
    <t>Гофрированный излив Solone SCG-501</t>
  </si>
  <si>
    <t>581.19 руб.</t>
  </si>
  <si>
    <t>SMS-180417</t>
  </si>
  <si>
    <t>SRG-003 I*I 150cm</t>
  </si>
  <si>
    <t>Шланг для душа Solone 1/2 (Imp)* 1/2 (Imp) 150 см SRG-003</t>
  </si>
  <si>
    <t>SMS-180418</t>
  </si>
  <si>
    <t>SHS-2110</t>
  </si>
  <si>
    <t>Лейка для биде Solone (карт.коробка) 1-функц., SHS-2110</t>
  </si>
  <si>
    <t>351.13 руб.</t>
  </si>
  <si>
    <t>SMS-180424</t>
  </si>
  <si>
    <t>SCK-241</t>
  </si>
  <si>
    <t>Аэратор-насадка Solone на излив для экономии воды с переход. для излив с внеш. и внут. рез. (1/24)</t>
  </si>
  <si>
    <t>178.59 руб.</t>
  </si>
  <si>
    <t>SMS-180426</t>
  </si>
  <si>
    <t>GOF1-B095</t>
  </si>
  <si>
    <t>- Смеситель для раковины-чаши, кер. картридж ⌀35, крепление на гайке-втулке, нерж. сталь, GOF1-B095</t>
  </si>
  <si>
    <t>3 167.78 руб.</t>
  </si>
  <si>
    <t>SMS-180600</t>
  </si>
  <si>
    <t>LOT1-A010</t>
  </si>
  <si>
    <t>смеситель G.Lauf ручка джойстик для умывальника монолитный, ø35, гайка(корона) LOT1-A010</t>
  </si>
  <si>
    <t>2 694.05 руб.</t>
  </si>
  <si>
    <t>SMS-180601</t>
  </si>
  <si>
    <t>ZIG7-A166</t>
  </si>
  <si>
    <t>смеситель G.Lauf для ванны с плоским пов. изливом, ø40, встр. переключение, эко-аэратор ZIG7-A166</t>
  </si>
  <si>
    <t>3 658.16 руб.</t>
  </si>
  <si>
    <t>SMS-180606</t>
  </si>
  <si>
    <t>NEB1-B123</t>
  </si>
  <si>
    <t>Смеситель G.Lauf  для умывальника высокий монолитный, ø35, гайка(корона) NEB1-B123</t>
  </si>
  <si>
    <t>SMS-180607</t>
  </si>
  <si>
    <t>GOG10-A012</t>
  </si>
  <si>
    <t>Смеситель G.Lauf  для умывальника с выдвижным изливом + ФОНТАН, ø35, гайка корона GOG10-A012</t>
  </si>
  <si>
    <t>4 519.35 руб.</t>
  </si>
  <si>
    <t>SMS-180608</t>
  </si>
  <si>
    <t>SFX-2261(пара)</t>
  </si>
  <si>
    <t>ПАРА в блистере кер кр-букс SOLONE для смес ⌀1/2, 20 шлицов, 180°, 49 мм высота, 55 гр. SFX-2261</t>
  </si>
  <si>
    <t>308.76 руб.</t>
  </si>
  <si>
    <t>SMS-180609</t>
  </si>
  <si>
    <t>SFX-2262(пара)</t>
  </si>
  <si>
    <t>ПАРА в блистере кер кран-букс SOLONE для смес ⌀1/2, 24 шлица, 90°, 51 мм высота, 53 гр. SFX-2262</t>
  </si>
  <si>
    <t>SMS-180610</t>
  </si>
  <si>
    <t>4D4-A027</t>
  </si>
  <si>
    <t>смеситель G.Lauf для кух. м. (Lt) с изл. хирург ручка 240мм, ø40, шпилька 4D4-A027</t>
  </si>
  <si>
    <t>SMS-180611</t>
  </si>
  <si>
    <t>NUD16-A045</t>
  </si>
  <si>
    <t>Душевая система G.Lauf  с изливом, ø35, встр. переключение (1/5шт) NUD16-A045</t>
  </si>
  <si>
    <t>9 570.20 руб.</t>
  </si>
  <si>
    <t>SMS-180612</t>
  </si>
  <si>
    <t>NUD5-A045KH</t>
  </si>
  <si>
    <t>смеситель для душа,  ø35 сатин NUD5-A045KH</t>
  </si>
  <si>
    <t>3 664.04 руб.</t>
  </si>
  <si>
    <t>SMS-180613</t>
  </si>
  <si>
    <t>LOT7-A010</t>
  </si>
  <si>
    <t>смеситель для ванны с плоским пов. изливом, ø35, кноп. переключение LOT7-A010</t>
  </si>
  <si>
    <t>4 537.51 руб.</t>
  </si>
  <si>
    <t>SMS-180614</t>
  </si>
  <si>
    <t>ZAP7-A090</t>
  </si>
  <si>
    <t>смеситель для ванны с пов. изл, ø35, встр. Пер. нерж. сталь,  ZAP7-A090</t>
  </si>
  <si>
    <t>5 775.56 руб.</t>
  </si>
  <si>
    <t>SMS-180615</t>
  </si>
  <si>
    <t>UCG-3259GY</t>
  </si>
  <si>
    <t>излив рефлекторный (2 режима) для ZOP4, серый UCG-3259GY</t>
  </si>
  <si>
    <t>738.59 руб.</t>
  </si>
  <si>
    <t>SMS-180616</t>
  </si>
  <si>
    <t>UCG-3259KW</t>
  </si>
  <si>
    <t>излив рефлекторный (2 режима) для ZOP4, белый UCG-3259KW</t>
  </si>
  <si>
    <t>SMS-180617</t>
  </si>
  <si>
    <t>UCG-3259KB</t>
  </si>
  <si>
    <t>излив рефлекторный (2 режима) для ZOP4, черный UCG-3259KB</t>
  </si>
  <si>
    <t>SMS-180700</t>
  </si>
  <si>
    <t>UCG-3257KW</t>
  </si>
  <si>
    <t>излив рефлекторный для ZOP4, белый UCG-3257KW</t>
  </si>
  <si>
    <t>SMS-180701</t>
  </si>
  <si>
    <t>UCG-3259BU</t>
  </si>
  <si>
    <t>излив рефлекторный (2 режима) для ZOP4, голубой UCG-3259BU</t>
  </si>
  <si>
    <t>SMS-180702</t>
  </si>
  <si>
    <t>UCG-3259GN</t>
  </si>
  <si>
    <t>излив рефлекторный (2 режима) для ZOP4, зеленый UCG-3259GN</t>
  </si>
  <si>
    <t>SMS-180703</t>
  </si>
  <si>
    <t>ZIG7-B166</t>
  </si>
  <si>
    <t>см-ль для ванны с плоским пов. изливом, ø40, встр., кноп. переключение ZIG7-B166</t>
  </si>
  <si>
    <t>4 243.89 руб.</t>
  </si>
  <si>
    <t>SMS-180704</t>
  </si>
  <si>
    <t>ZDN3-A183</t>
  </si>
  <si>
    <t>см-ль для ванны с кор. изл., ø40, встроен. дивертор ZDN3-A183</t>
  </si>
  <si>
    <t>4 240.86 руб.</t>
  </si>
  <si>
    <t>SMS-180705</t>
  </si>
  <si>
    <t>ZDN7-A184</t>
  </si>
  <si>
    <t>см-ль для ванны с плоским пов. изливом, ø40, встроен. Дивертор ZDN7-A184</t>
  </si>
  <si>
    <t>SMS-180706</t>
  </si>
  <si>
    <t>EZA4-D090KB</t>
  </si>
  <si>
    <t>см-ль для кух. мойки с пов. изл, ø35,  нерж. сталь, цвет ЧЕРНЫЙ ГРАНИТ, гайка корона EZA4-D090KB</t>
  </si>
  <si>
    <t>2 005.40 руб.</t>
  </si>
  <si>
    <t>SMS-180707</t>
  </si>
  <si>
    <t>LOT1-A010PW</t>
  </si>
  <si>
    <t>см-ль для умывальника монолитный, ø35 гайка (корона) бел. LOT1-A010PW</t>
  </si>
  <si>
    <t>3 405.40 руб.</t>
  </si>
  <si>
    <t>SMS-180708</t>
  </si>
  <si>
    <t>LOT1-A010YB</t>
  </si>
  <si>
    <t>см-ль для умывальника монолитный, ø35 гайка (корона) черн. LOT1-A010YB</t>
  </si>
  <si>
    <t>SMS-180709</t>
  </si>
  <si>
    <t>QST3-A827</t>
  </si>
  <si>
    <t>см-ль для ванны, лит. Поворотн изл., кер. (1/2) 180°, двухпозиц. карт. перекл.  (Lt) QST3-A827</t>
  </si>
  <si>
    <t>SMS-180710</t>
  </si>
  <si>
    <t>ZDN7-A183</t>
  </si>
  <si>
    <t>смеситель G.Lauf для ванны с плоским пов. изливом, ø40, ZDN7-A183</t>
  </si>
  <si>
    <t>4 189.40 руб.</t>
  </si>
  <si>
    <t>SMS-180711</t>
  </si>
  <si>
    <t>EZA4-D090MG</t>
  </si>
  <si>
    <t>смеситель для кух. мойки ГРАФИТ с пов. изл, ø35, нерж. сталь, гайка EZA4-D090MG</t>
  </si>
  <si>
    <t>2 553.29 руб.</t>
  </si>
  <si>
    <t>SMS-180712</t>
  </si>
  <si>
    <t>GOG4-A012</t>
  </si>
  <si>
    <t>Смеситель G.Lauf  для кухни  с выдвижным изливом, ø35, гайка корона GOG4-A012</t>
  </si>
  <si>
    <t>5 077.83 руб.</t>
  </si>
  <si>
    <t>SMS-180713</t>
  </si>
  <si>
    <t>LOT3-A010</t>
  </si>
  <si>
    <t>смеситель G.Lauf для ванны с литым изливом, ø35 кнопочное переключение, ручка джойстик</t>
  </si>
  <si>
    <t>4 331.67 руб.</t>
  </si>
  <si>
    <t>SMS-180714</t>
  </si>
  <si>
    <t>ZAP4-G090</t>
  </si>
  <si>
    <t>смеситель G.Lauf для кух. м. с пов. изл, ø35, нерж. Сталь, гайка ZAP4-G090</t>
  </si>
  <si>
    <t>4 652.54 руб.</t>
  </si>
  <si>
    <t>SMS-180715</t>
  </si>
  <si>
    <t>ZAP4-G090KB</t>
  </si>
  <si>
    <t>смеситель G.Lauf для кух. м. с пов. изл, ø35, нерж. Сталь, гайка ЧЕРНЫЙ ZAP4-G090KB</t>
  </si>
  <si>
    <t>5 036.98 руб.</t>
  </si>
  <si>
    <t>SMS-180716</t>
  </si>
  <si>
    <t>ZAP4-H090</t>
  </si>
  <si>
    <t>смеситель G.Lauf для кух. м. с пов. изл, ø35, нерж. Сталь, гайка ZAP4-H090</t>
  </si>
  <si>
    <t>3 163.24 руб.</t>
  </si>
  <si>
    <t>SMS-180717</t>
  </si>
  <si>
    <t>ZAP4-H090KB</t>
  </si>
  <si>
    <t>смеситель G.Lauf для кух. м. с пов. изл, ø35, нерж. Сталь, гайка ЧЕРНЫЙ ZAP4-H090KB</t>
  </si>
  <si>
    <t>3 373.45 руб.</t>
  </si>
  <si>
    <t>SMS-180718</t>
  </si>
  <si>
    <t>ZAP4-H090MG</t>
  </si>
  <si>
    <t>смеситель G.Lauf для кух. м. с пов. изл, ø35, нерж. Сталь, гайка ГРАФИТ ZAP4-H090MG</t>
  </si>
  <si>
    <t>SMS-180719</t>
  </si>
  <si>
    <t>GOB1-B134</t>
  </si>
  <si>
    <t>смеситель G.Lauf высокий для умывальника, ø35, гайка-корона, GOB1-B134</t>
  </si>
  <si>
    <t>SMS-180720</t>
  </si>
  <si>
    <t>ZOK1-A036YB</t>
  </si>
  <si>
    <t>см-ль для кух. мойки, картридж 3 ступени ø35, цвет ХРОМ+ЧЕРНЫЙ мат,  гайка корона (1/10шт)</t>
  </si>
  <si>
    <t>3 985.08 руб.</t>
  </si>
  <si>
    <t>SMS-180721</t>
  </si>
  <si>
    <t>ZOK4-A036YB</t>
  </si>
  <si>
    <t>см-ль для кухни, картридж 3 ступени ø35, цвет ХРОМ+ЧЕРНЫЙ мат,  гайка корона (1/10шт)</t>
  </si>
  <si>
    <t>4 265.08 руб.</t>
  </si>
  <si>
    <t>SMS-180722</t>
  </si>
  <si>
    <t>ZOK7-A036YB</t>
  </si>
  <si>
    <t>см-ль для ванны с длин плоским изливом, картридж 3 ступени ø35, цвет ХРОМ+ЧЕРНЫЙ мат (1/8шт)</t>
  </si>
  <si>
    <t>6 034.37 руб.</t>
  </si>
  <si>
    <t>SMS-180723</t>
  </si>
  <si>
    <t>ZAP18-B090</t>
  </si>
  <si>
    <t>смеситель G.Lauf под фильтр для кух. м. с пов. изл, ø35/ø25, нерж. Сталь, гайка (1/10шт)</t>
  </si>
  <si>
    <t>3 455.35 руб.</t>
  </si>
  <si>
    <t>SMS-180724</t>
  </si>
  <si>
    <t>ZAP18-C090</t>
  </si>
  <si>
    <t>SMS-180725</t>
  </si>
  <si>
    <t>UST-1090</t>
  </si>
  <si>
    <t>Стойка для душа нерж сталь ХРОМ (в комп. Лейка , держатель, шланг, рег. мыльница) UST-1090 (5шт)</t>
  </si>
  <si>
    <t>4 619.24 руб.</t>
  </si>
  <si>
    <t>SMS-180726</t>
  </si>
  <si>
    <t>UST-1090YB</t>
  </si>
  <si>
    <t>Стойка для душа нерж сталь ЧЕРНАЯ (в комп. лейка, держатель, шланг, рег. мыльница) (5шт)</t>
  </si>
  <si>
    <t>5 132.32 руб.</t>
  </si>
  <si>
    <t>SMS-180727</t>
  </si>
  <si>
    <t>UCG-2130-30cm</t>
  </si>
  <si>
    <t>излив G.Lauf круглый для ванны 300 мм, нерж. UCG-2130-30cm (9/90шт)</t>
  </si>
  <si>
    <t>270.32 руб.</t>
  </si>
  <si>
    <t>SMS-180728</t>
  </si>
  <si>
    <t>UCK-2223</t>
  </si>
  <si>
    <t>Аэратор наружная резьба без корпусной (100/1000шт)</t>
  </si>
  <si>
    <t>51.46 руб.</t>
  </si>
  <si>
    <t>SMS-180729</t>
  </si>
  <si>
    <t>EZA4-D090YB</t>
  </si>
  <si>
    <t>см-ль для кух. мойки с пов. изл, ø35,  нерж. сталь, цвет ЧЕРНЫЙ МАТОВЫЙ, гайка корона</t>
  </si>
  <si>
    <t>SMS-180730</t>
  </si>
  <si>
    <t>UST-2010</t>
  </si>
  <si>
    <t>Стойка для душа нерж сталь ХРОМ (в комп. Лейка , держатель, шланг, рег. мыльница) (5шт)</t>
  </si>
  <si>
    <t>5 543.24 руб.</t>
  </si>
  <si>
    <t>SMS-180731</t>
  </si>
  <si>
    <t>UST-2010YB</t>
  </si>
  <si>
    <t>Стойка для душа нерж сталь ЧЕРНАЯ (в комп. Лейка , держатель, шланг, рег. мыльница) (5шт)</t>
  </si>
  <si>
    <t>6 096.93 руб.</t>
  </si>
  <si>
    <t>SMS-180732</t>
  </si>
  <si>
    <t>ZOK4-A036PW</t>
  </si>
  <si>
    <t>см-ль для кухни, картридж 3 ступени ø35, цвет ХРОМ+БЕЛЫЙ мат,  гайка корона (1/10шт)</t>
  </si>
  <si>
    <t>SMS-180733</t>
  </si>
  <si>
    <t>ZOK7-A036PW</t>
  </si>
  <si>
    <t>см-ль для ванны с длин плоским изливом, картридж 3 ступени ø35, цвет ХРОМ+БЕЛЫЙ мат (1/10шт)</t>
  </si>
  <si>
    <t>SMS-180734</t>
  </si>
  <si>
    <t>SEA16-B001MG</t>
  </si>
  <si>
    <t>Душевая система с изливом, ø35, кнопоч. переключ. латунь, ГРАФИТ темный мат, цвет индикация (1/5шт)</t>
  </si>
  <si>
    <t>12 549.37 руб.</t>
  </si>
  <si>
    <t>SMS-180735</t>
  </si>
  <si>
    <t>ZAM18-F090YB</t>
  </si>
  <si>
    <t>Смеситель для кухни с фильтром (биканальный), ЧЕРНЫЙ излив, ХРОМ корпус (10/1шт)</t>
  </si>
  <si>
    <t>5 259.45 руб.</t>
  </si>
  <si>
    <t>SMS-180736</t>
  </si>
  <si>
    <t>ZAM18-G090YB</t>
  </si>
  <si>
    <t>Смеситель для кухни с фильтром (биканальный), ЧЕРНЫЙ излив и корпус (10/1шт)</t>
  </si>
  <si>
    <t>5 471.35 руб.</t>
  </si>
  <si>
    <t>SMS-180740</t>
  </si>
  <si>
    <t>SEA16-A001MG</t>
  </si>
  <si>
    <t>Душевая система с изливом, ø35, кнопочное переключение., латунь,  ГРАФИТ темный мат (1/5шт)</t>
  </si>
  <si>
    <t>10 474.55 руб.</t>
  </si>
  <si>
    <t>SMS-190001</t>
  </si>
  <si>
    <t>FAB1-A020</t>
  </si>
  <si>
    <t>см-ль для умывальника, кер. картридж ⌀25, крепление на гайке-втулке, хром FAB1-A020</t>
  </si>
  <si>
    <t>1 505.94 руб.</t>
  </si>
  <si>
    <t>SMS-190002</t>
  </si>
  <si>
    <t>FAB5-A020</t>
  </si>
  <si>
    <t>см-ль для ванной, кер. картридж ⌀25, хром FAB5-A020</t>
  </si>
  <si>
    <t>1 949.40 руб.</t>
  </si>
  <si>
    <t>SMS-190003</t>
  </si>
  <si>
    <t>FAB6-A020</t>
  </si>
  <si>
    <t>см-ль для ванной, кер. картридж ⌀25, карт. дивертор, излив 350мм, хром FAB6-A020</t>
  </si>
  <si>
    <t>2 577.51 руб.</t>
  </si>
  <si>
    <t>SMS-190004</t>
  </si>
  <si>
    <t>FAB7-A020</t>
  </si>
  <si>
    <t>см-ль для ванной, кер. картридж ⌀25, встр. дивертор, излив 350мм, хром FAB7-A020</t>
  </si>
  <si>
    <t>2 589.62 руб.</t>
  </si>
  <si>
    <t>SMS-190005</t>
  </si>
  <si>
    <t>SIT1-A182</t>
  </si>
  <si>
    <t>см-ль для умывальника, кер. картридж ⌀40, гайка кор., хром SIT1-A182</t>
  </si>
  <si>
    <t>2 176.43 руб.</t>
  </si>
  <si>
    <t>SMS-190007</t>
  </si>
  <si>
    <t>SIT5-A182</t>
  </si>
  <si>
    <t>см-ль для душ-кабины, кер. картридж ⌀40, хром SIT5-A182</t>
  </si>
  <si>
    <t>2 420.11 руб.</t>
  </si>
  <si>
    <t>SMS-190008</t>
  </si>
  <si>
    <t>SIT7-A182</t>
  </si>
  <si>
    <t>см-ль для ванной, кер. картридж ⌀40, карт. пер. в корпусе, излив 350мм, хром SIT7-A182</t>
  </si>
  <si>
    <t>3 909.40 руб.</t>
  </si>
  <si>
    <t>SMS-190009</t>
  </si>
  <si>
    <t>SIT1-A182YB</t>
  </si>
  <si>
    <t>см-ль для умывальника, кер. картридж ⌀40, гайка кор., черный SIT1-A182YB</t>
  </si>
  <si>
    <t>SMS-190014</t>
  </si>
  <si>
    <t>LUN1-A031</t>
  </si>
  <si>
    <t>см-ль для умывальника, кер. картридж ⌀40, шпилька, хром LUN1-A031</t>
  </si>
  <si>
    <t>1 590.70 руб.</t>
  </si>
  <si>
    <t>SMS-190015</t>
  </si>
  <si>
    <t>LUN3-A031</t>
  </si>
  <si>
    <t>см-ль для ванной, кер. картридж ⌀40, клапанный пер. в корпусе, хром LUN3-A031</t>
  </si>
  <si>
    <t>2 713.73 руб.</t>
  </si>
  <si>
    <t>SMS-190016</t>
  </si>
  <si>
    <t>LUN5-A031</t>
  </si>
  <si>
    <t>см-ль для душ-кабины, кер. картридж ⌀40, хром LUN5-A031</t>
  </si>
  <si>
    <t>1 896.43 руб.</t>
  </si>
  <si>
    <t>SMS-190017</t>
  </si>
  <si>
    <t>LUN6-A031</t>
  </si>
  <si>
    <t>см-ль для ванной, кер. карт. ⌀40, выносн. карт. дивертор, излив 350мм, хром LUN6-A031</t>
  </si>
  <si>
    <t>2 898.38 руб.</t>
  </si>
  <si>
    <t>SMS-190018</t>
  </si>
  <si>
    <t>LUN7-A031</t>
  </si>
  <si>
    <t>см-ль для ванной, кер. картридж ⌀40, карт. пер. в корпусе, излив 350мм, хром LUN7-A031</t>
  </si>
  <si>
    <t>SMS-190019</t>
  </si>
  <si>
    <t>SUP1-A045</t>
  </si>
  <si>
    <t>см-ль для умывальника, кер. картридж ⌀35, шпилька, хром SUP1-A045</t>
  </si>
  <si>
    <t>1 272.86 руб.</t>
  </si>
  <si>
    <t>SMS-190020</t>
  </si>
  <si>
    <t>EZA1-B090</t>
  </si>
  <si>
    <t>см-ль для умывальника монолитный, ø35, нерж. cталь, EZA1-B090</t>
  </si>
  <si>
    <t>SMS-190021</t>
  </si>
  <si>
    <t>EZA1-C090</t>
  </si>
  <si>
    <t>см-ль для раковины-чаши монолитный, ø35, нерж. cталь, EZA1-С090</t>
  </si>
  <si>
    <t>2 409.51 руб.</t>
  </si>
  <si>
    <t>SMS-190022</t>
  </si>
  <si>
    <t>EZA16-A090</t>
  </si>
  <si>
    <t>Душевая система с тропич душ, БЕЗ ИЗЛИВА, одноруч, ø35, встр. пер., нерж. сталь, EZA16-A090 (1/10шт)</t>
  </si>
  <si>
    <t>7 550.91 руб.</t>
  </si>
  <si>
    <t>SMS-190023</t>
  </si>
  <si>
    <t>JAT1-A094</t>
  </si>
  <si>
    <t>см-ль для умывальника монолитный, ø35, нерж. cталь, JAT1-A094</t>
  </si>
  <si>
    <t>2 323.24 руб.</t>
  </si>
  <si>
    <t>SMS-190024</t>
  </si>
  <si>
    <t>JAT1-B094</t>
  </si>
  <si>
    <t>см-ль для раковины-чаши, ø35, нерж. cталь, JAT1-B094</t>
  </si>
  <si>
    <t>2 607.78 руб.</t>
  </si>
  <si>
    <t>SMS-190025</t>
  </si>
  <si>
    <t>JAT3-A094</t>
  </si>
  <si>
    <t>см-ль для ванны с кор. с пов. изл, ø35, перекл. изливом, нерж. cталь, JAT3-A094</t>
  </si>
  <si>
    <t>4 302.91 руб.</t>
  </si>
  <si>
    <t>SMS-190026</t>
  </si>
  <si>
    <t>JAT7-A094</t>
  </si>
  <si>
    <t>см-ль для ванны, ø35, нерж. cталь, JAT7-A094</t>
  </si>
  <si>
    <t>5 583.35 руб.</t>
  </si>
  <si>
    <t>SMS-190027</t>
  </si>
  <si>
    <t>JAT16-A094</t>
  </si>
  <si>
    <t>Душевая система с тропич душ, одноруч. с изливом, ø35, встр. пер., нерж. сталь, JAT16-A094</t>
  </si>
  <si>
    <t>9 081.07 руб.</t>
  </si>
  <si>
    <t>SMS-190028</t>
  </si>
  <si>
    <t>EC-200</t>
  </si>
  <si>
    <t>Смеситель-водонагреватель проточного типа EC-200</t>
  </si>
  <si>
    <t>SMS-190029</t>
  </si>
  <si>
    <t>EC-210</t>
  </si>
  <si>
    <t>Смеситель-водонагреватель проточного типа, 3000Вт, без УЗО, EC-210</t>
  </si>
  <si>
    <t>3 320.65 руб.</t>
  </si>
  <si>
    <t>SMS-190030</t>
  </si>
  <si>
    <t>EC-300</t>
  </si>
  <si>
    <t>Смеситель-водонагреватель проточного типа, 3000Вт, без УЗО, EC-300</t>
  </si>
  <si>
    <t>SMS-190031</t>
  </si>
  <si>
    <t>EC-301</t>
  </si>
  <si>
    <t>Смеситель-водонагреватель проточного типа, 3000Вт, + УЗО, EC-301</t>
  </si>
  <si>
    <t>3 830.70 руб.</t>
  </si>
  <si>
    <t>SMS-190032</t>
  </si>
  <si>
    <t>EC-320</t>
  </si>
  <si>
    <t>Смеситель-водонагреватель проточного типа, 3000Вт, LED-экран, без УЗО, EC-320</t>
  </si>
  <si>
    <t>SMS-190033</t>
  </si>
  <si>
    <t>EC-330</t>
  </si>
  <si>
    <t>Смеситель-водонагреватель проточного типа, нерж. корпус , LED-экран, без УЗО, EC-330</t>
  </si>
  <si>
    <t>5 908.75 руб.</t>
  </si>
  <si>
    <t>SMS-190034</t>
  </si>
  <si>
    <t>JIK3-A102-A</t>
  </si>
  <si>
    <t>см-ль для ванной, шаровое переключение, кер. (1/2) 90° JIK3-A102-A</t>
  </si>
  <si>
    <t>1 996.32 руб.</t>
  </si>
  <si>
    <t>SMS-190035</t>
  </si>
  <si>
    <t>JIK5-A102-A</t>
  </si>
  <si>
    <t>см-ль для душ.кабины с шланг., кер.(1/2) 90° JIK5-A102-A</t>
  </si>
  <si>
    <t>1 589.19 руб.</t>
  </si>
  <si>
    <t>SMS-190036</t>
  </si>
  <si>
    <t>JIK7-A102-A</t>
  </si>
  <si>
    <t>см-ль для ванной длинный излив, шаровое переключение, кер. (1/2) 90° JIK7-A102-A</t>
  </si>
  <si>
    <t>1 879.78 руб.</t>
  </si>
  <si>
    <t>SMS-190037</t>
  </si>
  <si>
    <t>JIK16-A102-A</t>
  </si>
  <si>
    <t>Душевая система с тропич душем, двуручков, БЕЗ ИЗЛИВА И ЛЕЙКИ, кер. (1/2) 90° JIK16-A102-A (1/7шт)</t>
  </si>
  <si>
    <t>2 638.05 руб.</t>
  </si>
  <si>
    <t>SMS-190038</t>
  </si>
  <si>
    <t>JIK16-B102-A</t>
  </si>
  <si>
    <t>Душевая система с тропич душем, двуручков, БЕЗ ИЗЛИВА, с лейкой кер. (1/2) 90° JIK16-B102-A</t>
  </si>
  <si>
    <t>3 526.48 руб.</t>
  </si>
  <si>
    <t>SMS-190039</t>
  </si>
  <si>
    <t>SSJ-1231</t>
  </si>
  <si>
    <t>Душевая стойка Solone нерж. сталь SSJ-1231</t>
  </si>
  <si>
    <t>3 158.70 руб.</t>
  </si>
  <si>
    <t>SMS-190050</t>
  </si>
  <si>
    <t>SIT3-A182</t>
  </si>
  <si>
    <t>см-ль для ванной, кер. картридж ⌀40, картриджный пер. в корпусе, хром SITB3-A182</t>
  </si>
  <si>
    <t>3 976.00 руб.</t>
  </si>
  <si>
    <t>SMS-260001</t>
  </si>
  <si>
    <t>V204022</t>
  </si>
  <si>
    <t>Смеситель одноручковый для кухни с плоским поворотным средним изливом VIEIR (1/10шт)</t>
  </si>
  <si>
    <t>2 777.70 руб.</t>
  </si>
  <si>
    <t>SMS-260002</t>
  </si>
  <si>
    <t>V093521</t>
  </si>
  <si>
    <t>Смеситель одноручковый для кухни с поворотным высоким изливом VIEIR (1/10шт)</t>
  </si>
  <si>
    <t>2 682.62 руб.</t>
  </si>
  <si>
    <t>SMS-260003</t>
  </si>
  <si>
    <t>V103521</t>
  </si>
  <si>
    <t>2 684.21 руб.</t>
  </si>
  <si>
    <t>SMS-260004</t>
  </si>
  <si>
    <t>V174021</t>
  </si>
  <si>
    <t>3 403.02 руб.</t>
  </si>
  <si>
    <t>SMS-260005</t>
  </si>
  <si>
    <t>V174022</t>
  </si>
  <si>
    <t>2 353.18 руб.</t>
  </si>
  <si>
    <t>SMS-260006</t>
  </si>
  <si>
    <t>V184021</t>
  </si>
  <si>
    <t>3 620.23 руб.</t>
  </si>
  <si>
    <t>SMS-260007</t>
  </si>
  <si>
    <t>V184022</t>
  </si>
  <si>
    <t>2 485.16 руб.</t>
  </si>
  <si>
    <t>SMS-260008</t>
  </si>
  <si>
    <t>V194021</t>
  </si>
  <si>
    <t>2 967.95 руб.</t>
  </si>
  <si>
    <t>SMS-260009</t>
  </si>
  <si>
    <t>V194022</t>
  </si>
  <si>
    <t>2 113.63 руб.</t>
  </si>
  <si>
    <t>SMS-260010</t>
  </si>
  <si>
    <t>V204021</t>
  </si>
  <si>
    <t>2 730.89 руб.</t>
  </si>
  <si>
    <t>SMS-260011</t>
  </si>
  <si>
    <t>V033521</t>
  </si>
  <si>
    <t>3 052.69 руб.</t>
  </si>
  <si>
    <t>SMS-260012</t>
  </si>
  <si>
    <t>V033522</t>
  </si>
  <si>
    <t>2 587.55 руб.</t>
  </si>
  <si>
    <t>SMS-260013</t>
  </si>
  <si>
    <t>V033523</t>
  </si>
  <si>
    <t>Смеситель одноручковый для кухни с гибким изливом VIEIR (1/10шт)</t>
  </si>
  <si>
    <t>3 114.13 руб.</t>
  </si>
  <si>
    <t>SMS-260014</t>
  </si>
  <si>
    <t>V063521</t>
  </si>
  <si>
    <t>2 706.03 руб.</t>
  </si>
  <si>
    <t>SMS-260015</t>
  </si>
  <si>
    <t>V063522</t>
  </si>
  <si>
    <t>SMS-260016</t>
  </si>
  <si>
    <t>V073521</t>
  </si>
  <si>
    <t>3 217.65 руб.</t>
  </si>
  <si>
    <t>SMS-260017</t>
  </si>
  <si>
    <t>V073522</t>
  </si>
  <si>
    <t>2 682.32 руб.</t>
  </si>
  <si>
    <t>SMS-260018</t>
  </si>
  <si>
    <t>V243511</t>
  </si>
  <si>
    <t>Смеситель одноручковый для умывальника  VIEIR (1/10шт)</t>
  </si>
  <si>
    <t>4 089.68 руб.</t>
  </si>
  <si>
    <t>SMS-260019</t>
  </si>
  <si>
    <t>V243521</t>
  </si>
  <si>
    <t>3 194.95 руб.</t>
  </si>
  <si>
    <t>SMS-260020</t>
  </si>
  <si>
    <t>V013521</t>
  </si>
  <si>
    <t>3 076.10 руб.</t>
  </si>
  <si>
    <t>SMS-260021</t>
  </si>
  <si>
    <t>V093520</t>
  </si>
  <si>
    <t>3 868.89 руб.</t>
  </si>
  <si>
    <t>SMS-260022</t>
  </si>
  <si>
    <t>V093523</t>
  </si>
  <si>
    <t>SMS-260023</t>
  </si>
  <si>
    <t>V103520</t>
  </si>
  <si>
    <t>3 556.25 руб.</t>
  </si>
  <si>
    <t>SMS-260024</t>
  </si>
  <si>
    <t>V103523</t>
  </si>
  <si>
    <t>2 769.33 руб.</t>
  </si>
  <si>
    <t>SMS-260025</t>
  </si>
  <si>
    <t>V120122</t>
  </si>
  <si>
    <t>Смеситель двуручковый для кухни с поворотным высоким изливом VIEIR (1/10шт)</t>
  </si>
  <si>
    <t>3 140.46 руб.</t>
  </si>
  <si>
    <t>SMS-260026</t>
  </si>
  <si>
    <t>V150112</t>
  </si>
  <si>
    <t>Смеситель двуручковый для кухни  VIEIR (1/10шт)</t>
  </si>
  <si>
    <t>3 510.52 руб.</t>
  </si>
  <si>
    <t>SMS-260027</t>
  </si>
  <si>
    <t>V150121</t>
  </si>
  <si>
    <t>3 402.28 руб.</t>
  </si>
  <si>
    <t>SMS-260028</t>
  </si>
  <si>
    <t>V130122</t>
  </si>
  <si>
    <t>3 000.03 руб.</t>
  </si>
  <si>
    <t>SMS-260029</t>
  </si>
  <si>
    <t>V130112</t>
  </si>
  <si>
    <t>3 046.84 руб.</t>
  </si>
  <si>
    <t>SMS-260030</t>
  </si>
  <si>
    <t>V023521F</t>
  </si>
  <si>
    <t>Смеситель одноручковый для кухни с гибким изливом (белый) VIEIR (1/10шт)</t>
  </si>
  <si>
    <t>3 519.30 руб.</t>
  </si>
  <si>
    <t>SMS-260031</t>
  </si>
  <si>
    <t>V043521F</t>
  </si>
  <si>
    <t>3 800.14 руб.</t>
  </si>
  <si>
    <t>SMS-260032</t>
  </si>
  <si>
    <t>V023521H</t>
  </si>
  <si>
    <t>Смеситель одноручковый для кухни с гибким изливом (серый) VIEIR (1/10шт)</t>
  </si>
  <si>
    <t>SMS-260033</t>
  </si>
  <si>
    <t>V043521H</t>
  </si>
  <si>
    <t>4 060.51 руб.</t>
  </si>
  <si>
    <t>SMS-260034</t>
  </si>
  <si>
    <t>V023521C</t>
  </si>
  <si>
    <t>Смеситель одноручковый для кухни с гибким изливом (черный) VIEIR (1/10шт)</t>
  </si>
  <si>
    <t>SMS-260035</t>
  </si>
  <si>
    <t>V043521С</t>
  </si>
  <si>
    <t>3 939.10 руб.</t>
  </si>
  <si>
    <t>SMS-260036</t>
  </si>
  <si>
    <t>V15001B</t>
  </si>
  <si>
    <t>Смеситель комбинированный для кухни СРЕДНИЙ с краном для питьевой воды (БЕЖЕВЫЙ) VIEIR (10шт)</t>
  </si>
  <si>
    <t>6 045.41 руб.</t>
  </si>
  <si>
    <t>SMS-260037</t>
  </si>
  <si>
    <t>V15001C</t>
  </si>
  <si>
    <t>Смеситель комбинированный для кухни СРЕДНИЙ с краном для питьевой воды (ЧЕРНЫЙ) VIEIR (10шт)</t>
  </si>
  <si>
    <t>SMS-260038</t>
  </si>
  <si>
    <t>V15002</t>
  </si>
  <si>
    <t>Смеситель комбинированный для кухни ВЫСОКИЙ с краном для питьевой воды (ХРОМ) VIEIR (10шт)</t>
  </si>
  <si>
    <t>4 778.70 руб.</t>
  </si>
  <si>
    <t>SMS-260039</t>
  </si>
  <si>
    <t>V15002B</t>
  </si>
  <si>
    <t>Смеситель комбинированный для кухни ВЫСОКИЙ с краном для питьевой воды (БЕЖЕВЫЙ) VIEIR (10шт)</t>
  </si>
  <si>
    <t>SMS-260040</t>
  </si>
  <si>
    <t>V15002C</t>
  </si>
  <si>
    <t>Смеситель комбинированный для кухни ВЫСОКИЙ с краном для питьевой воды (ЧЕРНЫЙ) VIEIR (10шт)</t>
  </si>
  <si>
    <t>SMS-260041</t>
  </si>
  <si>
    <t>V15002G</t>
  </si>
  <si>
    <t>Смеситель комбинированный для кухни ВЫСОКИЙ с краном для питьевой воды (МАТ. ХРОМ) VIEIR (10шт)</t>
  </si>
  <si>
    <t>5 249.69 руб.</t>
  </si>
  <si>
    <t>SMS-260042</t>
  </si>
  <si>
    <t>V15003B</t>
  </si>
  <si>
    <t>5 371.10 руб.</t>
  </si>
  <si>
    <t>SMS-260043</t>
  </si>
  <si>
    <t>V15003</t>
  </si>
  <si>
    <t>SMS-260044</t>
  </si>
  <si>
    <t>V15003C</t>
  </si>
  <si>
    <t>SMS-260045</t>
  </si>
  <si>
    <t>V15003D</t>
  </si>
  <si>
    <t>Смеситель комбинированный для кухни СРЕДНИЙ с краном для питьевой воды (БРОНЗА) VIEIR (10шт)</t>
  </si>
  <si>
    <t>5 931.32 руб.</t>
  </si>
  <si>
    <t>SMS-260046</t>
  </si>
  <si>
    <t>V15004</t>
  </si>
  <si>
    <t>5 237.99 руб.</t>
  </si>
  <si>
    <t>SMS-260047</t>
  </si>
  <si>
    <t>V15005F</t>
  </si>
  <si>
    <t>Смеситель комбинированный для кухни гибкий излив с краном для питьевой воды (БЕЛЫЙ) VIEIR (10шт)</t>
  </si>
  <si>
    <t>10 088.01 руб.</t>
  </si>
  <si>
    <t>SMS-260048</t>
  </si>
  <si>
    <t>V15005C</t>
  </si>
  <si>
    <t>Смеситель комбинированный для кухни гибкий излив с краном для питьевой воды (ЧЕРНЫЙ) VIEIR (10шт)</t>
  </si>
  <si>
    <t>SMS-260049</t>
  </si>
  <si>
    <t>V15006C</t>
  </si>
  <si>
    <t>5 738.24 руб.</t>
  </si>
  <si>
    <t>SMS-260050</t>
  </si>
  <si>
    <t>V15006F</t>
  </si>
  <si>
    <t>SMS-260051</t>
  </si>
  <si>
    <t>V15007</t>
  </si>
  <si>
    <t>8 648.49 руб.</t>
  </si>
  <si>
    <t>SMS-260052</t>
  </si>
  <si>
    <t>V15007F</t>
  </si>
  <si>
    <t>8 650.38 руб.</t>
  </si>
  <si>
    <t>SMS-260053</t>
  </si>
  <si>
    <t>V15007G</t>
  </si>
  <si>
    <t>Смеситель комбинированный для кухни гибкий излив с краном для питьевой воды (СЕРЫЙ) VIEIR (10шт)</t>
  </si>
  <si>
    <t>6 962.54 руб.</t>
  </si>
  <si>
    <t>SMS-260054</t>
  </si>
  <si>
    <t>V15007C</t>
  </si>
  <si>
    <t>SMS-260114</t>
  </si>
  <si>
    <t>V263521C</t>
  </si>
  <si>
    <t>Смеситель для кухни “VIEIR  (10/1шт)  (10/1шт)</t>
  </si>
  <si>
    <t>3 757.72 руб.</t>
  </si>
  <si>
    <t>SMS-260133</t>
  </si>
  <si>
    <t>V043521</t>
  </si>
  <si>
    <t>Смеситель для кухни с гибким изливом (10/1шт)</t>
  </si>
  <si>
    <t>3 741.63 руб.</t>
  </si>
  <si>
    <t>SMS-260149</t>
  </si>
  <si>
    <t>V15001</t>
  </si>
  <si>
    <t>Смеситель для кухни с фильтром и поворотным изливом (биканальный) (10/1шт)</t>
  </si>
  <si>
    <t>5 891.83 руб.</t>
  </si>
  <si>
    <t>SMS-260152</t>
  </si>
  <si>
    <t>V15001G</t>
  </si>
  <si>
    <t>6 266.28 руб.</t>
  </si>
  <si>
    <t>SMS-260157</t>
  </si>
  <si>
    <t>V15003G</t>
  </si>
  <si>
    <t>SMS-260161</t>
  </si>
  <si>
    <t>V15004G</t>
  </si>
  <si>
    <t>5 710.45 руб.</t>
  </si>
  <si>
    <t>SMS-260166</t>
  </si>
  <si>
    <t>V15006G</t>
  </si>
  <si>
    <t>Смеситель для кухни с фильтром,  с гибким изливом (10/1шт)</t>
  </si>
  <si>
    <t>6 210.70 руб.</t>
  </si>
  <si>
    <t>SMS-260500</t>
  </si>
  <si>
    <t>V15020</t>
  </si>
  <si>
    <t>Смеситель из нержавеющей стали для кухни “VIEIR  (10/1шт)  (10/1шт)</t>
  </si>
  <si>
    <t>2 059.51 руб.</t>
  </si>
  <si>
    <t>SMS-260501</t>
  </si>
  <si>
    <t>V15020(F1)</t>
  </si>
  <si>
    <t>3 073.88 руб.</t>
  </si>
  <si>
    <t>SMS-260502</t>
  </si>
  <si>
    <t>V15020(H)</t>
  </si>
  <si>
    <t>SMS-260503</t>
  </si>
  <si>
    <t>V15020(M)</t>
  </si>
  <si>
    <t>SMS-260506</t>
  </si>
  <si>
    <t>V15020(B)</t>
  </si>
  <si>
    <t>SMS-260508</t>
  </si>
  <si>
    <t>V15021(F1)</t>
  </si>
  <si>
    <t>3 245.77 руб.</t>
  </si>
  <si>
    <t>SMS-260509</t>
  </si>
  <si>
    <t>V15021(A)</t>
  </si>
  <si>
    <t>SMS-260510</t>
  </si>
  <si>
    <t>V15021(B)</t>
  </si>
  <si>
    <t>SMS-260513</t>
  </si>
  <si>
    <t>V15023</t>
  </si>
  <si>
    <t>SMS-260517</t>
  </si>
  <si>
    <t>V15024(M)</t>
  </si>
  <si>
    <t>4 812.34 руб.</t>
  </si>
  <si>
    <t>SMS-260521</t>
  </si>
  <si>
    <t>V15026</t>
  </si>
  <si>
    <t>5 649.02 руб.</t>
  </si>
  <si>
    <t>SMS-290001</t>
  </si>
  <si>
    <t>FAB4-A020</t>
  </si>
  <si>
    <t>смеситель для кух. мойки, кер. картридж ⌀25, крепление на гайке-втулке, хром FAB4-A020</t>
  </si>
  <si>
    <t>1 569.51 руб.</t>
  </si>
  <si>
    <t>SMS-290002</t>
  </si>
  <si>
    <t>SIT4-A182</t>
  </si>
  <si>
    <t>смеситель для кух. мойки, кер. картридж ⌀40, гайка (корона), излив 250мм, хром SIT4-A182</t>
  </si>
  <si>
    <t>1 788.97 руб.</t>
  </si>
  <si>
    <t>SMS-290003</t>
  </si>
  <si>
    <t>SIT4-B182</t>
  </si>
  <si>
    <t>смеситель для кух. мойки, кер. картридж ⌀40, гайка (корона), излив 150мм, хром SIT4-B182</t>
  </si>
  <si>
    <t>SMS-290004</t>
  </si>
  <si>
    <t>LOP4-A043</t>
  </si>
  <si>
    <t>смеситель для кух. мойки, кер. картридж ⌀40, шпилька, хром LOP4-A043</t>
  </si>
  <si>
    <t>1 807.13 руб.</t>
  </si>
  <si>
    <t>SMS-290005</t>
  </si>
  <si>
    <t>LOP4-A043KW</t>
  </si>
  <si>
    <t>смеситель для кух. мойки, кер. картридж ⌀40, шпилька, белый LOP4-A043KW</t>
  </si>
  <si>
    <t>2 392.86 руб.</t>
  </si>
  <si>
    <t>SMS-290006</t>
  </si>
  <si>
    <t>LOP4-B043</t>
  </si>
  <si>
    <t>смеситель для кух. мойки, кер. картридж ⌀40, шпилька, гибкий излив, хром LOP4-B043</t>
  </si>
  <si>
    <t>1 914.59 руб.</t>
  </si>
  <si>
    <t>SMS-290007</t>
  </si>
  <si>
    <t>SUP4-A045</t>
  </si>
  <si>
    <t>смеситель для кух. мойки, кер. картридж ⌀35, шпилька, хром SUP4-A045</t>
  </si>
  <si>
    <t>1 566.48 руб.</t>
  </si>
  <si>
    <t>SMS-290008</t>
  </si>
  <si>
    <t>SUP4-B045</t>
  </si>
  <si>
    <t>смеситель для кух. мойки, кер. картридж ⌀35, шпилька, хром SUP4-B045</t>
  </si>
  <si>
    <t>1 366.81 руб.</t>
  </si>
  <si>
    <t>SMS-290009</t>
  </si>
  <si>
    <t>KAK4-A043</t>
  </si>
  <si>
    <t>смеситель для кух. мойки, кер. картридж ⌀40, гайка (корона), хром KAK4-A043</t>
  </si>
  <si>
    <t>2 131.02 руб.</t>
  </si>
  <si>
    <t>SMS-290010</t>
  </si>
  <si>
    <t>KAK4-A181KB</t>
  </si>
  <si>
    <t>смеситель для кух. мойки, кер. картридж ⌀40, гайка (корона), черный KAK4-A181KB</t>
  </si>
  <si>
    <t>2 421.62 руб.</t>
  </si>
  <si>
    <t>SMS-290011</t>
  </si>
  <si>
    <t>KAK4-A181KS</t>
  </si>
  <si>
    <t>смеситель для кух. мойки, кер. картридж ⌀40, гайка (корона), песочный KAK4-A181KS</t>
  </si>
  <si>
    <t>SMS-290012</t>
  </si>
  <si>
    <t>KAK4-A181KW</t>
  </si>
  <si>
    <t>смеситель для кух. мойки, кер. картридж ⌀40, гайка (корона), белый KAK4-A181KW</t>
  </si>
  <si>
    <t>SMS-290013</t>
  </si>
  <si>
    <t>KAK4-A181KH</t>
  </si>
  <si>
    <t>смеситель для кух. мойки, кер. картридж ⌀40, гайка (корона), сатин KAK4-A181KH</t>
  </si>
  <si>
    <t>2 520.00 руб.</t>
  </si>
  <si>
    <t>SMS-290014</t>
  </si>
  <si>
    <t>KAK4-B043</t>
  </si>
  <si>
    <t>смеситель для кух. мойки, кер. картридж ⌀40, гайка (корона), гибкий излив, хром KAK4-B043</t>
  </si>
  <si>
    <t>2 276.32 руб.</t>
  </si>
  <si>
    <t>SMS-290015</t>
  </si>
  <si>
    <t>KAK4-B181</t>
  </si>
  <si>
    <t>смеситель для кух. мойки, кер. картридж ⌀40, гайка (корона), гибкий излив, хром KAK4-B181</t>
  </si>
  <si>
    <t>SMS-290016</t>
  </si>
  <si>
    <t>KAD4-A043</t>
  </si>
  <si>
    <t>смеситель для кух. мойки, кер. картридж ⌀40, гайка (корона), хром KAD4-A043</t>
  </si>
  <si>
    <t>1 860.11 руб.</t>
  </si>
  <si>
    <t>SMS-290017</t>
  </si>
  <si>
    <t>KAD4-B043</t>
  </si>
  <si>
    <t>смеситель для кух. мойки, кер. картридж ⌀40, гайка (корона), гибкий излив, хром KAD4-B043</t>
  </si>
  <si>
    <t>2 117.40 руб.</t>
  </si>
  <si>
    <t>SMS-290018</t>
  </si>
  <si>
    <t>KAP4-A043</t>
  </si>
  <si>
    <t>смеситель для кух. мойки, кер. картридж ⌀40, гайка (корона), хром KAP4-A043</t>
  </si>
  <si>
    <t>1 988.75 руб.</t>
  </si>
  <si>
    <t>SMS-290019</t>
  </si>
  <si>
    <t>4F-A045</t>
  </si>
  <si>
    <t>смеситель для кух. мойки, кер. картридж ⌀35, гайка (корона), излив 250мм, хром 4F-A045</t>
  </si>
  <si>
    <t>1 622.48 руб.</t>
  </si>
  <si>
    <t>SMS-290020</t>
  </si>
  <si>
    <t>4F-B045</t>
  </si>
  <si>
    <t>смеситель для кух. мойки, кер. картридж ⌀35, гайка (корона), излив 150мм, хром 4F-B045</t>
  </si>
  <si>
    <t>SMS-290021</t>
  </si>
  <si>
    <t>4L-A045</t>
  </si>
  <si>
    <t>смеситель для кух. мойки, кер. картридж ⌀35, шпилька, излив 250мм, хром 4L-A045 (2шт в коробке)</t>
  </si>
  <si>
    <t>SMS-290022</t>
  </si>
  <si>
    <t>4L-B045</t>
  </si>
  <si>
    <t>смеситель для кух. мойки, кер. картридж ⌀35, шпилька, излив 150мм, хром 4L-B045 (2шт в коробке)</t>
  </si>
  <si>
    <t>SMS-290023</t>
  </si>
  <si>
    <t>KEN4-A031</t>
  </si>
  <si>
    <t>смеситель для кух. мойки с вытяжным изливом, ø40, KEN4-A031</t>
  </si>
  <si>
    <t>3 178.38 руб.</t>
  </si>
  <si>
    <t>SMS-290024</t>
  </si>
  <si>
    <t>EZA4-A090</t>
  </si>
  <si>
    <t>смеситель для кух. мойки с гофр. пов. изл, ø35, нерж. Сталь, гайка EZA4-A090</t>
  </si>
  <si>
    <t>2 406.48 руб.</t>
  </si>
  <si>
    <t>SMS-290025</t>
  </si>
  <si>
    <t>EZA4-B090</t>
  </si>
  <si>
    <t>смеситель для кух. мойки с пов. изл, ø35, нерж. Сталь, гайка EZA4-B090</t>
  </si>
  <si>
    <t>2 377.73 руб.</t>
  </si>
  <si>
    <t>SMS-290026</t>
  </si>
  <si>
    <t>EZA4-C090</t>
  </si>
  <si>
    <t>смеситель для кух. мойки с пов. изл, ø35, нерж. Сталь, гайка EZA4-C090</t>
  </si>
  <si>
    <t>2 647.13 руб.</t>
  </si>
  <si>
    <t>SMS-290027</t>
  </si>
  <si>
    <t>EZA4-D090</t>
  </si>
  <si>
    <t>смеситель для кух. мойки с пов. изл, ø35, нерж. Сталь, гайка EZA4-D090</t>
  </si>
  <si>
    <t>1 752.65 руб.</t>
  </si>
  <si>
    <t>SMS-290028</t>
  </si>
  <si>
    <t>EZA4-F090KB</t>
  </si>
  <si>
    <t>смеситель для кух. мойки с гофр. Изл., ø35, нерж. Сталь, гайка, черный EZA4-F090KB</t>
  </si>
  <si>
    <t>2 613.84 руб.</t>
  </si>
  <si>
    <t>SMS-290029</t>
  </si>
  <si>
    <t>EZA4-F090GY</t>
  </si>
  <si>
    <t>смеситель для кух. мойки с гофр. Изл., ø35, нерж. Сталь, гайка, серый EZA4-F090GY</t>
  </si>
  <si>
    <t>SMS-290030</t>
  </si>
  <si>
    <t>EZA4-F090GN</t>
  </si>
  <si>
    <t>смеситель для кух. мойки с гофр. Изл., ø35, нерж. Сталь, гайка, зеленый EZA4-F090GN</t>
  </si>
  <si>
    <t>SMS-290031</t>
  </si>
  <si>
    <t>EZA4-F090BU</t>
  </si>
  <si>
    <t>смеситель для кух. мойки с гофр. Изл., ø35, нерж. Сталь, гайка, голубой EZA4-F090BU</t>
  </si>
  <si>
    <t>SMS-290032</t>
  </si>
  <si>
    <t>JAT4-A094</t>
  </si>
  <si>
    <t>смеситель для кух. мойки с пов. изл, ø35, нерж. cталь, JAT4-A094</t>
  </si>
  <si>
    <t>SMS-290033</t>
  </si>
  <si>
    <t>JAT18-A094</t>
  </si>
  <si>
    <t>смеситель для кух. мойки с доп. вытяжным изливом, нерж. Сталь, гайка JAT18-A094</t>
  </si>
  <si>
    <t>5 761.94 руб.</t>
  </si>
  <si>
    <t>SMS-290034</t>
  </si>
  <si>
    <t>SOL14-A630</t>
  </si>
  <si>
    <t>Моно смеситель, крепление на гайке SOL14-A630</t>
  </si>
  <si>
    <t>1 816.21 руб.</t>
  </si>
  <si>
    <t>SMS-290035</t>
  </si>
  <si>
    <t>SOL15-A630</t>
  </si>
  <si>
    <t>Моно смеситель, крепление на гайке SOL15-A630</t>
  </si>
  <si>
    <t>1 442.38 руб.</t>
  </si>
  <si>
    <t>SMS-290036</t>
  </si>
  <si>
    <t>JIK1-A102-A</t>
  </si>
  <si>
    <t>Моно смеситель, кер. (1/2) 90°, крепление на гайке JIK1-A102-A (4 ШТ В КОР)</t>
  </si>
  <si>
    <t>665.95 руб.</t>
  </si>
  <si>
    <t>SMS-290037</t>
  </si>
  <si>
    <t>JIK4-A102-A</t>
  </si>
  <si>
    <t>смеситель для кух. мойки, кер. (1/2) 90°, шпилька JIK4-A102-A (2 шт в кор)</t>
  </si>
  <si>
    <t>879.35 руб.</t>
  </si>
  <si>
    <t>SMS-290038</t>
  </si>
  <si>
    <t>JIK12-A102-A</t>
  </si>
  <si>
    <t>настенный смеситель для кух. мойки, кер. (1/2) 90°, настенный JIK12-A102-A</t>
  </si>
  <si>
    <t>1 325.84 руб.</t>
  </si>
  <si>
    <t>SMS-290039</t>
  </si>
  <si>
    <t>JIK12-B102-A</t>
  </si>
  <si>
    <t>настенный смеситель для кух. мойки, кер. (1/2) 90°, настенный JIK12-B102-A</t>
  </si>
  <si>
    <t>SMS-290041</t>
  </si>
  <si>
    <t>JIK13-A102-A</t>
  </si>
  <si>
    <t>Моно смеситель, кер. (1/2) 90°, настенный JIK13-A102-A (2шт в кор)</t>
  </si>
  <si>
    <t>703.78 руб.</t>
  </si>
  <si>
    <t>SMS-290042</t>
  </si>
  <si>
    <t>JIK15-A102-A</t>
  </si>
  <si>
    <t>Моно смеситель, кер. (1/2) 90°, гайка JIK15-A102-A (4 шт в кор)</t>
  </si>
  <si>
    <t>658.38 руб.</t>
  </si>
  <si>
    <t>SMS-290043</t>
  </si>
  <si>
    <t>JIK22-A101-A</t>
  </si>
  <si>
    <t>Моно смеситель, кер. (1/2) 90°, настенный JIK22-A101-A</t>
  </si>
  <si>
    <t>577.15 руб.</t>
  </si>
  <si>
    <t>SMS-290044</t>
  </si>
  <si>
    <t>JIK22-A102-A</t>
  </si>
  <si>
    <t>Моно смеситель, кер. (1/2) 90°, настенный JIK22-A102-A</t>
  </si>
  <si>
    <t>643.24 руб.</t>
  </si>
  <si>
    <t>SMS-290045</t>
  </si>
  <si>
    <t>KOA4-A722</t>
  </si>
  <si>
    <t>смеситель для кух. мойки, кер. (1/2) 90°, гайка (корона), хром KOA4-A722</t>
  </si>
  <si>
    <t>2 099.24 руб.</t>
  </si>
  <si>
    <t>SMS-290046</t>
  </si>
  <si>
    <t>KOA4-B722</t>
  </si>
  <si>
    <t>смеситель для кух. мойки, кер. (1/2) 90°, гайка (корона), хром KOA4-B722</t>
  </si>
  <si>
    <t>SMS-290047</t>
  </si>
  <si>
    <t>KOA4-C722</t>
  </si>
  <si>
    <t>смеситель для кух. мойки, кер. (1/2) 90°, гайка (корона), хром KOA4-C722</t>
  </si>
  <si>
    <t>SMS-290048</t>
  </si>
  <si>
    <t>KAK4-A181</t>
  </si>
  <si>
    <t>смеситель для кух. мойки, кер. картридж ⌀40, гайка (корона), хром KAK4-A181</t>
  </si>
  <si>
    <t>SMS-290049</t>
  </si>
  <si>
    <t>LOP4-A043KS</t>
  </si>
  <si>
    <t>смеситель для кух. мойки, кер. картридж ⌀40, шпилька, песочный LOP4-A043</t>
  </si>
  <si>
    <t>SMS-290050</t>
  </si>
  <si>
    <t>LOP4-A043KB</t>
  </si>
  <si>
    <t>смеситель для кух. мойки, кер. картридж ⌀40, шпилька, чёрный LOP4-A043</t>
  </si>
  <si>
    <t>SMS-290051</t>
  </si>
  <si>
    <t>EZA4-D090PT</t>
  </si>
  <si>
    <t>смеситель для кух. мойки ХРОМ с пов. изл, ø35, нерж. сталь, гайка EZA4-D090PT</t>
  </si>
  <si>
    <t>1 830.17 руб.</t>
  </si>
  <si>
    <t>SMS-290052</t>
  </si>
  <si>
    <t>KOP4-A094</t>
  </si>
  <si>
    <t>смеситель для кух. мойки ХРОМ с пов. изл, ø35, нерж. сталь, гайка KOP4-A094</t>
  </si>
  <si>
    <t>2 792.43 руб.</t>
  </si>
  <si>
    <t>SMS-290060</t>
  </si>
  <si>
    <t>EZA4-F090KW</t>
  </si>
  <si>
    <t>см-ль для кух. мойки с гофр. Изл., ø35, нерж. Сталь, гайка, белый EZA4-F090KW</t>
  </si>
  <si>
    <t>SMS-290061</t>
  </si>
  <si>
    <t>EZA4-D090GY</t>
  </si>
  <si>
    <t>- см-ль для кух. мойки с пов. изл, ø35,  мат. нерж. сталь, цвет СЕРЫЙ, мат., гайка EZA4-D090GY</t>
  </si>
  <si>
    <t>2 418.26 руб.</t>
  </si>
  <si>
    <t>SMS-290062</t>
  </si>
  <si>
    <t>EZA5-D090</t>
  </si>
  <si>
    <t>см-ль для душа без излива, ø35, нерж. cталь, EZA5-D090</t>
  </si>
  <si>
    <t>3 437.19 руб.</t>
  </si>
  <si>
    <t>SMS-311003</t>
  </si>
  <si>
    <t>- Дивертор шаровой</t>
  </si>
  <si>
    <t>185.00 руб.</t>
  </si>
  <si>
    <t>SMS-311006</t>
  </si>
  <si>
    <t>- Дивертор шаровой, цинк</t>
  </si>
  <si>
    <t>192.64 руб.</t>
  </si>
  <si>
    <t>SMS-320001</t>
  </si>
  <si>
    <t>переходник метрич. 1/2" вн - 22*1,5 имп/рус</t>
  </si>
  <si>
    <t>183.43 руб.</t>
  </si>
  <si>
    <t>SMS-320015</t>
  </si>
  <si>
    <t>VR21150</t>
  </si>
  <si>
    <t>Шланг для душа 1/2x1/2 силиконовый метализированный 150см упак. блистер (50шт)</t>
  </si>
  <si>
    <t>350.35 руб.</t>
  </si>
  <si>
    <t>SMS-320016</t>
  </si>
  <si>
    <t>VR21175</t>
  </si>
  <si>
    <t>Шланг для душа 1/2x1/2 силиконовый метализированный 175см упак. блистер (50шт)</t>
  </si>
  <si>
    <t>375.83 руб.</t>
  </si>
  <si>
    <t>SMS-320017</t>
  </si>
  <si>
    <t>VR21200</t>
  </si>
  <si>
    <t>Шланг для душа 1/2x1/2 силиконовый метализированный 200см упак. блистер (50шт)</t>
  </si>
  <si>
    <t>SMS-320018</t>
  </si>
  <si>
    <t>VR22150</t>
  </si>
  <si>
    <t>Шланг для душа 1/2x1/2 метал НЕРЖ  РАСТЯГИВАЮЩИЙСЯ ВРАЩАЮЩИЙСЯ 150см упак. блистер (50шт)</t>
  </si>
  <si>
    <t>297.80 руб.</t>
  </si>
  <si>
    <t>SMS-320019</t>
  </si>
  <si>
    <t>VR22175</t>
  </si>
  <si>
    <t>Шланг для душа 1/2x1/2 метал НЕРЖ  РАСТЯГИВАЮЩИЙСЯ ВРАЩАЮЩИЙСЯ 175см упак. блистер (50шт)</t>
  </si>
  <si>
    <t>321.69 руб.</t>
  </si>
  <si>
    <t>SMS-320020</t>
  </si>
  <si>
    <t>VR22200</t>
  </si>
  <si>
    <t>Шланг для душа 1/2x1/2 метал НЕРЖ  РАСТЯГИВАЮЩИЙСЯ ВРАЩАЮЩИЙСЯ  200см упак. блистер (50шт)</t>
  </si>
  <si>
    <t>345.57 руб.</t>
  </si>
  <si>
    <t>SMS-320021</t>
  </si>
  <si>
    <t>VR23150</t>
  </si>
  <si>
    <t>Шланг для душа 1/2x1/2 метал НЕРЖ  РАСТЯГИВАЮЩИЙСЯ 150см упак. блистер (50шт)</t>
  </si>
  <si>
    <t>267.54 руб.</t>
  </si>
  <si>
    <t>SMS-320022</t>
  </si>
  <si>
    <t>VR23175</t>
  </si>
  <si>
    <t>Шланг для душа 1/2x1/2 метал НЕРЖ  РАСТЯГИВАЮЩИЙСЯ 175см упак. блистер (50шт)</t>
  </si>
  <si>
    <t>288.24 руб.</t>
  </si>
  <si>
    <t>SMS-320023</t>
  </si>
  <si>
    <t>VR23200</t>
  </si>
  <si>
    <t>Шланг для душа 1/2x1/2 метал НЕРЖ  РАСТЯГИВАЮЩИЙСЯ 200см упак. блистер (50шт)</t>
  </si>
  <si>
    <t>318.50 руб.</t>
  </si>
  <si>
    <t>SMS-320024</t>
  </si>
  <si>
    <t>VR24150</t>
  </si>
  <si>
    <t>Шланг для душа 1/2х1/2 металлический LUX 150см упак. блистер (1/50шт)</t>
  </si>
  <si>
    <t>444.31 руб.</t>
  </si>
  <si>
    <t>SMS-320025</t>
  </si>
  <si>
    <t>VR24175</t>
  </si>
  <si>
    <t>Шланг для душа 1/2х1/2 металлический LUX 175см упак. блистер (1/50шт)</t>
  </si>
  <si>
    <t>476.16 руб.</t>
  </si>
  <si>
    <t>SMS-320026</t>
  </si>
  <si>
    <t>VR24200</t>
  </si>
  <si>
    <t>Шланг для душа 1/2х1/2 металлический LUX 200см упак. блистер (1/50шт)</t>
  </si>
  <si>
    <t>500.05 руб.</t>
  </si>
  <si>
    <t>SMS-320027</t>
  </si>
  <si>
    <t>VR25150</t>
  </si>
  <si>
    <t>Шланг для душа 1/2х1/2 силиконовый серебро LUX 150см упак. блистер (1/50шт)</t>
  </si>
  <si>
    <t>468.20 руб.</t>
  </si>
  <si>
    <t>SMS-320028</t>
  </si>
  <si>
    <t>VR25175</t>
  </si>
  <si>
    <t>Шланг для душа 1/2х1/2 силиконовый серебро LUX 175см упак. блистер (1/50шт)</t>
  </si>
  <si>
    <t>495.27 руб.</t>
  </si>
  <si>
    <t>SMS-320029</t>
  </si>
  <si>
    <t>VR25200</t>
  </si>
  <si>
    <t>Шланг для душа 1/2х1/2 силиконовый серебро LUX 200см упак. блистер (1/50шт)</t>
  </si>
  <si>
    <t>520.75 руб.</t>
  </si>
  <si>
    <t>SMS-320030</t>
  </si>
  <si>
    <t>VR26150</t>
  </si>
  <si>
    <t>Шланг для душа 1/2х1/2 усиленный в мелкой металлической оплетке 150см упак. блистер (1/50шт)</t>
  </si>
  <si>
    <t>423.61 руб.</t>
  </si>
  <si>
    <t>SMS-320031</t>
  </si>
  <si>
    <t>VR26175</t>
  </si>
  <si>
    <t>Шланг для душа 1/2х1/2 усиленный в мелкой металлической оплетке 175см упак. блистер (1/50шт)</t>
  </si>
  <si>
    <t>458.64 руб.</t>
  </si>
  <si>
    <t>SMS-320032</t>
  </si>
  <si>
    <t>VR26200</t>
  </si>
  <si>
    <t>Шланг для душа 1/2х1/2 усиленный в мелкой металлической оплетке 200см упак. блистер (1/50шт)</t>
  </si>
  <si>
    <t>490.49 руб.</t>
  </si>
  <si>
    <t>SMS-320033</t>
  </si>
  <si>
    <t>40150F</t>
  </si>
  <si>
    <t>Шланг для джакузи 1/2х3/8 металлический 150см упак. блистер (1/50шт)</t>
  </si>
  <si>
    <t>485.71 руб.</t>
  </si>
  <si>
    <t>SMS-320034</t>
  </si>
  <si>
    <t>40150M</t>
  </si>
  <si>
    <t>Шланг для выдвижной лейки металлический 150см упак. блистер (50шт)</t>
  </si>
  <si>
    <t>422.01 руб.</t>
  </si>
  <si>
    <t>SMS-320050</t>
  </si>
  <si>
    <t>VR31150</t>
  </si>
  <si>
    <t>Шланг для душа 150см 4-х слойная трубка ПВХ, 5 хлопковых нитей (50шт)</t>
  </si>
  <si>
    <t>324.87 руб.</t>
  </si>
  <si>
    <t>SMS-320051</t>
  </si>
  <si>
    <t>VR31175</t>
  </si>
  <si>
    <t>Шланг для душа 175см 4-х слойная трубка ПВХ, 5 хлопковых нитей (50шт)</t>
  </si>
  <si>
    <t>343.98 руб.</t>
  </si>
  <si>
    <t>SMS-320052</t>
  </si>
  <si>
    <t>VR31200</t>
  </si>
  <si>
    <t>Шланг для душа 200см 4-х слойная трубка ПВХ, 5 хлопковых нитей (50шт)</t>
  </si>
  <si>
    <t>369.46 руб.</t>
  </si>
  <si>
    <t>SMS-320053</t>
  </si>
  <si>
    <t>VR32150</t>
  </si>
  <si>
    <t>Шланг для душа 150см 4-х слойная трубка ПВХ, 8 нитей из полиэстера (50шт)</t>
  </si>
  <si>
    <t>339.20 руб.</t>
  </si>
  <si>
    <t>SMS-320054</t>
  </si>
  <si>
    <t>VR32175</t>
  </si>
  <si>
    <t>Шланг для душа 175см 4-х слойная трубка ПВХ, 8 нитей из полиэстера (50шт)</t>
  </si>
  <si>
    <t>367.87 руб.</t>
  </si>
  <si>
    <t>SMS-320055</t>
  </si>
  <si>
    <t>VR32200</t>
  </si>
  <si>
    <t>Шланг для душа 200см 4-х слойная трубка ПВХ, 8 нитей из полиэстера (50шт)</t>
  </si>
  <si>
    <t>396.53 руб.</t>
  </si>
  <si>
    <t>SMS-320056</t>
  </si>
  <si>
    <t>VR33150</t>
  </si>
  <si>
    <t>Шланг для душа металлический арт.33150 (150см) (50шт)</t>
  </si>
  <si>
    <t>136.96 руб.</t>
  </si>
  <si>
    <t>SMS-320057</t>
  </si>
  <si>
    <t>VR33175</t>
  </si>
  <si>
    <t>Шланг для душа металлический арт.33175 (175см)  (50шт)</t>
  </si>
  <si>
    <t>148.10 руб.</t>
  </si>
  <si>
    <t>SMS-320058</t>
  </si>
  <si>
    <t>VR33200</t>
  </si>
  <si>
    <t>Шланг для душа металлический арт.33200 (200см) (50шт)</t>
  </si>
  <si>
    <t>159.25 руб.</t>
  </si>
  <si>
    <t>SMS-320059</t>
  </si>
  <si>
    <t>VR34150</t>
  </si>
  <si>
    <t>Шланг для душа металлический растягивающийся + антитвист арт.34150 (150см) (50шт)</t>
  </si>
  <si>
    <t>308.95 руб.</t>
  </si>
  <si>
    <t>SMS-320060</t>
  </si>
  <si>
    <t>VR34175</t>
  </si>
  <si>
    <t>Шланг для душа металлический растягивающийся + антитвист арт.34175 (175см)  (50шт)</t>
  </si>
  <si>
    <t>329.65 руб.</t>
  </si>
  <si>
    <t>SMS-320061</t>
  </si>
  <si>
    <t>VR34200</t>
  </si>
  <si>
    <t>Шланг для душа металлический растягивающийся + антитвист арт.34200 (200см) (50шт)</t>
  </si>
  <si>
    <t>SMS-330046</t>
  </si>
  <si>
    <t>VR1001</t>
  </si>
  <si>
    <t>Лейка душевая  однорежимная VIEIR (1/40шт)</t>
  </si>
  <si>
    <t>494.40 руб.</t>
  </si>
  <si>
    <t>SMS-330047</t>
  </si>
  <si>
    <t>VR1002</t>
  </si>
  <si>
    <t>598.25 руб.</t>
  </si>
  <si>
    <t>SMS-330048</t>
  </si>
  <si>
    <t>VR1031</t>
  </si>
  <si>
    <t>555.83 руб.</t>
  </si>
  <si>
    <t>SMS-330049</t>
  </si>
  <si>
    <t>VR1033</t>
  </si>
  <si>
    <t>560.22 руб.</t>
  </si>
  <si>
    <t>SMS-330050</t>
  </si>
  <si>
    <t>VR1044</t>
  </si>
  <si>
    <t>551.44 руб.</t>
  </si>
  <si>
    <t>SMS-330051</t>
  </si>
  <si>
    <t>VR3001</t>
  </si>
  <si>
    <t>Лейка душевая  3 функции VIEIR (1/40шт)</t>
  </si>
  <si>
    <t>SMS-330052</t>
  </si>
  <si>
    <t>VR3002</t>
  </si>
  <si>
    <t>Лейка душевая  2 функции (переключение кнопкой) VIEIR (1/40шт)</t>
  </si>
  <si>
    <t>SMS-330053</t>
  </si>
  <si>
    <t>VR3003</t>
  </si>
  <si>
    <t>SMS-330054</t>
  </si>
  <si>
    <t>VR3003F</t>
  </si>
  <si>
    <t>SMS-330055</t>
  </si>
  <si>
    <t>VR3004</t>
  </si>
  <si>
    <t>605.57 руб.</t>
  </si>
  <si>
    <t>SMS-330056</t>
  </si>
  <si>
    <t>VR3005</t>
  </si>
  <si>
    <t>672.85 руб.</t>
  </si>
  <si>
    <t>SMS-330057</t>
  </si>
  <si>
    <t>VR3006</t>
  </si>
  <si>
    <t>1 050.23 руб.</t>
  </si>
  <si>
    <t>SMS-330058</t>
  </si>
  <si>
    <t>VR3031</t>
  </si>
  <si>
    <t>652.37 руб.</t>
  </si>
  <si>
    <t>SMS-330059</t>
  </si>
  <si>
    <t>VR3033</t>
  </si>
  <si>
    <t>SMS-330060</t>
  </si>
  <si>
    <t>VR3083</t>
  </si>
  <si>
    <t>892.26 руб.</t>
  </si>
  <si>
    <t>SMS-330061</t>
  </si>
  <si>
    <t>VR3083C</t>
  </si>
  <si>
    <t>Лейка душевая  3 функции (черная) VIEIR (1/40шт)</t>
  </si>
  <si>
    <t>884.94 руб.</t>
  </si>
  <si>
    <t>SMS-330062</t>
  </si>
  <si>
    <t>VR3083F</t>
  </si>
  <si>
    <t>Лейка душевая  3 функции (белая) VIEIR (1/40шт)</t>
  </si>
  <si>
    <t>SMS-330063</t>
  </si>
  <si>
    <t>VR5002</t>
  </si>
  <si>
    <t>Лейка душевая  5 функций VIEIR (1/40шт)</t>
  </si>
  <si>
    <t>744.52 руб.</t>
  </si>
  <si>
    <t>SMS-330064</t>
  </si>
  <si>
    <t>VR5003</t>
  </si>
  <si>
    <t>901.03 руб.</t>
  </si>
  <si>
    <t>SMS-330065</t>
  </si>
  <si>
    <t>VR5005</t>
  </si>
  <si>
    <t>902.50 руб.</t>
  </si>
  <si>
    <t>SMS-330066</t>
  </si>
  <si>
    <t>VR5006</t>
  </si>
  <si>
    <t>664.07 руб.</t>
  </si>
  <si>
    <t>SMS-330067</t>
  </si>
  <si>
    <t>VR5011</t>
  </si>
  <si>
    <t>808.88 руб.</t>
  </si>
  <si>
    <t>SMS-330068</t>
  </si>
  <si>
    <t>VR5012</t>
  </si>
  <si>
    <t>1 000.50 руб.</t>
  </si>
  <si>
    <t>SMS-330069</t>
  </si>
  <si>
    <t>VR020</t>
  </si>
  <si>
    <t>Стойка душевая "VIEIR" (10шт)</t>
  </si>
  <si>
    <t>1 626.54 руб.</t>
  </si>
  <si>
    <t>SMS-330070</t>
  </si>
  <si>
    <t>VR030</t>
  </si>
  <si>
    <t>1 806.46 руб.</t>
  </si>
  <si>
    <t>SMS-330071</t>
  </si>
  <si>
    <t>VR040</t>
  </si>
  <si>
    <t>2 066.82 руб.</t>
  </si>
  <si>
    <t>SMS-330072</t>
  </si>
  <si>
    <t>VR050</t>
  </si>
  <si>
    <t>2 030.25 руб.</t>
  </si>
  <si>
    <t>SMS-330073</t>
  </si>
  <si>
    <t>VR060</t>
  </si>
  <si>
    <t>1 809.38 руб.</t>
  </si>
  <si>
    <t>SMS-330074</t>
  </si>
  <si>
    <t>VR011</t>
  </si>
  <si>
    <t>2 025.86 руб.</t>
  </si>
  <si>
    <t>SMS-330075</t>
  </si>
  <si>
    <t>VR031</t>
  </si>
  <si>
    <t>2 236.50 руб.</t>
  </si>
  <si>
    <t>SMS-340022</t>
  </si>
  <si>
    <t>Излив для ванны круглый имп. ф18 35см</t>
  </si>
  <si>
    <t>80.14 руб.</t>
  </si>
  <si>
    <t>SMS-340023</t>
  </si>
  <si>
    <t>Излив для ванны круглый имп. ф18 45см</t>
  </si>
  <si>
    <t>156.98 руб.</t>
  </si>
  <si>
    <t>SMS-340024</t>
  </si>
  <si>
    <t>Излив для ванны плоский имп. прямой 35см L35</t>
  </si>
  <si>
    <t>167.26 руб.</t>
  </si>
  <si>
    <t>SMS-340025</t>
  </si>
  <si>
    <t>Излив для ванны плоский имп. прямой 40см L40</t>
  </si>
  <si>
    <t>177.71 руб.</t>
  </si>
  <si>
    <t>SMS-340026</t>
  </si>
  <si>
    <t>Излив для ванны плоский имп. прямой 50см L50</t>
  </si>
  <si>
    <t>328.76 руб.</t>
  </si>
  <si>
    <t>SMS-350014</t>
  </si>
  <si>
    <t>VRKP-18</t>
  </si>
  <si>
    <t>Кран - букса для смесители M18*1 РУCCКАЯ VR (10/500шт)</t>
  </si>
  <si>
    <t>130.59 руб.</t>
  </si>
  <si>
    <t>SMS-350015</t>
  </si>
  <si>
    <t>VRKP20-1</t>
  </si>
  <si>
    <t>Кран - букса универсальная усиленная  20 ШЛИЦОВ - 1 VR в блистере (1/340шт)</t>
  </si>
  <si>
    <t>202.25 руб.</t>
  </si>
  <si>
    <t>SMS-350016</t>
  </si>
  <si>
    <t>VRKP20-2</t>
  </si>
  <si>
    <t>Пара универсальных усиленных кран-букс 20 ШЛИЦОВ - 2 VR в блистере (2/170пар)</t>
  </si>
  <si>
    <t>410.87 руб.</t>
  </si>
  <si>
    <t>ком</t>
  </si>
  <si>
    <t>SMS-350017</t>
  </si>
  <si>
    <t>VRKP24-2</t>
  </si>
  <si>
    <t>Пара усиленных кран-букс для смесителя 24 ШЛИЦА - 2 VR в блистере (2/170пар)</t>
  </si>
  <si>
    <t>407.68 руб.</t>
  </si>
  <si>
    <t>SMS-350018</t>
  </si>
  <si>
    <t>VRXP20-2</t>
  </si>
  <si>
    <t>Пара кран-букс для смесители 20 ШЛИЦОВ - 2 VR в блистере (2/170пар)</t>
  </si>
  <si>
    <t>380.61 руб.</t>
  </si>
  <si>
    <t>SMS-350019</t>
  </si>
  <si>
    <t>VRXP24-2</t>
  </si>
  <si>
    <t>Пара кран-букс для смесители 24 ШЛИЦА - 2 VR в блистере (2/170пар)</t>
  </si>
  <si>
    <t>SMS-350024</t>
  </si>
  <si>
    <t>Т50</t>
  </si>
  <si>
    <t>Комплект маховик с кран буксой в блистере (10/100ш)</t>
  </si>
  <si>
    <t>SMS-350025</t>
  </si>
  <si>
    <t>Т58</t>
  </si>
  <si>
    <t>Комплект маховик с кран буксой в блистере (10/100шт)</t>
  </si>
  <si>
    <t>343.57 руб.</t>
  </si>
  <si>
    <t>SMS-350026</t>
  </si>
  <si>
    <t>Т64</t>
  </si>
  <si>
    <t>259.17 руб.</t>
  </si>
  <si>
    <t>SMS-351023</t>
  </si>
  <si>
    <t xml:space="preserve">V2100 </t>
  </si>
  <si>
    <t>Комплект VIEIR маховик с кран буксой в блистере VIEIR</t>
  </si>
  <si>
    <t>344.27 руб.</t>
  </si>
  <si>
    <t>SMS-390003</t>
  </si>
  <si>
    <t>Картридж для смесителя 40мм</t>
  </si>
  <si>
    <t>74.05 руб.</t>
  </si>
  <si>
    <t>VER-100010</t>
  </si>
  <si>
    <t>V15007D</t>
  </si>
  <si>
    <t>Смеситель для кухни с фильтром,  с гибким изливом</t>
  </si>
  <si>
    <t>10 502.27 руб.</t>
  </si>
  <si>
    <t>VER-100012</t>
  </si>
  <si>
    <t>V15013С</t>
  </si>
  <si>
    <t>Смеситель для кухни</t>
  </si>
  <si>
    <t>5 100.50 руб.</t>
  </si>
  <si>
    <t>VER-100013</t>
  </si>
  <si>
    <t>V15013СC</t>
  </si>
  <si>
    <t>VER-100035</t>
  </si>
  <si>
    <t>V15027C</t>
  </si>
  <si>
    <t>Смеситель из нержавеющей стали для кухни “VIEIR" (10/1шт)</t>
  </si>
  <si>
    <t>5 451.55 руб.</t>
  </si>
  <si>
    <t>VER-100072</t>
  </si>
  <si>
    <t>V210122С</t>
  </si>
  <si>
    <t>4 348.83 руб.</t>
  </si>
  <si>
    <t>VER-100083</t>
  </si>
  <si>
    <t>V210143</t>
  </si>
  <si>
    <t>Смеситель для ванны</t>
  </si>
  <si>
    <t>6 287.74 руб.</t>
  </si>
  <si>
    <t>VER-100103</t>
  </si>
  <si>
    <t>V273553D</t>
  </si>
  <si>
    <t>Смеситель для биде “VIEIR" (10/1шт)</t>
  </si>
  <si>
    <t>7 430.61 руб.</t>
  </si>
  <si>
    <t>VER-100126</t>
  </si>
  <si>
    <t>V332521C</t>
  </si>
  <si>
    <t>Смеситель для кухни “VIEIR" (10/1шт)</t>
  </si>
  <si>
    <t>4 657.29 руб.</t>
  </si>
  <si>
    <t>VER-100129</t>
  </si>
  <si>
    <t>V333531C</t>
  </si>
  <si>
    <t>Смеситель для ванны“VIEIR" (10/1шт)</t>
  </si>
  <si>
    <t>5 110.74 руб.</t>
  </si>
  <si>
    <t>VER-100171</t>
  </si>
  <si>
    <t>V393563</t>
  </si>
  <si>
    <t>Душевая система “VIEIR" (4/1шт)</t>
  </si>
  <si>
    <t>16 348.80 руб.</t>
  </si>
  <si>
    <t>VER-100196</t>
  </si>
  <si>
    <t>MG09</t>
  </si>
  <si>
    <t>Душевая лейка 1-режимная хром КОБРА</t>
  </si>
  <si>
    <t>65.82 руб.</t>
  </si>
  <si>
    <t>VER-100239</t>
  </si>
  <si>
    <t>VR041</t>
  </si>
  <si>
    <t>Душевая стойка держатель с лейкой</t>
  </si>
  <si>
    <t>2 412.02 руб.</t>
  </si>
  <si>
    <t>VER-100240</t>
  </si>
  <si>
    <t>V013552</t>
  </si>
  <si>
    <t>Смеситель для биде</t>
  </si>
  <si>
    <t>5 575.88 руб.</t>
  </si>
  <si>
    <t>VER-100267</t>
  </si>
  <si>
    <t>V263521CC</t>
  </si>
  <si>
    <t>4 667.53 руб.</t>
  </si>
  <si>
    <t>VER-100277</t>
  </si>
  <si>
    <t>V370111D</t>
  </si>
  <si>
    <t>Смеситель для раковины  “VIEIR" (10/1шт)</t>
  </si>
  <si>
    <t>7 445.23 руб.</t>
  </si>
  <si>
    <t>VER-100292</t>
  </si>
  <si>
    <t>V370162D</t>
  </si>
  <si>
    <t>Душевая система  “VIEIR" (4/1шт)</t>
  </si>
  <si>
    <t>23 282.08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</si>
</sst>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9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SUM(L2:L793)</f>
        <v>0</v>
      </c>
    </row>
    <row r="2" spans="1:12">
      <c r="A2" s="1"/>
      <c r="B2" s="1">
        <v>825808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K2*883.83</f>
        <v>0</v>
      </c>
    </row>
    <row r="3" spans="1:12">
      <c r="A3" s="1"/>
      <c r="B3" s="1">
        <v>823189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K3*152.88</f>
        <v>0</v>
      </c>
    </row>
    <row r="4" spans="1:12">
      <c r="A4" s="1"/>
      <c r="B4" s="1">
        <v>823190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K4*404.50</f>
        <v>0</v>
      </c>
    </row>
    <row r="5" spans="1:12">
      <c r="A5" s="1"/>
      <c r="B5" s="1">
        <v>823191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K5*523.93</f>
        <v>0</v>
      </c>
    </row>
    <row r="6" spans="1:12">
      <c r="A6" s="1"/>
      <c r="B6" s="1">
        <v>878976</v>
      </c>
      <c r="C6" s="1" t="s">
        <v>28</v>
      </c>
      <c r="D6" s="1">
        <v>565044</v>
      </c>
      <c r="E6" s="3" t="s">
        <v>29</v>
      </c>
      <c r="F6" s="1" t="s">
        <v>30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K6*49.00</f>
        <v>0</v>
      </c>
    </row>
    <row r="7" spans="1:12">
      <c r="A7" s="1"/>
      <c r="B7" s="1">
        <v>882529</v>
      </c>
      <c r="C7" s="1" t="s">
        <v>31</v>
      </c>
      <c r="D7" s="1">
        <v>567046</v>
      </c>
      <c r="E7" s="3" t="s">
        <v>32</v>
      </c>
      <c r="F7" s="1" t="s">
        <v>33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K7*1844.08</f>
        <v>0</v>
      </c>
    </row>
    <row r="8" spans="1:12">
      <c r="A8" s="1"/>
      <c r="B8" s="1">
        <v>882523</v>
      </c>
      <c r="C8" s="1" t="s">
        <v>34</v>
      </c>
      <c r="D8" s="1"/>
      <c r="E8" s="3" t="s">
        <v>35</v>
      </c>
      <c r="F8" s="1" t="s">
        <v>36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K8*135.71</f>
        <v>0</v>
      </c>
    </row>
    <row r="9" spans="1:12">
      <c r="A9" s="1"/>
      <c r="B9" s="1">
        <v>882525</v>
      </c>
      <c r="C9" s="1" t="s">
        <v>37</v>
      </c>
      <c r="D9" s="1"/>
      <c r="E9" s="3" t="s">
        <v>38</v>
      </c>
      <c r="F9" s="1" t="s">
        <v>39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K9*85.43</f>
        <v>0</v>
      </c>
    </row>
    <row r="10" spans="1:12">
      <c r="A10" s="1"/>
      <c r="B10" s="1">
        <v>883348</v>
      </c>
      <c r="C10" s="1" t="s">
        <v>40</v>
      </c>
      <c r="D10" s="1"/>
      <c r="E10" s="3" t="s">
        <v>41</v>
      </c>
      <c r="F10" s="1" t="s">
        <v>42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K10*24.70</f>
        <v>0</v>
      </c>
    </row>
    <row r="11" spans="1:12">
      <c r="A11" s="1"/>
      <c r="B11" s="1">
        <v>879180</v>
      </c>
      <c r="C11" s="1" t="s">
        <v>43</v>
      </c>
      <c r="D11" s="1"/>
      <c r="E11" s="3" t="s">
        <v>44</v>
      </c>
      <c r="F11" s="1" t="s">
        <v>45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K11*278.30</f>
        <v>0</v>
      </c>
    </row>
    <row r="12" spans="1:12">
      <c r="A12" s="1"/>
      <c r="B12" s="1">
        <v>879181</v>
      </c>
      <c r="C12" s="1" t="s">
        <v>46</v>
      </c>
      <c r="D12" s="1"/>
      <c r="E12" s="3" t="s">
        <v>47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K12*278.30</f>
        <v>0</v>
      </c>
    </row>
    <row r="13" spans="1:12">
      <c r="A13" s="1"/>
      <c r="B13" s="1">
        <v>879182</v>
      </c>
      <c r="C13" s="1" t="s">
        <v>48</v>
      </c>
      <c r="D13" s="1"/>
      <c r="E13" s="3" t="s">
        <v>49</v>
      </c>
      <c r="F13" s="1" t="s">
        <v>45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K13*278.30</f>
        <v>0</v>
      </c>
    </row>
    <row r="14" spans="1:12">
      <c r="A14" s="1"/>
      <c r="B14" s="1">
        <v>882528</v>
      </c>
      <c r="C14" s="1" t="s">
        <v>50</v>
      </c>
      <c r="D14" s="1">
        <v>567038</v>
      </c>
      <c r="E14" s="3" t="s">
        <v>51</v>
      </c>
      <c r="F14" s="1" t="s">
        <v>52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K14*1802.64</f>
        <v>0</v>
      </c>
    </row>
    <row r="15" spans="1:12">
      <c r="A15" s="1"/>
      <c r="B15" s="1">
        <v>825926</v>
      </c>
      <c r="C15" s="1" t="s">
        <v>53</v>
      </c>
      <c r="D15" s="1" t="s">
        <v>54</v>
      </c>
      <c r="E15" s="3" t="s">
        <v>55</v>
      </c>
      <c r="F15" s="1" t="s">
        <v>56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K15*7268.25</f>
        <v>0</v>
      </c>
    </row>
    <row r="16" spans="1:12">
      <c r="A16" s="1"/>
      <c r="B16" s="1">
        <v>825927</v>
      </c>
      <c r="C16" s="1" t="s">
        <v>57</v>
      </c>
      <c r="D16" s="1" t="s">
        <v>58</v>
      </c>
      <c r="E16" s="3" t="s">
        <v>59</v>
      </c>
      <c r="F16" s="1" t="s">
        <v>60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K16*4590.01</f>
        <v>0</v>
      </c>
    </row>
    <row r="17" spans="1:12">
      <c r="A17" s="1"/>
      <c r="B17" s="1">
        <v>825928</v>
      </c>
      <c r="C17" s="1" t="s">
        <v>61</v>
      </c>
      <c r="D17" s="1" t="s">
        <v>62</v>
      </c>
      <c r="E17" s="3" t="s">
        <v>63</v>
      </c>
      <c r="F17" s="1" t="s">
        <v>64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K17*4488.81</f>
        <v>0</v>
      </c>
    </row>
    <row r="18" spans="1:12">
      <c r="A18" s="1"/>
      <c r="B18" s="1">
        <v>825929</v>
      </c>
      <c r="C18" s="1" t="s">
        <v>65</v>
      </c>
      <c r="D18" s="1" t="s">
        <v>66</v>
      </c>
      <c r="E18" s="3" t="s">
        <v>67</v>
      </c>
      <c r="F18" s="1" t="s">
        <v>68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K18*5830.39</f>
        <v>0</v>
      </c>
    </row>
    <row r="19" spans="1:12">
      <c r="A19" s="1"/>
      <c r="B19" s="1">
        <v>825930</v>
      </c>
      <c r="C19" s="1" t="s">
        <v>69</v>
      </c>
      <c r="D19" s="1" t="s">
        <v>70</v>
      </c>
      <c r="E19" s="3" t="s">
        <v>63</v>
      </c>
      <c r="F19" s="1" t="s">
        <v>71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K19*5209.52</f>
        <v>0</v>
      </c>
    </row>
    <row r="20" spans="1:12">
      <c r="A20" s="1"/>
      <c r="B20" s="1">
        <v>825931</v>
      </c>
      <c r="C20" s="1" t="s">
        <v>72</v>
      </c>
      <c r="D20" s="1" t="s">
        <v>73</v>
      </c>
      <c r="E20" s="3" t="s">
        <v>63</v>
      </c>
      <c r="F20" s="1" t="s">
        <v>74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K20*5324.29</f>
        <v>0</v>
      </c>
    </row>
    <row r="21" spans="1:12">
      <c r="A21" s="1"/>
      <c r="B21" s="1">
        <v>825932</v>
      </c>
      <c r="C21" s="1" t="s">
        <v>75</v>
      </c>
      <c r="D21" s="1" t="s">
        <v>76</v>
      </c>
      <c r="E21" s="3" t="s">
        <v>63</v>
      </c>
      <c r="F21" s="1" t="s">
        <v>77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K21*5604.87</f>
        <v>0</v>
      </c>
    </row>
    <row r="22" spans="1:12">
      <c r="A22" s="1"/>
      <c r="B22" s="1">
        <v>825933</v>
      </c>
      <c r="C22" s="1" t="s">
        <v>78</v>
      </c>
      <c r="D22" s="1" t="s">
        <v>79</v>
      </c>
      <c r="E22" s="3" t="s">
        <v>63</v>
      </c>
      <c r="F22" s="1" t="s">
        <v>80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K22*5239.46</f>
        <v>0</v>
      </c>
    </row>
    <row r="23" spans="1:12">
      <c r="A23" s="1"/>
      <c r="B23" s="1">
        <v>825934</v>
      </c>
      <c r="C23" s="1" t="s">
        <v>81</v>
      </c>
      <c r="D23" s="1" t="s">
        <v>82</v>
      </c>
      <c r="E23" s="3" t="s">
        <v>83</v>
      </c>
      <c r="F23" s="1" t="s">
        <v>84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K23*2346.20</f>
        <v>0</v>
      </c>
    </row>
    <row r="24" spans="1:12">
      <c r="A24" s="1"/>
      <c r="B24" s="1">
        <v>825935</v>
      </c>
      <c r="C24" s="1" t="s">
        <v>85</v>
      </c>
      <c r="D24" s="1" t="s">
        <v>86</v>
      </c>
      <c r="E24" s="3" t="s">
        <v>83</v>
      </c>
      <c r="F24" s="1" t="s">
        <v>87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K24*2515.85</f>
        <v>0</v>
      </c>
    </row>
    <row r="25" spans="1:12">
      <c r="A25" s="1"/>
      <c r="B25" s="1">
        <v>825936</v>
      </c>
      <c r="C25" s="1" t="s">
        <v>88</v>
      </c>
      <c r="D25" s="1" t="s">
        <v>89</v>
      </c>
      <c r="E25" s="3" t="s">
        <v>83</v>
      </c>
      <c r="F25" s="1" t="s">
        <v>90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K25*2758.69</f>
        <v>0</v>
      </c>
    </row>
    <row r="26" spans="1:12">
      <c r="A26" s="1"/>
      <c r="B26" s="1">
        <v>825937</v>
      </c>
      <c r="C26" s="1" t="s">
        <v>91</v>
      </c>
      <c r="D26" s="1" t="s">
        <v>92</v>
      </c>
      <c r="E26" s="3" t="s">
        <v>83</v>
      </c>
      <c r="F26" s="1" t="s">
        <v>93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K26*2313.45</f>
        <v>0</v>
      </c>
    </row>
    <row r="27" spans="1:12">
      <c r="A27" s="1"/>
      <c r="B27" s="1">
        <v>825938</v>
      </c>
      <c r="C27" s="1" t="s">
        <v>94</v>
      </c>
      <c r="D27" s="1" t="s">
        <v>95</v>
      </c>
      <c r="E27" s="3" t="s">
        <v>83</v>
      </c>
      <c r="F27" s="1" t="s">
        <v>96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K27*2341.83</f>
        <v>0</v>
      </c>
    </row>
    <row r="28" spans="1:12">
      <c r="A28" s="1"/>
      <c r="B28" s="1">
        <v>825939</v>
      </c>
      <c r="C28" s="1" t="s">
        <v>97</v>
      </c>
      <c r="D28" s="1" t="s">
        <v>98</v>
      </c>
      <c r="E28" s="3" t="s">
        <v>83</v>
      </c>
      <c r="F28" s="1" t="s">
        <v>99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K28*2531.96</f>
        <v>0</v>
      </c>
    </row>
    <row r="29" spans="1:12">
      <c r="A29" s="1"/>
      <c r="B29" s="1">
        <v>825940</v>
      </c>
      <c r="C29" s="1" t="s">
        <v>100</v>
      </c>
      <c r="D29" s="1" t="s">
        <v>101</v>
      </c>
      <c r="E29" s="3" t="s">
        <v>63</v>
      </c>
      <c r="F29" s="1" t="s">
        <v>102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K29*5900.60</f>
        <v>0</v>
      </c>
    </row>
    <row r="30" spans="1:12">
      <c r="A30" s="1"/>
      <c r="B30" s="1">
        <v>825941</v>
      </c>
      <c r="C30" s="1" t="s">
        <v>103</v>
      </c>
      <c r="D30" s="1" t="s">
        <v>104</v>
      </c>
      <c r="E30" s="3" t="s">
        <v>55</v>
      </c>
      <c r="F30" s="1" t="s">
        <v>105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K30*5799.68</f>
        <v>0</v>
      </c>
    </row>
    <row r="31" spans="1:12">
      <c r="A31" s="1"/>
      <c r="B31" s="1">
        <v>825942</v>
      </c>
      <c r="C31" s="1" t="s">
        <v>106</v>
      </c>
      <c r="D31" s="1" t="s">
        <v>107</v>
      </c>
      <c r="E31" s="3" t="s">
        <v>63</v>
      </c>
      <c r="F31" s="1" t="s">
        <v>108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K31*5657.79</f>
        <v>0</v>
      </c>
    </row>
    <row r="32" spans="1:12">
      <c r="A32" s="1"/>
      <c r="B32" s="1">
        <v>825943</v>
      </c>
      <c r="C32" s="1" t="s">
        <v>109</v>
      </c>
      <c r="D32" s="1" t="s">
        <v>110</v>
      </c>
      <c r="E32" s="3" t="s">
        <v>55</v>
      </c>
      <c r="F32" s="1" t="s">
        <v>111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K32*5498.36</f>
        <v>0</v>
      </c>
    </row>
    <row r="33" spans="1:12">
      <c r="A33" s="1"/>
      <c r="B33" s="1">
        <v>825944</v>
      </c>
      <c r="C33" s="1" t="s">
        <v>112</v>
      </c>
      <c r="D33" s="1" t="s">
        <v>113</v>
      </c>
      <c r="E33" s="3" t="s">
        <v>63</v>
      </c>
      <c r="F33" s="1" t="s">
        <v>114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K33*5896.22</f>
        <v>0</v>
      </c>
    </row>
    <row r="34" spans="1:12">
      <c r="A34" s="1"/>
      <c r="B34" s="1">
        <v>825945</v>
      </c>
      <c r="C34" s="1" t="s">
        <v>115</v>
      </c>
      <c r="D34" s="1" t="s">
        <v>116</v>
      </c>
      <c r="E34" s="3" t="s">
        <v>55</v>
      </c>
      <c r="F34" s="1" t="s">
        <v>117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K34*5270.05</f>
        <v>0</v>
      </c>
    </row>
    <row r="35" spans="1:12">
      <c r="A35" s="1"/>
      <c r="B35" s="1">
        <v>825946</v>
      </c>
      <c r="C35" s="1" t="s">
        <v>118</v>
      </c>
      <c r="D35" s="1" t="s">
        <v>119</v>
      </c>
      <c r="E35" s="3" t="s">
        <v>63</v>
      </c>
      <c r="F35" s="1" t="s">
        <v>120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K35*5213.30</f>
        <v>0</v>
      </c>
    </row>
    <row r="36" spans="1:12">
      <c r="A36" s="1"/>
      <c r="B36" s="1">
        <v>825947</v>
      </c>
      <c r="C36" s="1" t="s">
        <v>121</v>
      </c>
      <c r="D36" s="1" t="s">
        <v>122</v>
      </c>
      <c r="E36" s="3" t="s">
        <v>55</v>
      </c>
      <c r="F36" s="1" t="s">
        <v>123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K36*9724.82</f>
        <v>0</v>
      </c>
    </row>
    <row r="37" spans="1:12">
      <c r="A37" s="1"/>
      <c r="B37" s="1">
        <v>825948</v>
      </c>
      <c r="C37" s="1" t="s">
        <v>124</v>
      </c>
      <c r="D37" s="1" t="s">
        <v>125</v>
      </c>
      <c r="E37" s="3" t="s">
        <v>55</v>
      </c>
      <c r="F37" s="1" t="s">
        <v>126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K37*5634.39</f>
        <v>0</v>
      </c>
    </row>
    <row r="38" spans="1:12">
      <c r="A38" s="1"/>
      <c r="B38" s="1">
        <v>825949</v>
      </c>
      <c r="C38" s="1" t="s">
        <v>127</v>
      </c>
      <c r="D38" s="1" t="s">
        <v>128</v>
      </c>
      <c r="E38" s="3" t="s">
        <v>63</v>
      </c>
      <c r="F38" s="1" t="s">
        <v>129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K38*6652.83</f>
        <v>0</v>
      </c>
    </row>
    <row r="39" spans="1:12">
      <c r="A39" s="1"/>
      <c r="B39" s="1">
        <v>825950</v>
      </c>
      <c r="C39" s="1" t="s">
        <v>130</v>
      </c>
      <c r="D39" s="1" t="s">
        <v>131</v>
      </c>
      <c r="E39" s="3" t="s">
        <v>132</v>
      </c>
      <c r="F39" s="1" t="s">
        <v>133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K39*5333.07</f>
        <v>0</v>
      </c>
    </row>
    <row r="40" spans="1:12">
      <c r="A40" s="1"/>
      <c r="B40" s="1">
        <v>825951</v>
      </c>
      <c r="C40" s="1" t="s">
        <v>134</v>
      </c>
      <c r="D40" s="1" t="s">
        <v>135</v>
      </c>
      <c r="E40" s="3" t="s">
        <v>136</v>
      </c>
      <c r="F40" s="1" t="s">
        <v>137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K40*5393.04</f>
        <v>0</v>
      </c>
    </row>
    <row r="41" spans="1:12">
      <c r="A41" s="1"/>
      <c r="B41" s="1">
        <v>825952</v>
      </c>
      <c r="C41" s="1" t="s">
        <v>138</v>
      </c>
      <c r="D41" s="1" t="s">
        <v>139</v>
      </c>
      <c r="E41" s="3" t="s">
        <v>140</v>
      </c>
      <c r="F41" s="1" t="s">
        <v>141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K41*4689.47</f>
        <v>0</v>
      </c>
    </row>
    <row r="42" spans="1:12">
      <c r="A42" s="1"/>
      <c r="B42" s="1">
        <v>825953</v>
      </c>
      <c r="C42" s="1" t="s">
        <v>142</v>
      </c>
      <c r="D42" s="1" t="s">
        <v>143</v>
      </c>
      <c r="E42" s="3" t="s">
        <v>55</v>
      </c>
      <c r="F42" s="1" t="s">
        <v>144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K42*6027.86</f>
        <v>0</v>
      </c>
    </row>
    <row r="43" spans="1:12">
      <c r="A43" s="1"/>
      <c r="B43" s="1">
        <v>825954</v>
      </c>
      <c r="C43" s="1" t="s">
        <v>145</v>
      </c>
      <c r="D43" s="1" t="s">
        <v>146</v>
      </c>
      <c r="E43" s="3" t="s">
        <v>63</v>
      </c>
      <c r="F43" s="1" t="s">
        <v>147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K43*5624.15</f>
        <v>0</v>
      </c>
    </row>
    <row r="44" spans="1:12">
      <c r="A44" s="1"/>
      <c r="B44" s="1">
        <v>825955</v>
      </c>
      <c r="C44" s="1" t="s">
        <v>148</v>
      </c>
      <c r="D44" s="1" t="s">
        <v>149</v>
      </c>
      <c r="E44" s="3" t="s">
        <v>55</v>
      </c>
      <c r="F44" s="1" t="s">
        <v>150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K44*5963.50</f>
        <v>0</v>
      </c>
    </row>
    <row r="45" spans="1:12">
      <c r="A45" s="1"/>
      <c r="B45" s="1">
        <v>825956</v>
      </c>
      <c r="C45" s="1" t="s">
        <v>151</v>
      </c>
      <c r="D45" s="1" t="s">
        <v>152</v>
      </c>
      <c r="E45" s="3" t="s">
        <v>63</v>
      </c>
      <c r="F45" s="1" t="s">
        <v>153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K45*5818.69</f>
        <v>0</v>
      </c>
    </row>
    <row r="46" spans="1:12">
      <c r="A46" s="1"/>
      <c r="B46" s="1">
        <v>825957</v>
      </c>
      <c r="C46" s="1" t="s">
        <v>154</v>
      </c>
      <c r="D46" s="1" t="s">
        <v>155</v>
      </c>
      <c r="E46" s="3" t="s">
        <v>63</v>
      </c>
      <c r="F46" s="1" t="s">
        <v>156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K46*4658.76</f>
        <v>0</v>
      </c>
    </row>
    <row r="47" spans="1:12">
      <c r="A47" s="1"/>
      <c r="B47" s="1">
        <v>825958</v>
      </c>
      <c r="C47" s="1" t="s">
        <v>157</v>
      </c>
      <c r="D47" s="1" t="s">
        <v>158</v>
      </c>
      <c r="E47" s="3" t="s">
        <v>159</v>
      </c>
      <c r="F47" s="1" t="s">
        <v>160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K47*4708.24</f>
        <v>0</v>
      </c>
    </row>
    <row r="48" spans="1:12">
      <c r="A48" s="1"/>
      <c r="B48" s="1">
        <v>825959</v>
      </c>
      <c r="C48" s="1" t="s">
        <v>161</v>
      </c>
      <c r="D48" s="1" t="s">
        <v>162</v>
      </c>
      <c r="E48" s="3" t="s">
        <v>63</v>
      </c>
      <c r="F48" s="1" t="s">
        <v>163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K48*4780.12</f>
        <v>0</v>
      </c>
    </row>
    <row r="49" spans="1:12">
      <c r="A49" s="1"/>
      <c r="B49" s="1">
        <v>825960</v>
      </c>
      <c r="C49" s="1" t="s">
        <v>164</v>
      </c>
      <c r="D49" s="1" t="s">
        <v>165</v>
      </c>
      <c r="E49" s="3" t="s">
        <v>166</v>
      </c>
      <c r="F49" s="1" t="s">
        <v>167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K49*4904.49</f>
        <v>0</v>
      </c>
    </row>
    <row r="50" spans="1:12">
      <c r="A50" s="1"/>
      <c r="B50" s="1">
        <v>825961</v>
      </c>
      <c r="C50" s="1" t="s">
        <v>168</v>
      </c>
      <c r="D50" s="1" t="s">
        <v>169</v>
      </c>
      <c r="E50" s="3" t="s">
        <v>170</v>
      </c>
      <c r="F50" s="1" t="s">
        <v>171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K50*4844.52</f>
        <v>0</v>
      </c>
    </row>
    <row r="51" spans="1:12">
      <c r="A51" s="1"/>
      <c r="B51" s="1">
        <v>825962</v>
      </c>
      <c r="C51" s="1" t="s">
        <v>172</v>
      </c>
      <c r="D51" s="1" t="s">
        <v>173</v>
      </c>
      <c r="E51" s="3" t="s">
        <v>174</v>
      </c>
      <c r="F51" s="1" t="s">
        <v>175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K51*4876.70</f>
        <v>0</v>
      </c>
    </row>
    <row r="52" spans="1:12">
      <c r="A52" s="1"/>
      <c r="B52" s="1">
        <v>825963</v>
      </c>
      <c r="C52" s="1" t="s">
        <v>176</v>
      </c>
      <c r="D52" s="1" t="s">
        <v>177</v>
      </c>
      <c r="E52" s="3" t="s">
        <v>178</v>
      </c>
      <c r="F52" s="1" t="s">
        <v>179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K52*12523.79</f>
        <v>0</v>
      </c>
    </row>
    <row r="53" spans="1:12">
      <c r="A53" s="1"/>
      <c r="B53" s="1">
        <v>825964</v>
      </c>
      <c r="C53" s="1" t="s">
        <v>180</v>
      </c>
      <c r="D53" s="1" t="s">
        <v>181</v>
      </c>
      <c r="E53" s="3" t="s">
        <v>174</v>
      </c>
      <c r="F53" s="1" t="s">
        <v>182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K53*4734.82</f>
        <v>0</v>
      </c>
    </row>
    <row r="54" spans="1:12">
      <c r="A54" s="1"/>
      <c r="B54" s="1">
        <v>825965</v>
      </c>
      <c r="C54" s="1" t="s">
        <v>183</v>
      </c>
      <c r="D54" s="1" t="s">
        <v>184</v>
      </c>
      <c r="E54" s="3" t="s">
        <v>185</v>
      </c>
      <c r="F54" s="1" t="s">
        <v>186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K54*5619.76</f>
        <v>0</v>
      </c>
    </row>
    <row r="55" spans="1:12">
      <c r="A55" s="1"/>
      <c r="B55" s="1">
        <v>825966</v>
      </c>
      <c r="C55" s="1" t="s">
        <v>187</v>
      </c>
      <c r="D55" s="1" t="s">
        <v>188</v>
      </c>
      <c r="E55" s="3" t="s">
        <v>174</v>
      </c>
      <c r="F55" s="1" t="s">
        <v>189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K55*5464.71</f>
        <v>0</v>
      </c>
    </row>
    <row r="56" spans="1:12">
      <c r="A56" s="1"/>
      <c r="B56" s="1">
        <v>825967</v>
      </c>
      <c r="C56" s="1" t="s">
        <v>190</v>
      </c>
      <c r="D56" s="1" t="s">
        <v>191</v>
      </c>
      <c r="E56" s="3" t="s">
        <v>192</v>
      </c>
      <c r="F56" s="1" t="s">
        <v>193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K56*4900.11</f>
        <v>0</v>
      </c>
    </row>
    <row r="57" spans="1:12">
      <c r="A57" s="1"/>
      <c r="B57" s="1">
        <v>825968</v>
      </c>
      <c r="C57" s="1" t="s">
        <v>194</v>
      </c>
      <c r="D57" s="1" t="s">
        <v>195</v>
      </c>
      <c r="E57" s="3" t="s">
        <v>196</v>
      </c>
      <c r="F57" s="1" t="s">
        <v>197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K57*4873.78</f>
        <v>0</v>
      </c>
    </row>
    <row r="58" spans="1:12">
      <c r="A58" s="1"/>
      <c r="B58" s="1">
        <v>825969</v>
      </c>
      <c r="C58" s="1" t="s">
        <v>198</v>
      </c>
      <c r="D58" s="1" t="s">
        <v>199</v>
      </c>
      <c r="E58" s="3" t="s">
        <v>200</v>
      </c>
      <c r="F58" s="1" t="s">
        <v>201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K58*4459.83</f>
        <v>0</v>
      </c>
    </row>
    <row r="59" spans="1:12">
      <c r="A59" s="1"/>
      <c r="B59" s="1">
        <v>825970</v>
      </c>
      <c r="C59" s="1" t="s">
        <v>202</v>
      </c>
      <c r="D59" s="1" t="s">
        <v>203</v>
      </c>
      <c r="E59" s="3" t="s">
        <v>204</v>
      </c>
      <c r="F59" s="1" t="s">
        <v>205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K59*4859.15</f>
        <v>0</v>
      </c>
    </row>
    <row r="60" spans="1:12">
      <c r="A60" s="1"/>
      <c r="B60" s="1">
        <v>825971</v>
      </c>
      <c r="C60" s="1" t="s">
        <v>206</v>
      </c>
      <c r="D60" s="1" t="s">
        <v>207</v>
      </c>
      <c r="E60" s="3" t="s">
        <v>200</v>
      </c>
      <c r="F60" s="1" t="s">
        <v>208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K60*4439.35</f>
        <v>0</v>
      </c>
    </row>
    <row r="61" spans="1:12">
      <c r="A61" s="1"/>
      <c r="B61" s="1">
        <v>825972</v>
      </c>
      <c r="C61" s="1" t="s">
        <v>209</v>
      </c>
      <c r="D61" s="1" t="s">
        <v>210</v>
      </c>
      <c r="E61" s="3" t="s">
        <v>211</v>
      </c>
      <c r="F61" s="1" t="s">
        <v>212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K61*6130.74</f>
        <v>0</v>
      </c>
    </row>
    <row r="62" spans="1:12">
      <c r="A62" s="1"/>
      <c r="B62" s="1">
        <v>825973</v>
      </c>
      <c r="C62" s="1" t="s">
        <v>213</v>
      </c>
      <c r="D62" s="1" t="s">
        <v>214</v>
      </c>
      <c r="E62" s="3" t="s">
        <v>200</v>
      </c>
      <c r="F62" s="1" t="s">
        <v>215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K62*4237.49</f>
        <v>0</v>
      </c>
    </row>
    <row r="63" spans="1:12">
      <c r="A63" s="1"/>
      <c r="B63" s="1">
        <v>825974</v>
      </c>
      <c r="C63" s="1" t="s">
        <v>216</v>
      </c>
      <c r="D63" s="1" t="s">
        <v>217</v>
      </c>
      <c r="E63" s="3" t="s">
        <v>218</v>
      </c>
      <c r="F63" s="1" t="s">
        <v>219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K63*8954.76</f>
        <v>0</v>
      </c>
    </row>
    <row r="64" spans="1:12">
      <c r="A64" s="1"/>
      <c r="B64" s="1">
        <v>825975</v>
      </c>
      <c r="C64" s="1" t="s">
        <v>220</v>
      </c>
      <c r="D64" s="1" t="s">
        <v>221</v>
      </c>
      <c r="E64" s="3" t="s">
        <v>200</v>
      </c>
      <c r="F64" s="1" t="s">
        <v>222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K64*3607.06</f>
        <v>0</v>
      </c>
    </row>
    <row r="65" spans="1:12">
      <c r="A65" s="1"/>
      <c r="B65" s="1">
        <v>825976</v>
      </c>
      <c r="C65" s="1" t="s">
        <v>223</v>
      </c>
      <c r="D65" s="1" t="s">
        <v>224</v>
      </c>
      <c r="E65" s="3" t="s">
        <v>83</v>
      </c>
      <c r="F65" s="1" t="s">
        <v>225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K65*3626.08</f>
        <v>0</v>
      </c>
    </row>
    <row r="66" spans="1:12">
      <c r="A66" s="1"/>
      <c r="B66" s="1">
        <v>825977</v>
      </c>
      <c r="C66" s="1" t="s">
        <v>226</v>
      </c>
      <c r="D66" s="1" t="s">
        <v>227</v>
      </c>
      <c r="E66" s="3" t="s">
        <v>228</v>
      </c>
      <c r="F66" s="1" t="s">
        <v>229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K66*2527.58</f>
        <v>0</v>
      </c>
    </row>
    <row r="67" spans="1:12">
      <c r="A67" s="1"/>
      <c r="B67" s="1">
        <v>825978</v>
      </c>
      <c r="C67" s="1" t="s">
        <v>230</v>
      </c>
      <c r="D67" s="1" t="s">
        <v>231</v>
      </c>
      <c r="E67" s="3" t="s">
        <v>83</v>
      </c>
      <c r="F67" s="1" t="s">
        <v>232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K67*3870.35</f>
        <v>0</v>
      </c>
    </row>
    <row r="68" spans="1:12">
      <c r="A68" s="1"/>
      <c r="B68" s="1">
        <v>825979</v>
      </c>
      <c r="C68" s="1" t="s">
        <v>233</v>
      </c>
      <c r="D68" s="1" t="s">
        <v>234</v>
      </c>
      <c r="E68" s="3" t="s">
        <v>83</v>
      </c>
      <c r="F68" s="1" t="s">
        <v>235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K68*3653.87</f>
        <v>0</v>
      </c>
    </row>
    <row r="69" spans="1:12">
      <c r="A69" s="1"/>
      <c r="B69" s="1">
        <v>825980</v>
      </c>
      <c r="C69" s="1" t="s">
        <v>236</v>
      </c>
      <c r="D69" s="1" t="s">
        <v>237</v>
      </c>
      <c r="E69" s="3" t="s">
        <v>83</v>
      </c>
      <c r="F69" s="1" t="s">
        <v>238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K69*2555.37</f>
        <v>0</v>
      </c>
    </row>
    <row r="70" spans="1:12">
      <c r="A70" s="1"/>
      <c r="B70" s="1">
        <v>825981</v>
      </c>
      <c r="C70" s="1" t="s">
        <v>239</v>
      </c>
      <c r="D70" s="1" t="s">
        <v>240</v>
      </c>
      <c r="E70" s="3" t="s">
        <v>83</v>
      </c>
      <c r="F70" s="1" t="s">
        <v>241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K70*3136.31</f>
        <v>0</v>
      </c>
    </row>
    <row r="71" spans="1:12">
      <c r="A71" s="1"/>
      <c r="B71" s="1">
        <v>825982</v>
      </c>
      <c r="C71" s="1" t="s">
        <v>242</v>
      </c>
      <c r="D71" s="1" t="s">
        <v>243</v>
      </c>
      <c r="E71" s="3" t="s">
        <v>228</v>
      </c>
      <c r="F71" s="1" t="s">
        <v>244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K71*2627.46</f>
        <v>0</v>
      </c>
    </row>
    <row r="72" spans="1:12">
      <c r="A72" s="1"/>
      <c r="B72" s="1">
        <v>825983</v>
      </c>
      <c r="C72" s="1" t="s">
        <v>245</v>
      </c>
      <c r="D72" s="1" t="s">
        <v>246</v>
      </c>
      <c r="E72" s="3" t="s">
        <v>83</v>
      </c>
      <c r="F72" s="1" t="s">
        <v>247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K72*4068.87</f>
        <v>0</v>
      </c>
    </row>
    <row r="73" spans="1:12">
      <c r="A73" s="1"/>
      <c r="B73" s="1">
        <v>825984</v>
      </c>
      <c r="C73" s="1" t="s">
        <v>248</v>
      </c>
      <c r="D73" s="1" t="s">
        <v>249</v>
      </c>
      <c r="E73" s="3" t="s">
        <v>250</v>
      </c>
      <c r="F73" s="1" t="s">
        <v>251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K73*2416.41</f>
        <v>0</v>
      </c>
    </row>
    <row r="74" spans="1:12">
      <c r="A74" s="1"/>
      <c r="B74" s="1">
        <v>825985</v>
      </c>
      <c r="C74" s="1" t="s">
        <v>252</v>
      </c>
      <c r="D74" s="1" t="s">
        <v>253</v>
      </c>
      <c r="E74" s="3" t="s">
        <v>83</v>
      </c>
      <c r="F74" s="1" t="s">
        <v>254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K74*4167.28</f>
        <v>0</v>
      </c>
    </row>
    <row r="75" spans="1:12">
      <c r="A75" s="1"/>
      <c r="B75" s="1">
        <v>825986</v>
      </c>
      <c r="C75" s="1" t="s">
        <v>255</v>
      </c>
      <c r="D75" s="1" t="s">
        <v>256</v>
      </c>
      <c r="E75" s="3" t="s">
        <v>83</v>
      </c>
      <c r="F75" s="1" t="s">
        <v>257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K75*3454.94</f>
        <v>0</v>
      </c>
    </row>
    <row r="76" spans="1:12">
      <c r="A76" s="1"/>
      <c r="B76" s="1">
        <v>825987</v>
      </c>
      <c r="C76" s="1" t="s">
        <v>258</v>
      </c>
      <c r="D76" s="1" t="s">
        <v>259</v>
      </c>
      <c r="E76" s="3" t="s">
        <v>83</v>
      </c>
      <c r="F76" s="1" t="s">
        <v>260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K76*3475.42</f>
        <v>0</v>
      </c>
    </row>
    <row r="77" spans="1:12">
      <c r="A77" s="1"/>
      <c r="B77" s="1">
        <v>825988</v>
      </c>
      <c r="C77" s="1" t="s">
        <v>261</v>
      </c>
      <c r="D77" s="1" t="s">
        <v>262</v>
      </c>
      <c r="E77" s="3" t="s">
        <v>228</v>
      </c>
      <c r="F77" s="1" t="s">
        <v>263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K77*2104.85</f>
        <v>0</v>
      </c>
    </row>
    <row r="78" spans="1:12">
      <c r="A78" s="1"/>
      <c r="B78" s="1">
        <v>825989</v>
      </c>
      <c r="C78" s="1" t="s">
        <v>264</v>
      </c>
      <c r="D78" s="1" t="s">
        <v>265</v>
      </c>
      <c r="E78" s="3" t="s">
        <v>266</v>
      </c>
      <c r="F78" s="1" t="s">
        <v>267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K78*3526.61</f>
        <v>0</v>
      </c>
    </row>
    <row r="79" spans="1:12">
      <c r="A79" s="1"/>
      <c r="B79" s="1">
        <v>825990</v>
      </c>
      <c r="C79" s="1" t="s">
        <v>268</v>
      </c>
      <c r="D79" s="1" t="s">
        <v>269</v>
      </c>
      <c r="E79" s="3" t="s">
        <v>250</v>
      </c>
      <c r="F79" s="1" t="s">
        <v>270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K79*3721.15</f>
        <v>0</v>
      </c>
    </row>
    <row r="80" spans="1:12">
      <c r="A80" s="1"/>
      <c r="B80" s="1">
        <v>825991</v>
      </c>
      <c r="C80" s="1" t="s">
        <v>271</v>
      </c>
      <c r="D80" s="1" t="s">
        <v>272</v>
      </c>
      <c r="E80" s="3" t="s">
        <v>273</v>
      </c>
      <c r="F80" s="1" t="s">
        <v>274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K80*3029.29</f>
        <v>0</v>
      </c>
    </row>
    <row r="81" spans="1:12">
      <c r="A81" s="1"/>
      <c r="B81" s="1">
        <v>825992</v>
      </c>
      <c r="C81" s="1" t="s">
        <v>275</v>
      </c>
      <c r="D81" s="1" t="s">
        <v>276</v>
      </c>
      <c r="E81" s="3" t="s">
        <v>277</v>
      </c>
      <c r="F81" s="1" t="s">
        <v>278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K81*3191.65</f>
        <v>0</v>
      </c>
    </row>
    <row r="82" spans="1:12">
      <c r="A82" s="1"/>
      <c r="B82" s="1">
        <v>825993</v>
      </c>
      <c r="C82" s="1" t="s">
        <v>279</v>
      </c>
      <c r="D82" s="1" t="s">
        <v>280</v>
      </c>
      <c r="E82" s="3" t="s">
        <v>273</v>
      </c>
      <c r="F82" s="1" t="s">
        <v>281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K82*3431.54</f>
        <v>0</v>
      </c>
    </row>
    <row r="83" spans="1:12">
      <c r="A83" s="1"/>
      <c r="B83" s="1">
        <v>825994</v>
      </c>
      <c r="C83" s="1" t="s">
        <v>282</v>
      </c>
      <c r="D83" s="1" t="s">
        <v>283</v>
      </c>
      <c r="E83" s="3" t="s">
        <v>228</v>
      </c>
      <c r="F83" s="1" t="s">
        <v>284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K83*2689.88</f>
        <v>0</v>
      </c>
    </row>
    <row r="84" spans="1:12">
      <c r="A84" s="1"/>
      <c r="B84" s="1">
        <v>825995</v>
      </c>
      <c r="C84" s="1" t="s">
        <v>285</v>
      </c>
      <c r="D84" s="1" t="s">
        <v>286</v>
      </c>
      <c r="E84" s="3" t="s">
        <v>273</v>
      </c>
      <c r="F84" s="1" t="s">
        <v>287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K84*3032.21</f>
        <v>0</v>
      </c>
    </row>
    <row r="85" spans="1:12">
      <c r="A85" s="1"/>
      <c r="B85" s="1">
        <v>825996</v>
      </c>
      <c r="C85" s="1" t="s">
        <v>288</v>
      </c>
      <c r="D85" s="1" t="s">
        <v>289</v>
      </c>
      <c r="E85" s="3" t="s">
        <v>290</v>
      </c>
      <c r="F85" s="1" t="s">
        <v>291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K85*12373.09</f>
        <v>0</v>
      </c>
    </row>
    <row r="86" spans="1:12">
      <c r="A86" s="1"/>
      <c r="B86" s="1">
        <v>825997</v>
      </c>
      <c r="C86" s="1" t="s">
        <v>292</v>
      </c>
      <c r="D86" s="1" t="s">
        <v>293</v>
      </c>
      <c r="E86" s="3" t="s">
        <v>294</v>
      </c>
      <c r="F86" s="1" t="s">
        <v>295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K86*12777.89</f>
        <v>0</v>
      </c>
    </row>
    <row r="87" spans="1:12">
      <c r="A87" s="1"/>
      <c r="B87" s="1">
        <v>825998</v>
      </c>
      <c r="C87" s="1" t="s">
        <v>296</v>
      </c>
      <c r="D87" s="1" t="s">
        <v>297</v>
      </c>
      <c r="E87" s="3" t="s">
        <v>294</v>
      </c>
      <c r="F87" s="1" t="s">
        <v>298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K87*12212.30</f>
        <v>0</v>
      </c>
    </row>
    <row r="88" spans="1:12">
      <c r="A88" s="1"/>
      <c r="B88" s="1">
        <v>825999</v>
      </c>
      <c r="C88" s="1" t="s">
        <v>299</v>
      </c>
      <c r="D88" s="1" t="s">
        <v>300</v>
      </c>
      <c r="E88" s="3" t="s">
        <v>294</v>
      </c>
      <c r="F88" s="1" t="s">
        <v>301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K88*7392.58</f>
        <v>0</v>
      </c>
    </row>
    <row r="89" spans="1:12">
      <c r="A89" s="1"/>
      <c r="B89" s="1">
        <v>826000</v>
      </c>
      <c r="C89" s="1" t="s">
        <v>302</v>
      </c>
      <c r="D89" s="1" t="s">
        <v>303</v>
      </c>
      <c r="E89" s="3" t="s">
        <v>294</v>
      </c>
      <c r="F89" s="1" t="s">
        <v>304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K89*11909.64</f>
        <v>0</v>
      </c>
    </row>
    <row r="90" spans="1:12">
      <c r="A90" s="1"/>
      <c r="B90" s="1">
        <v>826001</v>
      </c>
      <c r="C90" s="1" t="s">
        <v>305</v>
      </c>
      <c r="D90" s="1" t="s">
        <v>306</v>
      </c>
      <c r="E90" s="3" t="s">
        <v>294</v>
      </c>
      <c r="F90" s="1" t="s">
        <v>307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K90*9382.44</f>
        <v>0</v>
      </c>
    </row>
    <row r="91" spans="1:12">
      <c r="A91" s="1"/>
      <c r="B91" s="1">
        <v>826002</v>
      </c>
      <c r="C91" s="1" t="s">
        <v>308</v>
      </c>
      <c r="D91" s="1" t="s">
        <v>309</v>
      </c>
      <c r="E91" s="3" t="s">
        <v>290</v>
      </c>
      <c r="F91" s="1" t="s">
        <v>310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K91*7513.98</f>
        <v>0</v>
      </c>
    </row>
    <row r="92" spans="1:12">
      <c r="A92" s="1"/>
      <c r="B92" s="1">
        <v>826003</v>
      </c>
      <c r="C92" s="1" t="s">
        <v>311</v>
      </c>
      <c r="D92" s="1" t="s">
        <v>312</v>
      </c>
      <c r="E92" s="3" t="s">
        <v>290</v>
      </c>
      <c r="F92" s="1" t="s">
        <v>313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K92*6010.31</f>
        <v>0</v>
      </c>
    </row>
    <row r="93" spans="1:12">
      <c r="A93" s="1"/>
      <c r="B93" s="1">
        <v>826004</v>
      </c>
      <c r="C93" s="1" t="s">
        <v>314</v>
      </c>
      <c r="D93" s="1" t="s">
        <v>315</v>
      </c>
      <c r="E93" s="3" t="s">
        <v>290</v>
      </c>
      <c r="F93" s="1" t="s">
        <v>316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K93*13955.79</f>
        <v>0</v>
      </c>
    </row>
    <row r="94" spans="1:12">
      <c r="A94" s="1"/>
      <c r="B94" s="1">
        <v>826005</v>
      </c>
      <c r="C94" s="1" t="s">
        <v>317</v>
      </c>
      <c r="D94" s="1" t="s">
        <v>318</v>
      </c>
      <c r="E94" s="3" t="s">
        <v>319</v>
      </c>
      <c r="F94" s="1" t="s">
        <v>320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K94*14431.18</f>
        <v>0</v>
      </c>
    </row>
    <row r="95" spans="1:12">
      <c r="A95" s="1"/>
      <c r="B95" s="1">
        <v>826006</v>
      </c>
      <c r="C95" s="1" t="s">
        <v>321</v>
      </c>
      <c r="D95" s="1" t="s">
        <v>322</v>
      </c>
      <c r="E95" s="3" t="s">
        <v>323</v>
      </c>
      <c r="F95" s="1" t="s">
        <v>324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K95*12219.55</f>
        <v>0</v>
      </c>
    </row>
    <row r="96" spans="1:12">
      <c r="A96" s="1"/>
      <c r="B96" s="1">
        <v>826007</v>
      </c>
      <c r="C96" s="1" t="s">
        <v>325</v>
      </c>
      <c r="D96" s="1" t="s">
        <v>326</v>
      </c>
      <c r="E96" s="3" t="s">
        <v>323</v>
      </c>
      <c r="F96" s="1" t="s">
        <v>327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K96*16570.59</f>
        <v>0</v>
      </c>
    </row>
    <row r="97" spans="1:12">
      <c r="A97" s="1"/>
      <c r="B97" s="1">
        <v>826008</v>
      </c>
      <c r="C97" s="1" t="s">
        <v>328</v>
      </c>
      <c r="D97" s="1" t="s">
        <v>329</v>
      </c>
      <c r="E97" s="3" t="s">
        <v>323</v>
      </c>
      <c r="F97" s="1" t="s">
        <v>330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K97*15696.66</f>
        <v>0</v>
      </c>
    </row>
    <row r="98" spans="1:12">
      <c r="A98" s="1"/>
      <c r="B98" s="1">
        <v>826009</v>
      </c>
      <c r="C98" s="1" t="s">
        <v>331</v>
      </c>
      <c r="D98" s="1" t="s">
        <v>332</v>
      </c>
      <c r="E98" s="3" t="s">
        <v>323</v>
      </c>
      <c r="F98" s="1" t="s">
        <v>333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K98*10531.57</f>
        <v>0</v>
      </c>
    </row>
    <row r="99" spans="1:12">
      <c r="A99" s="1"/>
      <c r="B99" s="1">
        <v>826010</v>
      </c>
      <c r="C99" s="1" t="s">
        <v>334</v>
      </c>
      <c r="D99" s="1" t="s">
        <v>335</v>
      </c>
      <c r="E99" s="3" t="s">
        <v>323</v>
      </c>
      <c r="F99" s="1" t="s">
        <v>336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K99*6936.21</f>
        <v>0</v>
      </c>
    </row>
    <row r="100" spans="1:12">
      <c r="A100" s="1"/>
      <c r="B100" s="1">
        <v>826011</v>
      </c>
      <c r="C100" s="1" t="s">
        <v>337</v>
      </c>
      <c r="D100" s="1" t="s">
        <v>338</v>
      </c>
      <c r="E100" s="3" t="s">
        <v>323</v>
      </c>
      <c r="F100" s="1" t="s">
        <v>339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K100*9370.17</f>
        <v>0</v>
      </c>
    </row>
    <row r="101" spans="1:12">
      <c r="A101" s="1"/>
      <c r="B101" s="1">
        <v>826012</v>
      </c>
      <c r="C101" s="1" t="s">
        <v>340</v>
      </c>
      <c r="D101" s="1" t="s">
        <v>341</v>
      </c>
      <c r="E101" s="3" t="s">
        <v>342</v>
      </c>
      <c r="F101" s="1" t="s">
        <v>343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K101*12213.70</f>
        <v>0</v>
      </c>
    </row>
    <row r="102" spans="1:12">
      <c r="A102" s="1"/>
      <c r="B102" s="1">
        <v>826013</v>
      </c>
      <c r="C102" s="1" t="s">
        <v>344</v>
      </c>
      <c r="D102" s="1" t="s">
        <v>345</v>
      </c>
      <c r="E102" s="3" t="s">
        <v>323</v>
      </c>
      <c r="F102" s="1" t="s">
        <v>346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K102*9016.19</f>
        <v>0</v>
      </c>
    </row>
    <row r="103" spans="1:12">
      <c r="A103" s="1"/>
      <c r="B103" s="1">
        <v>826014</v>
      </c>
      <c r="C103" s="1" t="s">
        <v>347</v>
      </c>
      <c r="D103" s="1" t="s">
        <v>348</v>
      </c>
      <c r="E103" s="3" t="s">
        <v>323</v>
      </c>
      <c r="F103" s="1" t="s">
        <v>349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K103*15969.95</f>
        <v>0</v>
      </c>
    </row>
    <row r="104" spans="1:12">
      <c r="A104" s="1"/>
      <c r="B104" s="1">
        <v>826015</v>
      </c>
      <c r="C104" s="1" t="s">
        <v>350</v>
      </c>
      <c r="D104" s="1" t="s">
        <v>351</v>
      </c>
      <c r="E104" s="3" t="s">
        <v>323</v>
      </c>
      <c r="F104" s="1" t="s">
        <v>352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K104*13241.99</f>
        <v>0</v>
      </c>
    </row>
    <row r="105" spans="1:12">
      <c r="A105" s="1"/>
      <c r="B105" s="1">
        <v>826016</v>
      </c>
      <c r="C105" s="1" t="s">
        <v>353</v>
      </c>
      <c r="D105" s="1" t="s">
        <v>354</v>
      </c>
      <c r="E105" s="3" t="s">
        <v>323</v>
      </c>
      <c r="F105" s="1" t="s">
        <v>355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K105*13525.75</f>
        <v>0</v>
      </c>
    </row>
    <row r="106" spans="1:12">
      <c r="A106" s="1"/>
      <c r="B106" s="1">
        <v>831337</v>
      </c>
      <c r="C106" s="1" t="s">
        <v>356</v>
      </c>
      <c r="D106" s="1" t="s">
        <v>357</v>
      </c>
      <c r="E106" s="3" t="s">
        <v>358</v>
      </c>
      <c r="F106" s="1" t="s">
        <v>359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K106*5259.93</f>
        <v>0</v>
      </c>
    </row>
    <row r="107" spans="1:12">
      <c r="A107" s="1"/>
      <c r="B107" s="1">
        <v>831351</v>
      </c>
      <c r="C107" s="1" t="s">
        <v>360</v>
      </c>
      <c r="D107" s="1" t="s">
        <v>361</v>
      </c>
      <c r="E107" s="3" t="s">
        <v>362</v>
      </c>
      <c r="F107" s="1" t="s">
        <v>363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K107*6011.77</f>
        <v>0</v>
      </c>
    </row>
    <row r="108" spans="1:12">
      <c r="A108" s="1"/>
      <c r="B108" s="1">
        <v>831359</v>
      </c>
      <c r="C108" s="1" t="s">
        <v>364</v>
      </c>
      <c r="D108" s="1" t="s">
        <v>365</v>
      </c>
      <c r="E108" s="3" t="s">
        <v>366</v>
      </c>
      <c r="F108" s="1" t="s">
        <v>367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K108*5432.53</f>
        <v>0</v>
      </c>
    </row>
    <row r="109" spans="1:12">
      <c r="A109" s="1"/>
      <c r="B109" s="1">
        <v>831360</v>
      </c>
      <c r="C109" s="1" t="s">
        <v>368</v>
      </c>
      <c r="D109" s="1" t="s">
        <v>369</v>
      </c>
      <c r="E109" s="3" t="s">
        <v>366</v>
      </c>
      <c r="F109" s="1" t="s">
        <v>370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K109*5463.25</f>
        <v>0</v>
      </c>
    </row>
    <row r="110" spans="1:12">
      <c r="A110" s="1"/>
      <c r="B110" s="1">
        <v>831363</v>
      </c>
      <c r="C110" s="1" t="s">
        <v>371</v>
      </c>
      <c r="D110" s="1" t="s">
        <v>372</v>
      </c>
      <c r="E110" s="3" t="s">
        <v>373</v>
      </c>
      <c r="F110" s="1" t="s">
        <v>189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K110*5464.71</f>
        <v>0</v>
      </c>
    </row>
    <row r="111" spans="1:12">
      <c r="A111" s="1"/>
      <c r="B111" s="1">
        <v>831364</v>
      </c>
      <c r="C111" s="1" t="s">
        <v>374</v>
      </c>
      <c r="D111" s="1" t="s">
        <v>375</v>
      </c>
      <c r="E111" s="3" t="s">
        <v>376</v>
      </c>
      <c r="F111" s="1" t="s">
        <v>377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K111*5558.33</f>
        <v>0</v>
      </c>
    </row>
    <row r="112" spans="1:12">
      <c r="A112" s="1"/>
      <c r="B112" s="1">
        <v>831365</v>
      </c>
      <c r="C112" s="1" t="s">
        <v>378</v>
      </c>
      <c r="D112" s="1" t="s">
        <v>379</v>
      </c>
      <c r="E112" s="3" t="s">
        <v>380</v>
      </c>
      <c r="F112" s="1" t="s">
        <v>359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K112*5259.93</f>
        <v>0</v>
      </c>
    </row>
    <row r="113" spans="1:12">
      <c r="A113" s="1"/>
      <c r="B113" s="1">
        <v>831376</v>
      </c>
      <c r="C113" s="1" t="s">
        <v>381</v>
      </c>
      <c r="D113" s="1" t="s">
        <v>382</v>
      </c>
      <c r="E113" s="3" t="s">
        <v>383</v>
      </c>
      <c r="F113" s="1" t="s">
        <v>384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K113*6482.77</f>
        <v>0</v>
      </c>
    </row>
    <row r="114" spans="1:12">
      <c r="A114" s="1"/>
      <c r="B114" s="1">
        <v>831449</v>
      </c>
      <c r="C114" s="1" t="s">
        <v>385</v>
      </c>
      <c r="D114" s="1" t="s">
        <v>386</v>
      </c>
      <c r="E114" s="3" t="s">
        <v>387</v>
      </c>
      <c r="F114" s="1" t="s">
        <v>388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K114*3307.21</f>
        <v>0</v>
      </c>
    </row>
    <row r="115" spans="1:12">
      <c r="A115" s="1"/>
      <c r="B115" s="1">
        <v>831451</v>
      </c>
      <c r="C115" s="1" t="s">
        <v>389</v>
      </c>
      <c r="D115" s="1" t="s">
        <v>390</v>
      </c>
      <c r="E115" s="3" t="s">
        <v>387</v>
      </c>
      <c r="F115" s="1" t="s">
        <v>391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K115*4910.34</f>
        <v>0</v>
      </c>
    </row>
    <row r="116" spans="1:12">
      <c r="A116" s="1"/>
      <c r="B116" s="1">
        <v>831461</v>
      </c>
      <c r="C116" s="1" t="s">
        <v>392</v>
      </c>
      <c r="D116" s="1" t="s">
        <v>393</v>
      </c>
      <c r="E116" s="3" t="s">
        <v>387</v>
      </c>
      <c r="F116" s="1" t="s">
        <v>394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K116*4420.33</f>
        <v>0</v>
      </c>
    </row>
    <row r="117" spans="1:12">
      <c r="A117" s="1"/>
      <c r="B117" s="1">
        <v>831462</v>
      </c>
      <c r="C117" s="1" t="s">
        <v>395</v>
      </c>
      <c r="D117" s="1" t="s">
        <v>396</v>
      </c>
      <c r="E117" s="3" t="s">
        <v>387</v>
      </c>
      <c r="F117" s="1" t="s">
        <v>394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K117*4420.33</f>
        <v>0</v>
      </c>
    </row>
    <row r="118" spans="1:12">
      <c r="A118" s="1"/>
      <c r="B118" s="1">
        <v>831465</v>
      </c>
      <c r="C118" s="1" t="s">
        <v>397</v>
      </c>
      <c r="D118" s="1" t="s">
        <v>398</v>
      </c>
      <c r="E118" s="3" t="s">
        <v>387</v>
      </c>
      <c r="F118" s="1" t="s">
        <v>399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K118*3456.40</f>
        <v>0</v>
      </c>
    </row>
    <row r="119" spans="1:12">
      <c r="A119" s="1"/>
      <c r="B119" s="1">
        <v>831288</v>
      </c>
      <c r="C119" s="1" t="s">
        <v>400</v>
      </c>
      <c r="D119" s="1" t="s">
        <v>401</v>
      </c>
      <c r="E119" s="3" t="s">
        <v>402</v>
      </c>
      <c r="F119" s="1" t="s">
        <v>403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K119*13154.22</f>
        <v>0</v>
      </c>
    </row>
    <row r="120" spans="1:12">
      <c r="A120" s="1"/>
      <c r="B120" s="1">
        <v>831289</v>
      </c>
      <c r="C120" s="1" t="s">
        <v>404</v>
      </c>
      <c r="D120" s="1" t="s">
        <v>405</v>
      </c>
      <c r="E120" s="3" t="s">
        <v>402</v>
      </c>
      <c r="F120" s="1" t="s">
        <v>406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K120*10139.08</f>
        <v>0</v>
      </c>
    </row>
    <row r="121" spans="1:12">
      <c r="A121" s="1"/>
      <c r="B121" s="1">
        <v>831296</v>
      </c>
      <c r="C121" s="1" t="s">
        <v>407</v>
      </c>
      <c r="D121" s="1" t="s">
        <v>408</v>
      </c>
      <c r="E121" s="3" t="s">
        <v>409</v>
      </c>
      <c r="F121" s="1" t="s">
        <v>410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K121*16830.03</f>
        <v>0</v>
      </c>
    </row>
    <row r="122" spans="1:12">
      <c r="A122" s="1"/>
      <c r="B122" s="1">
        <v>831297</v>
      </c>
      <c r="C122" s="1" t="s">
        <v>411</v>
      </c>
      <c r="D122" s="1" t="s">
        <v>412</v>
      </c>
      <c r="E122" s="3" t="s">
        <v>409</v>
      </c>
      <c r="F122" s="1" t="s">
        <v>413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K122*12868.69</f>
        <v>0</v>
      </c>
    </row>
    <row r="123" spans="1:12">
      <c r="A123" s="1"/>
      <c r="B123" s="1">
        <v>831301</v>
      </c>
      <c r="C123" s="1" t="s">
        <v>414</v>
      </c>
      <c r="D123" s="1" t="s">
        <v>415</v>
      </c>
      <c r="E123" s="3" t="s">
        <v>416</v>
      </c>
      <c r="F123" s="1" t="s">
        <v>417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K123*21523.90</f>
        <v>0</v>
      </c>
    </row>
    <row r="124" spans="1:12">
      <c r="A124" s="1"/>
      <c r="B124" s="1">
        <v>831302</v>
      </c>
      <c r="C124" s="1" t="s">
        <v>418</v>
      </c>
      <c r="D124" s="1" t="s">
        <v>419</v>
      </c>
      <c r="E124" s="3" t="s">
        <v>420</v>
      </c>
      <c r="F124" s="1" t="s">
        <v>421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K124*15933.39</f>
        <v>0</v>
      </c>
    </row>
    <row r="125" spans="1:12">
      <c r="A125" s="1"/>
      <c r="B125" s="1">
        <v>831501</v>
      </c>
      <c r="C125" s="1" t="s">
        <v>422</v>
      </c>
      <c r="D125" s="1" t="s">
        <v>423</v>
      </c>
      <c r="E125" s="3" t="s">
        <v>424</v>
      </c>
      <c r="F125" s="1" t="s">
        <v>425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K125*5376.95</f>
        <v>0</v>
      </c>
    </row>
    <row r="126" spans="1:12">
      <c r="A126" s="1"/>
      <c r="B126" s="1">
        <v>831502</v>
      </c>
      <c r="C126" s="1" t="s">
        <v>426</v>
      </c>
      <c r="D126" s="1" t="s">
        <v>427</v>
      </c>
      <c r="E126" s="3" t="s">
        <v>424</v>
      </c>
      <c r="F126" s="1" t="s">
        <v>428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K126*5211.66</f>
        <v>0</v>
      </c>
    </row>
    <row r="127" spans="1:12">
      <c r="A127" s="1"/>
      <c r="B127" s="1">
        <v>827083</v>
      </c>
      <c r="C127" s="1" t="s">
        <v>429</v>
      </c>
      <c r="D127" s="1" t="s">
        <v>430</v>
      </c>
      <c r="E127" s="3" t="s">
        <v>431</v>
      </c>
      <c r="F127" s="1" t="s">
        <v>432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K127*2570.28</f>
        <v>0</v>
      </c>
    </row>
    <row r="128" spans="1:12">
      <c r="A128" s="1"/>
      <c r="B128" s="1">
        <v>827084</v>
      </c>
      <c r="C128" s="1" t="s">
        <v>433</v>
      </c>
      <c r="D128" s="1" t="s">
        <v>434</v>
      </c>
      <c r="E128" s="3" t="s">
        <v>435</v>
      </c>
      <c r="F128" s="1" t="s">
        <v>432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K128*2570.28</f>
        <v>0</v>
      </c>
    </row>
    <row r="129" spans="1:12">
      <c r="A129" s="1"/>
      <c r="B129" s="1">
        <v>827085</v>
      </c>
      <c r="C129" s="1" t="s">
        <v>436</v>
      </c>
      <c r="D129" s="1" t="s">
        <v>437</v>
      </c>
      <c r="E129" s="3" t="s">
        <v>438</v>
      </c>
      <c r="F129" s="1" t="s">
        <v>439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K129*0.00</f>
        <v>0</v>
      </c>
    </row>
    <row r="130" spans="1:12">
      <c r="A130" s="1"/>
      <c r="B130" s="1">
        <v>827086</v>
      </c>
      <c r="C130" s="1" t="s">
        <v>440</v>
      </c>
      <c r="D130" s="1" t="s">
        <v>441</v>
      </c>
      <c r="E130" s="3" t="s">
        <v>442</v>
      </c>
      <c r="F130" s="1" t="s">
        <v>439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K130*0.00</f>
        <v>0</v>
      </c>
    </row>
    <row r="131" spans="1:12">
      <c r="A131" s="1"/>
      <c r="B131" s="1">
        <v>827087</v>
      </c>
      <c r="C131" s="1" t="s">
        <v>443</v>
      </c>
      <c r="D131" s="1" t="s">
        <v>444</v>
      </c>
      <c r="E131" s="3" t="s">
        <v>445</v>
      </c>
      <c r="F131" s="1" t="s">
        <v>446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K131*3982.05</f>
        <v>0</v>
      </c>
    </row>
    <row r="132" spans="1:12">
      <c r="A132" s="1"/>
      <c r="B132" s="1">
        <v>827088</v>
      </c>
      <c r="C132" s="1" t="s">
        <v>447</v>
      </c>
      <c r="D132" s="1" t="s">
        <v>448</v>
      </c>
      <c r="E132" s="3" t="s">
        <v>449</v>
      </c>
      <c r="F132" s="1" t="s">
        <v>439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K132*0.00</f>
        <v>0</v>
      </c>
    </row>
    <row r="133" spans="1:12">
      <c r="A133" s="1"/>
      <c r="B133" s="1">
        <v>827089</v>
      </c>
      <c r="C133" s="1" t="s">
        <v>450</v>
      </c>
      <c r="D133" s="1" t="s">
        <v>451</v>
      </c>
      <c r="E133" s="3" t="s">
        <v>452</v>
      </c>
      <c r="F133" s="1" t="s">
        <v>453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K133*2033.68</f>
        <v>0</v>
      </c>
    </row>
    <row r="134" spans="1:12">
      <c r="A134" s="1"/>
      <c r="B134" s="1">
        <v>827090</v>
      </c>
      <c r="C134" s="1" t="s">
        <v>454</v>
      </c>
      <c r="D134" s="1" t="s">
        <v>455</v>
      </c>
      <c r="E134" s="3" t="s">
        <v>456</v>
      </c>
      <c r="F134" s="1" t="s">
        <v>453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K134*2033.68</f>
        <v>0</v>
      </c>
    </row>
    <row r="135" spans="1:12">
      <c r="A135" s="1"/>
      <c r="B135" s="1">
        <v>827091</v>
      </c>
      <c r="C135" s="1" t="s">
        <v>457</v>
      </c>
      <c r="D135" s="1" t="s">
        <v>458</v>
      </c>
      <c r="E135" s="3" t="s">
        <v>459</v>
      </c>
      <c r="F135" s="1" t="s">
        <v>460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K135*2715.55</f>
        <v>0</v>
      </c>
    </row>
    <row r="136" spans="1:12">
      <c r="A136" s="1"/>
      <c r="B136" s="1">
        <v>827092</v>
      </c>
      <c r="C136" s="1" t="s">
        <v>461</v>
      </c>
      <c r="D136" s="1" t="s">
        <v>462</v>
      </c>
      <c r="E136" s="3" t="s">
        <v>463</v>
      </c>
      <c r="F136" s="1" t="s">
        <v>439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K136*0.00</f>
        <v>0</v>
      </c>
    </row>
    <row r="137" spans="1:12">
      <c r="A137" s="1"/>
      <c r="B137" s="1">
        <v>827093</v>
      </c>
      <c r="C137" s="1" t="s">
        <v>464</v>
      </c>
      <c r="D137" s="1" t="s">
        <v>465</v>
      </c>
      <c r="E137" s="3" t="s">
        <v>466</v>
      </c>
      <c r="F137" s="1" t="s">
        <v>467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K137*3717.19</f>
        <v>0</v>
      </c>
    </row>
    <row r="138" spans="1:12">
      <c r="A138" s="1"/>
      <c r="B138" s="1">
        <v>827094</v>
      </c>
      <c r="C138" s="1" t="s">
        <v>468</v>
      </c>
      <c r="D138" s="1" t="s">
        <v>469</v>
      </c>
      <c r="E138" s="3" t="s">
        <v>470</v>
      </c>
      <c r="F138" s="1" t="s">
        <v>467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K138*3717.19</f>
        <v>0</v>
      </c>
    </row>
    <row r="139" spans="1:12">
      <c r="A139" s="1"/>
      <c r="B139" s="1">
        <v>827095</v>
      </c>
      <c r="C139" s="1" t="s">
        <v>471</v>
      </c>
      <c r="D139" s="1" t="s">
        <v>472</v>
      </c>
      <c r="E139" s="3" t="s">
        <v>473</v>
      </c>
      <c r="F139" s="1" t="s">
        <v>474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K139*3711.87</f>
        <v>0</v>
      </c>
    </row>
    <row r="140" spans="1:12">
      <c r="A140" s="1"/>
      <c r="B140" s="1">
        <v>827096</v>
      </c>
      <c r="C140" s="1" t="s">
        <v>475</v>
      </c>
      <c r="D140" s="1" t="s">
        <v>476</v>
      </c>
      <c r="E140" s="3" t="s">
        <v>477</v>
      </c>
      <c r="F140" s="1" t="s">
        <v>474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K140*3711.87</f>
        <v>0</v>
      </c>
    </row>
    <row r="141" spans="1:12">
      <c r="A141" s="1"/>
      <c r="B141" s="1">
        <v>827097</v>
      </c>
      <c r="C141" s="1" t="s">
        <v>478</v>
      </c>
      <c r="D141" s="1" t="s">
        <v>479</v>
      </c>
      <c r="E141" s="3" t="s">
        <v>480</v>
      </c>
      <c r="F141" s="1" t="s">
        <v>481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K141*3355.27</f>
        <v>0</v>
      </c>
    </row>
    <row r="142" spans="1:12">
      <c r="A142" s="1"/>
      <c r="B142" s="1">
        <v>827098</v>
      </c>
      <c r="C142" s="1" t="s">
        <v>482</v>
      </c>
      <c r="D142" s="1" t="s">
        <v>483</v>
      </c>
      <c r="E142" s="3" t="s">
        <v>484</v>
      </c>
      <c r="F142" s="1" t="s">
        <v>481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K142*3355.27</f>
        <v>0</v>
      </c>
    </row>
    <row r="143" spans="1:12">
      <c r="A143" s="1"/>
      <c r="B143" s="1">
        <v>827099</v>
      </c>
      <c r="C143" s="1" t="s">
        <v>485</v>
      </c>
      <c r="D143" s="1" t="s">
        <v>486</v>
      </c>
      <c r="E143" s="3" t="s">
        <v>487</v>
      </c>
      <c r="F143" s="1" t="s">
        <v>439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K143*0.00</f>
        <v>0</v>
      </c>
    </row>
    <row r="144" spans="1:12">
      <c r="A144" s="1"/>
      <c r="B144" s="1">
        <v>827100</v>
      </c>
      <c r="C144" s="1" t="s">
        <v>488</v>
      </c>
      <c r="D144" s="1" t="s">
        <v>489</v>
      </c>
      <c r="E144" s="3" t="s">
        <v>490</v>
      </c>
      <c r="F144" s="1" t="s">
        <v>491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K144*5886.44</f>
        <v>0</v>
      </c>
    </row>
    <row r="145" spans="1:12">
      <c r="A145" s="1"/>
      <c r="B145" s="1">
        <v>827101</v>
      </c>
      <c r="C145" s="1" t="s">
        <v>492</v>
      </c>
      <c r="D145" s="1" t="s">
        <v>493</v>
      </c>
      <c r="E145" s="3" t="s">
        <v>494</v>
      </c>
      <c r="F145" s="1" t="s">
        <v>495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K145*3169.97</f>
        <v>0</v>
      </c>
    </row>
    <row r="146" spans="1:12">
      <c r="A146" s="1"/>
      <c r="B146" s="1">
        <v>827102</v>
      </c>
      <c r="C146" s="1" t="s">
        <v>496</v>
      </c>
      <c r="D146" s="1" t="s">
        <v>497</v>
      </c>
      <c r="E146" s="3" t="s">
        <v>498</v>
      </c>
      <c r="F146" s="1" t="s">
        <v>495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K146*3169.97</f>
        <v>0</v>
      </c>
    </row>
    <row r="147" spans="1:12">
      <c r="A147" s="1"/>
      <c r="B147" s="1">
        <v>827103</v>
      </c>
      <c r="C147" s="1" t="s">
        <v>499</v>
      </c>
      <c r="D147" s="1" t="s">
        <v>500</v>
      </c>
      <c r="E147" s="3" t="s">
        <v>501</v>
      </c>
      <c r="F147" s="1" t="s">
        <v>439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K147*0.00</f>
        <v>0</v>
      </c>
    </row>
    <row r="148" spans="1:12">
      <c r="A148" s="1"/>
      <c r="B148" s="1">
        <v>827104</v>
      </c>
      <c r="C148" s="1" t="s">
        <v>502</v>
      </c>
      <c r="D148" s="1" t="s">
        <v>503</v>
      </c>
      <c r="E148" s="3" t="s">
        <v>504</v>
      </c>
      <c r="F148" s="1" t="s">
        <v>505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K148*6203.54</f>
        <v>0</v>
      </c>
    </row>
    <row r="149" spans="1:12">
      <c r="A149" s="1"/>
      <c r="B149" s="1">
        <v>827105</v>
      </c>
      <c r="C149" s="1" t="s">
        <v>506</v>
      </c>
      <c r="D149" s="1" t="s">
        <v>507</v>
      </c>
      <c r="E149" s="3" t="s">
        <v>508</v>
      </c>
      <c r="F149" s="1" t="s">
        <v>505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K149*6203.54</f>
        <v>0</v>
      </c>
    </row>
    <row r="150" spans="1:12">
      <c r="A150" s="1"/>
      <c r="B150" s="1">
        <v>827106</v>
      </c>
      <c r="C150" s="1" t="s">
        <v>509</v>
      </c>
      <c r="D150" s="1" t="s">
        <v>510</v>
      </c>
      <c r="E150" s="3" t="s">
        <v>511</v>
      </c>
      <c r="F150" s="1" t="s">
        <v>512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K150*2828.33</f>
        <v>0</v>
      </c>
    </row>
    <row r="151" spans="1:12">
      <c r="A151" s="1"/>
      <c r="B151" s="1">
        <v>827107</v>
      </c>
      <c r="C151" s="1" t="s">
        <v>513</v>
      </c>
      <c r="D151" s="1" t="s">
        <v>514</v>
      </c>
      <c r="E151" s="3" t="s">
        <v>515</v>
      </c>
      <c r="F151" s="1" t="s">
        <v>439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K151*0.00</f>
        <v>0</v>
      </c>
    </row>
    <row r="152" spans="1:12">
      <c r="A152" s="1"/>
      <c r="B152" s="1">
        <v>827108</v>
      </c>
      <c r="C152" s="1" t="s">
        <v>516</v>
      </c>
      <c r="D152" s="1" t="s">
        <v>517</v>
      </c>
      <c r="E152" s="3" t="s">
        <v>518</v>
      </c>
      <c r="F152" s="1" t="s">
        <v>439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K152*0.00</f>
        <v>0</v>
      </c>
    </row>
    <row r="153" spans="1:12">
      <c r="A153" s="1"/>
      <c r="B153" s="1">
        <v>827109</v>
      </c>
      <c r="C153" s="1" t="s">
        <v>519</v>
      </c>
      <c r="D153" s="1" t="s">
        <v>520</v>
      </c>
      <c r="E153" s="3" t="s">
        <v>521</v>
      </c>
      <c r="F153" s="1" t="s">
        <v>522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K153*3769.58</f>
        <v>0</v>
      </c>
    </row>
    <row r="154" spans="1:12">
      <c r="A154" s="1"/>
      <c r="B154" s="1">
        <v>827110</v>
      </c>
      <c r="C154" s="1" t="s">
        <v>523</v>
      </c>
      <c r="D154" s="1" t="s">
        <v>524</v>
      </c>
      <c r="E154" s="3" t="s">
        <v>525</v>
      </c>
      <c r="F154" s="1" t="s">
        <v>526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K154*2828.34</f>
        <v>0</v>
      </c>
    </row>
    <row r="155" spans="1:12">
      <c r="A155" s="1"/>
      <c r="B155" s="1">
        <v>827111</v>
      </c>
      <c r="C155" s="1" t="s">
        <v>527</v>
      </c>
      <c r="D155" s="1" t="s">
        <v>528</v>
      </c>
      <c r="E155" s="3" t="s">
        <v>529</v>
      </c>
      <c r="F155" s="1" t="s">
        <v>439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K155*0.00</f>
        <v>0</v>
      </c>
    </row>
    <row r="156" spans="1:12">
      <c r="A156" s="1"/>
      <c r="B156" s="1">
        <v>827112</v>
      </c>
      <c r="C156" s="1" t="s">
        <v>530</v>
      </c>
      <c r="D156" s="1" t="s">
        <v>531</v>
      </c>
      <c r="E156" s="3" t="s">
        <v>532</v>
      </c>
      <c r="F156" s="1" t="s">
        <v>439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K156*0.00</f>
        <v>0</v>
      </c>
    </row>
    <row r="157" spans="1:12">
      <c r="A157" s="1"/>
      <c r="B157" s="1">
        <v>827113</v>
      </c>
      <c r="C157" s="1" t="s">
        <v>533</v>
      </c>
      <c r="D157" s="1" t="s">
        <v>534</v>
      </c>
      <c r="E157" s="3" t="s">
        <v>535</v>
      </c>
      <c r="F157" s="1" t="s">
        <v>522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K157*3769.58</f>
        <v>0</v>
      </c>
    </row>
    <row r="158" spans="1:12">
      <c r="A158" s="1"/>
      <c r="B158" s="1">
        <v>827114</v>
      </c>
      <c r="C158" s="1" t="s">
        <v>536</v>
      </c>
      <c r="D158" s="1" t="s">
        <v>537</v>
      </c>
      <c r="E158" s="3" t="s">
        <v>538</v>
      </c>
      <c r="F158" s="1" t="s">
        <v>539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K158*2427.67</f>
        <v>0</v>
      </c>
    </row>
    <row r="159" spans="1:12">
      <c r="A159" s="1"/>
      <c r="B159" s="1">
        <v>827115</v>
      </c>
      <c r="C159" s="1" t="s">
        <v>540</v>
      </c>
      <c r="D159" s="1" t="s">
        <v>541</v>
      </c>
      <c r="E159" s="3" t="s">
        <v>542</v>
      </c>
      <c r="F159" s="1" t="s">
        <v>543</v>
      </c>
      <c r="G159" s="1" t="s">
        <v>14</v>
      </c>
      <c r="H159" s="1" t="s">
        <v>14</v>
      </c>
      <c r="I159" s="1" t="s">
        <v>14</v>
      </c>
      <c r="J159" s="1" t="s">
        <v>15</v>
      </c>
      <c r="K159" s="2"/>
      <c r="L159" s="5">
        <f>K159*2383.78</f>
        <v>0</v>
      </c>
    </row>
    <row r="160" spans="1:12">
      <c r="A160" s="1"/>
      <c r="B160" s="1">
        <v>827116</v>
      </c>
      <c r="C160" s="1" t="s">
        <v>544</v>
      </c>
      <c r="D160" s="1" t="s">
        <v>545</v>
      </c>
      <c r="E160" s="3" t="s">
        <v>546</v>
      </c>
      <c r="F160" s="1" t="s">
        <v>547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K160*2300.54</f>
        <v>0</v>
      </c>
    </row>
    <row r="161" spans="1:12">
      <c r="A161" s="1"/>
      <c r="B161" s="1">
        <v>827117</v>
      </c>
      <c r="C161" s="1" t="s">
        <v>548</v>
      </c>
      <c r="D161" s="1" t="s">
        <v>549</v>
      </c>
      <c r="E161" s="3" t="s">
        <v>550</v>
      </c>
      <c r="F161" s="1" t="s">
        <v>439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K161*0.00</f>
        <v>0</v>
      </c>
    </row>
    <row r="162" spans="1:12">
      <c r="A162" s="1"/>
      <c r="B162" s="1">
        <v>827119</v>
      </c>
      <c r="C162" s="1" t="s">
        <v>551</v>
      </c>
      <c r="D162" s="1" t="s">
        <v>552</v>
      </c>
      <c r="E162" s="3" t="s">
        <v>553</v>
      </c>
      <c r="F162" s="1" t="s">
        <v>554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K162*2904.43</f>
        <v>0</v>
      </c>
    </row>
    <row r="163" spans="1:12">
      <c r="A163" s="1"/>
      <c r="B163" s="1">
        <v>827121</v>
      </c>
      <c r="C163" s="1" t="s">
        <v>555</v>
      </c>
      <c r="D163" s="1" t="s">
        <v>556</v>
      </c>
      <c r="E163" s="3" t="s">
        <v>557</v>
      </c>
      <c r="F163" s="1" t="s">
        <v>558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K163*1890.38</f>
        <v>0</v>
      </c>
    </row>
    <row r="164" spans="1:12">
      <c r="A164" s="1"/>
      <c r="B164" s="1">
        <v>827122</v>
      </c>
      <c r="C164" s="1" t="s">
        <v>559</v>
      </c>
      <c r="D164" s="1" t="s">
        <v>560</v>
      </c>
      <c r="E164" s="3" t="s">
        <v>561</v>
      </c>
      <c r="F164" s="1" t="s">
        <v>562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K164*1008.00</f>
        <v>0</v>
      </c>
    </row>
    <row r="165" spans="1:12">
      <c r="A165" s="1"/>
      <c r="B165" s="1">
        <v>827123</v>
      </c>
      <c r="C165" s="1" t="s">
        <v>563</v>
      </c>
      <c r="D165" s="1" t="s">
        <v>564</v>
      </c>
      <c r="E165" s="3" t="s">
        <v>565</v>
      </c>
      <c r="F165" s="1" t="s">
        <v>562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K165*1008.00</f>
        <v>0</v>
      </c>
    </row>
    <row r="166" spans="1:12">
      <c r="A166" s="1"/>
      <c r="B166" s="1">
        <v>827124</v>
      </c>
      <c r="C166" s="1" t="s">
        <v>566</v>
      </c>
      <c r="D166" s="1" t="s">
        <v>567</v>
      </c>
      <c r="E166" s="3" t="s">
        <v>568</v>
      </c>
      <c r="F166" s="1" t="s">
        <v>562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K166*1008.00</f>
        <v>0</v>
      </c>
    </row>
    <row r="167" spans="1:12">
      <c r="A167" s="1"/>
      <c r="B167" s="1">
        <v>827125</v>
      </c>
      <c r="C167" s="1" t="s">
        <v>569</v>
      </c>
      <c r="D167" s="1" t="s">
        <v>570</v>
      </c>
      <c r="E167" s="3" t="s">
        <v>571</v>
      </c>
      <c r="F167" s="1" t="s">
        <v>562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K167*1008.00</f>
        <v>0</v>
      </c>
    </row>
    <row r="168" spans="1:12">
      <c r="A168" s="1"/>
      <c r="B168" s="1">
        <v>827126</v>
      </c>
      <c r="C168" s="1" t="s">
        <v>572</v>
      </c>
      <c r="D168" s="1" t="s">
        <v>573</v>
      </c>
      <c r="E168" s="3" t="s">
        <v>574</v>
      </c>
      <c r="F168" s="1" t="s">
        <v>575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K168*3285.83</f>
        <v>0</v>
      </c>
    </row>
    <row r="169" spans="1:12">
      <c r="A169" s="1"/>
      <c r="B169" s="1">
        <v>827127</v>
      </c>
      <c r="C169" s="1" t="s">
        <v>576</v>
      </c>
      <c r="D169" s="1" t="s">
        <v>577</v>
      </c>
      <c r="E169" s="3" t="s">
        <v>578</v>
      </c>
      <c r="F169" s="1" t="s">
        <v>439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K169*0.00</f>
        <v>0</v>
      </c>
    </row>
    <row r="170" spans="1:12">
      <c r="A170" s="1"/>
      <c r="B170" s="1">
        <v>827128</v>
      </c>
      <c r="C170" s="1" t="s">
        <v>579</v>
      </c>
      <c r="D170" s="1" t="s">
        <v>580</v>
      </c>
      <c r="E170" s="3" t="s">
        <v>581</v>
      </c>
      <c r="F170" s="1" t="s">
        <v>582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K170*6166.05</f>
        <v>0</v>
      </c>
    </row>
    <row r="171" spans="1:12">
      <c r="A171" s="1"/>
      <c r="B171" s="1">
        <v>827129</v>
      </c>
      <c r="C171" s="1" t="s">
        <v>583</v>
      </c>
      <c r="D171" s="1" t="s">
        <v>584</v>
      </c>
      <c r="E171" s="3" t="s">
        <v>585</v>
      </c>
      <c r="F171" s="1" t="s">
        <v>586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K171*4298.37</f>
        <v>0</v>
      </c>
    </row>
    <row r="172" spans="1:12">
      <c r="A172" s="1"/>
      <c r="B172" s="1">
        <v>827130</v>
      </c>
      <c r="C172" s="1" t="s">
        <v>587</v>
      </c>
      <c r="D172" s="1" t="s">
        <v>588</v>
      </c>
      <c r="E172" s="3" t="s">
        <v>589</v>
      </c>
      <c r="F172" s="1" t="s">
        <v>590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K172*4028.97</f>
        <v>0</v>
      </c>
    </row>
    <row r="173" spans="1:12">
      <c r="A173" s="1"/>
      <c r="B173" s="1">
        <v>827131</v>
      </c>
      <c r="C173" s="1" t="s">
        <v>591</v>
      </c>
      <c r="D173" s="1" t="s">
        <v>592</v>
      </c>
      <c r="E173" s="3" t="s">
        <v>593</v>
      </c>
      <c r="F173" s="1" t="s">
        <v>594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K173*5481.94</f>
        <v>0</v>
      </c>
    </row>
    <row r="174" spans="1:12">
      <c r="A174" s="1"/>
      <c r="B174" s="1">
        <v>827132</v>
      </c>
      <c r="C174" s="1" t="s">
        <v>595</v>
      </c>
      <c r="D174" s="1" t="s">
        <v>596</v>
      </c>
      <c r="E174" s="3" t="s">
        <v>597</v>
      </c>
      <c r="F174" s="1" t="s">
        <v>594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K174*5481.94</f>
        <v>0</v>
      </c>
    </row>
    <row r="175" spans="1:12">
      <c r="A175" s="1"/>
      <c r="B175" s="1">
        <v>827133</v>
      </c>
      <c r="C175" s="1" t="s">
        <v>598</v>
      </c>
      <c r="D175" s="1" t="s">
        <v>599</v>
      </c>
      <c r="E175" s="3" t="s">
        <v>600</v>
      </c>
      <c r="F175" s="1" t="s">
        <v>601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K175*13639.77</f>
        <v>0</v>
      </c>
    </row>
    <row r="176" spans="1:12">
      <c r="A176" s="1"/>
      <c r="B176" s="1">
        <v>827136</v>
      </c>
      <c r="C176" s="1" t="s">
        <v>602</v>
      </c>
      <c r="D176" s="1" t="s">
        <v>603</v>
      </c>
      <c r="E176" s="3" t="s">
        <v>604</v>
      </c>
      <c r="F176" s="1" t="s">
        <v>439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K176*0.00</f>
        <v>0</v>
      </c>
    </row>
    <row r="177" spans="1:12">
      <c r="A177" s="1"/>
      <c r="B177" s="1">
        <v>827141</v>
      </c>
      <c r="C177" s="1" t="s">
        <v>605</v>
      </c>
      <c r="D177" s="1" t="s">
        <v>606</v>
      </c>
      <c r="E177" s="3" t="s">
        <v>607</v>
      </c>
      <c r="F177" s="1" t="s">
        <v>439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K177*0.00</f>
        <v>0</v>
      </c>
    </row>
    <row r="178" spans="1:12">
      <c r="A178" s="1"/>
      <c r="B178" s="1">
        <v>827142</v>
      </c>
      <c r="C178" s="1" t="s">
        <v>608</v>
      </c>
      <c r="D178" s="1" t="s">
        <v>609</v>
      </c>
      <c r="E178" s="3" t="s">
        <v>610</v>
      </c>
      <c r="F178" s="1" t="s">
        <v>439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K178*0.00</f>
        <v>0</v>
      </c>
    </row>
    <row r="179" spans="1:12">
      <c r="A179" s="1"/>
      <c r="B179" s="1">
        <v>827144</v>
      </c>
      <c r="C179" s="1" t="s">
        <v>611</v>
      </c>
      <c r="D179" s="1" t="s">
        <v>612</v>
      </c>
      <c r="E179" s="3" t="s">
        <v>613</v>
      </c>
      <c r="F179" s="1" t="s">
        <v>439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K179*0.00</f>
        <v>0</v>
      </c>
    </row>
    <row r="180" spans="1:12">
      <c r="A180" s="1"/>
      <c r="B180" s="1">
        <v>827145</v>
      </c>
      <c r="C180" s="1" t="s">
        <v>614</v>
      </c>
      <c r="D180" s="1" t="s">
        <v>615</v>
      </c>
      <c r="E180" s="3" t="s">
        <v>616</v>
      </c>
      <c r="F180" s="1" t="s">
        <v>439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K180*0.00</f>
        <v>0</v>
      </c>
    </row>
    <row r="181" spans="1:12">
      <c r="A181" s="1"/>
      <c r="B181" s="1">
        <v>827147</v>
      </c>
      <c r="C181" s="1" t="s">
        <v>617</v>
      </c>
      <c r="D181" s="1" t="s">
        <v>618</v>
      </c>
      <c r="E181" s="3" t="s">
        <v>619</v>
      </c>
      <c r="F181" s="1" t="s">
        <v>439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K181*0.00</f>
        <v>0</v>
      </c>
    </row>
    <row r="182" spans="1:12">
      <c r="A182" s="1"/>
      <c r="B182" s="1">
        <v>827148</v>
      </c>
      <c r="C182" s="1" t="s">
        <v>620</v>
      </c>
      <c r="D182" s="1" t="s">
        <v>621</v>
      </c>
      <c r="E182" s="3" t="s">
        <v>622</v>
      </c>
      <c r="F182" s="1" t="s">
        <v>439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K182*0.00</f>
        <v>0</v>
      </c>
    </row>
    <row r="183" spans="1:12">
      <c r="A183" s="1"/>
      <c r="B183" s="1">
        <v>827149</v>
      </c>
      <c r="C183" s="1" t="s">
        <v>623</v>
      </c>
      <c r="D183" s="1" t="s">
        <v>624</v>
      </c>
      <c r="E183" s="3" t="s">
        <v>625</v>
      </c>
      <c r="F183" s="1" t="s">
        <v>626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K183*2899.89</f>
        <v>0</v>
      </c>
    </row>
    <row r="184" spans="1:12">
      <c r="A184" s="1"/>
      <c r="B184" s="1">
        <v>827150</v>
      </c>
      <c r="C184" s="1" t="s">
        <v>627</v>
      </c>
      <c r="D184" s="1" t="s">
        <v>628</v>
      </c>
      <c r="E184" s="3" t="s">
        <v>629</v>
      </c>
      <c r="F184" s="1" t="s">
        <v>439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K184*0.00</f>
        <v>0</v>
      </c>
    </row>
    <row r="185" spans="1:12">
      <c r="A185" s="1"/>
      <c r="B185" s="1">
        <v>827151</v>
      </c>
      <c r="C185" s="1" t="s">
        <v>630</v>
      </c>
      <c r="D185" s="1" t="s">
        <v>631</v>
      </c>
      <c r="E185" s="3" t="s">
        <v>632</v>
      </c>
      <c r="F185" s="1" t="s">
        <v>633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K185*5917.83</f>
        <v>0</v>
      </c>
    </row>
    <row r="186" spans="1:12">
      <c r="A186" s="1"/>
      <c r="B186" s="1">
        <v>827152</v>
      </c>
      <c r="C186" s="1" t="s">
        <v>634</v>
      </c>
      <c r="D186" s="1" t="s">
        <v>635</v>
      </c>
      <c r="E186" s="3" t="s">
        <v>636</v>
      </c>
      <c r="F186" s="1" t="s">
        <v>637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K186*3196.54</f>
        <v>0</v>
      </c>
    </row>
    <row r="187" spans="1:12">
      <c r="A187" s="1"/>
      <c r="B187" s="1">
        <v>827153</v>
      </c>
      <c r="C187" s="1" t="s">
        <v>638</v>
      </c>
      <c r="D187" s="1" t="s">
        <v>639</v>
      </c>
      <c r="E187" s="3" t="s">
        <v>640</v>
      </c>
      <c r="F187" s="1" t="s">
        <v>439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K187*0.00</f>
        <v>0</v>
      </c>
    </row>
    <row r="188" spans="1:12">
      <c r="A188" s="1"/>
      <c r="B188" s="1">
        <v>827154</v>
      </c>
      <c r="C188" s="1" t="s">
        <v>641</v>
      </c>
      <c r="D188" s="1" t="s">
        <v>642</v>
      </c>
      <c r="E188" s="3" t="s">
        <v>643</v>
      </c>
      <c r="F188" s="1" t="s">
        <v>644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K188*5359.35</f>
        <v>0</v>
      </c>
    </row>
    <row r="189" spans="1:12">
      <c r="A189" s="1"/>
      <c r="B189" s="1">
        <v>827155</v>
      </c>
      <c r="C189" s="1" t="s">
        <v>645</v>
      </c>
      <c r="D189" s="1" t="s">
        <v>646</v>
      </c>
      <c r="E189" s="3" t="s">
        <v>647</v>
      </c>
      <c r="F189" s="1" t="s">
        <v>648</v>
      </c>
      <c r="G189" s="1" t="s">
        <v>14</v>
      </c>
      <c r="H189" s="1" t="s">
        <v>14</v>
      </c>
      <c r="I189" s="1" t="s">
        <v>14</v>
      </c>
      <c r="J189" s="1" t="s">
        <v>15</v>
      </c>
      <c r="K189" s="2"/>
      <c r="L189" s="5">
        <f>K189*12987.45</f>
        <v>0</v>
      </c>
    </row>
    <row r="190" spans="1:12">
      <c r="A190" s="1"/>
      <c r="B190" s="1">
        <v>827157</v>
      </c>
      <c r="C190" s="1" t="s">
        <v>649</v>
      </c>
      <c r="D190" s="1" t="s">
        <v>650</v>
      </c>
      <c r="E190" s="3" t="s">
        <v>651</v>
      </c>
      <c r="F190" s="1" t="s">
        <v>439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K190*0.00</f>
        <v>0</v>
      </c>
    </row>
    <row r="191" spans="1:12">
      <c r="A191" s="1"/>
      <c r="B191" s="1">
        <v>827159</v>
      </c>
      <c r="C191" s="1" t="s">
        <v>652</v>
      </c>
      <c r="D191" s="1" t="s">
        <v>653</v>
      </c>
      <c r="E191" s="3" t="s">
        <v>654</v>
      </c>
      <c r="F191" s="1" t="s">
        <v>439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K191*0.00</f>
        <v>0</v>
      </c>
    </row>
    <row r="192" spans="1:12">
      <c r="A192" s="1"/>
      <c r="B192" s="1">
        <v>827162</v>
      </c>
      <c r="C192" s="1" t="s">
        <v>655</v>
      </c>
      <c r="D192" s="1" t="s">
        <v>656</v>
      </c>
      <c r="E192" s="3" t="s">
        <v>657</v>
      </c>
      <c r="F192" s="1" t="s">
        <v>439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K192*0.00</f>
        <v>0</v>
      </c>
    </row>
    <row r="193" spans="1:12">
      <c r="A193" s="1"/>
      <c r="B193" s="1">
        <v>827163</v>
      </c>
      <c r="C193" s="1" t="s">
        <v>658</v>
      </c>
      <c r="D193" s="1" t="s">
        <v>659</v>
      </c>
      <c r="E193" s="3" t="s">
        <v>660</v>
      </c>
      <c r="F193" s="1" t="s">
        <v>439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K193*0.00</f>
        <v>0</v>
      </c>
    </row>
    <row r="194" spans="1:12">
      <c r="A194" s="1"/>
      <c r="B194" s="1">
        <v>827164</v>
      </c>
      <c r="C194" s="1" t="s">
        <v>661</v>
      </c>
      <c r="D194" s="1" t="s">
        <v>662</v>
      </c>
      <c r="E194" s="3" t="s">
        <v>663</v>
      </c>
      <c r="F194" s="1" t="s">
        <v>664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K194*2342.92</f>
        <v>0</v>
      </c>
    </row>
    <row r="195" spans="1:12">
      <c r="A195" s="1"/>
      <c r="B195" s="1">
        <v>827166</v>
      </c>
      <c r="C195" s="1" t="s">
        <v>665</v>
      </c>
      <c r="D195" s="1" t="s">
        <v>666</v>
      </c>
      <c r="E195" s="3" t="s">
        <v>667</v>
      </c>
      <c r="F195" s="1" t="s">
        <v>668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K195*4006.27</f>
        <v>0</v>
      </c>
    </row>
    <row r="196" spans="1:12">
      <c r="A196" s="1"/>
      <c r="B196" s="1">
        <v>827167</v>
      </c>
      <c r="C196" s="1" t="s">
        <v>669</v>
      </c>
      <c r="D196" s="1" t="s">
        <v>670</v>
      </c>
      <c r="E196" s="3" t="s">
        <v>671</v>
      </c>
      <c r="F196" s="1" t="s">
        <v>672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K196*2674.64</f>
        <v>0</v>
      </c>
    </row>
    <row r="197" spans="1:12">
      <c r="A197" s="1"/>
      <c r="B197" s="1">
        <v>827168</v>
      </c>
      <c r="C197" s="1" t="s">
        <v>673</v>
      </c>
      <c r="D197" s="1" t="s">
        <v>674</v>
      </c>
      <c r="E197" s="3" t="s">
        <v>675</v>
      </c>
      <c r="F197" s="1" t="s">
        <v>439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K197*0.00</f>
        <v>0</v>
      </c>
    </row>
    <row r="198" spans="1:12">
      <c r="A198" s="1"/>
      <c r="B198" s="1">
        <v>827169</v>
      </c>
      <c r="C198" s="1" t="s">
        <v>676</v>
      </c>
      <c r="D198" s="1" t="s">
        <v>677</v>
      </c>
      <c r="E198" s="3" t="s">
        <v>678</v>
      </c>
      <c r="F198" s="1" t="s">
        <v>439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K198*0.00</f>
        <v>0</v>
      </c>
    </row>
    <row r="199" spans="1:12">
      <c r="A199" s="1"/>
      <c r="B199" s="1">
        <v>827170</v>
      </c>
      <c r="C199" s="1" t="s">
        <v>679</v>
      </c>
      <c r="D199" s="1" t="s">
        <v>680</v>
      </c>
      <c r="E199" s="3" t="s">
        <v>681</v>
      </c>
      <c r="F199" s="1" t="s">
        <v>682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K199*3691.46</f>
        <v>0</v>
      </c>
    </row>
    <row r="200" spans="1:12">
      <c r="A200" s="1"/>
      <c r="B200" s="1">
        <v>827171</v>
      </c>
      <c r="C200" s="1" t="s">
        <v>683</v>
      </c>
      <c r="D200" s="1" t="s">
        <v>684</v>
      </c>
      <c r="E200" s="3" t="s">
        <v>685</v>
      </c>
      <c r="F200" s="1" t="s">
        <v>686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K200*7758.26</f>
        <v>0</v>
      </c>
    </row>
    <row r="201" spans="1:12">
      <c r="A201" s="1"/>
      <c r="B201" s="1">
        <v>827172</v>
      </c>
      <c r="C201" s="1" t="s">
        <v>687</v>
      </c>
      <c r="D201" s="1" t="s">
        <v>688</v>
      </c>
      <c r="E201" s="3" t="s">
        <v>689</v>
      </c>
      <c r="F201" s="1" t="s">
        <v>690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K201*2657.73</f>
        <v>0</v>
      </c>
    </row>
    <row r="202" spans="1:12">
      <c r="A202" s="1"/>
      <c r="B202" s="1">
        <v>827173</v>
      </c>
      <c r="C202" s="1" t="s">
        <v>691</v>
      </c>
      <c r="D202" s="1" t="s">
        <v>692</v>
      </c>
      <c r="E202" s="3" t="s">
        <v>693</v>
      </c>
      <c r="F202" s="1" t="s">
        <v>439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K202*0.00</f>
        <v>0</v>
      </c>
    </row>
    <row r="203" spans="1:12">
      <c r="A203" s="1"/>
      <c r="B203" s="1">
        <v>827174</v>
      </c>
      <c r="C203" s="1" t="s">
        <v>694</v>
      </c>
      <c r="D203" s="1" t="s">
        <v>695</v>
      </c>
      <c r="E203" s="3" t="s">
        <v>696</v>
      </c>
      <c r="F203" s="1" t="s">
        <v>697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K203*5382.05</f>
        <v>0</v>
      </c>
    </row>
    <row r="204" spans="1:12">
      <c r="A204" s="1"/>
      <c r="B204" s="1">
        <v>827175</v>
      </c>
      <c r="C204" s="1" t="s">
        <v>698</v>
      </c>
      <c r="D204" s="1" t="s">
        <v>699</v>
      </c>
      <c r="E204" s="3" t="s">
        <v>700</v>
      </c>
      <c r="F204" s="1" t="s">
        <v>701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K204*2927.13</f>
        <v>0</v>
      </c>
    </row>
    <row r="205" spans="1:12">
      <c r="A205" s="1"/>
      <c r="B205" s="1">
        <v>827176</v>
      </c>
      <c r="C205" s="1" t="s">
        <v>702</v>
      </c>
      <c r="D205" s="1" t="s">
        <v>703</v>
      </c>
      <c r="E205" s="3" t="s">
        <v>704</v>
      </c>
      <c r="F205" s="1" t="s">
        <v>439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K205*0.00</f>
        <v>0</v>
      </c>
    </row>
    <row r="206" spans="1:12">
      <c r="A206" s="1"/>
      <c r="B206" s="1">
        <v>827179</v>
      </c>
      <c r="C206" s="1" t="s">
        <v>705</v>
      </c>
      <c r="D206" s="1" t="s">
        <v>706</v>
      </c>
      <c r="E206" s="3" t="s">
        <v>707</v>
      </c>
      <c r="F206" s="1" t="s">
        <v>701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K206*2927.13</f>
        <v>0</v>
      </c>
    </row>
    <row r="207" spans="1:12">
      <c r="A207" s="1"/>
      <c r="B207" s="1">
        <v>827180</v>
      </c>
      <c r="C207" s="1" t="s">
        <v>708</v>
      </c>
      <c r="D207" s="1" t="s">
        <v>709</v>
      </c>
      <c r="E207" s="3" t="s">
        <v>710</v>
      </c>
      <c r="F207" s="1" t="s">
        <v>711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K207*2542.70</f>
        <v>0</v>
      </c>
    </row>
    <row r="208" spans="1:12">
      <c r="A208" s="1"/>
      <c r="B208" s="1">
        <v>827181</v>
      </c>
      <c r="C208" s="1" t="s">
        <v>712</v>
      </c>
      <c r="D208" s="1" t="s">
        <v>713</v>
      </c>
      <c r="E208" s="3" t="s">
        <v>714</v>
      </c>
      <c r="F208" s="1" t="s">
        <v>711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K208*2542.70</f>
        <v>0</v>
      </c>
    </row>
    <row r="209" spans="1:12">
      <c r="A209" s="1"/>
      <c r="B209" s="1">
        <v>827182</v>
      </c>
      <c r="C209" s="1" t="s">
        <v>715</v>
      </c>
      <c r="D209" s="1" t="s">
        <v>716</v>
      </c>
      <c r="E209" s="3" t="s">
        <v>717</v>
      </c>
      <c r="F209" s="1" t="s">
        <v>711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K209*2542.70</f>
        <v>0</v>
      </c>
    </row>
    <row r="210" spans="1:12">
      <c r="A210" s="1"/>
      <c r="B210" s="1">
        <v>827183</v>
      </c>
      <c r="C210" s="1" t="s">
        <v>718</v>
      </c>
      <c r="D210" s="1" t="s">
        <v>719</v>
      </c>
      <c r="E210" s="3" t="s">
        <v>720</v>
      </c>
      <c r="F210" s="1" t="s">
        <v>721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K210*3535.56</f>
        <v>0</v>
      </c>
    </row>
    <row r="211" spans="1:12">
      <c r="A211" s="1"/>
      <c r="B211" s="1">
        <v>827184</v>
      </c>
      <c r="C211" s="1" t="s">
        <v>722</v>
      </c>
      <c r="D211" s="1" t="s">
        <v>723</v>
      </c>
      <c r="E211" s="3" t="s">
        <v>724</v>
      </c>
      <c r="F211" s="1" t="s">
        <v>725</v>
      </c>
      <c r="G211" s="1" t="s">
        <v>14</v>
      </c>
      <c r="H211" s="1" t="s">
        <v>14</v>
      </c>
      <c r="I211" s="1" t="s">
        <v>14</v>
      </c>
      <c r="J211" s="1" t="s">
        <v>15</v>
      </c>
      <c r="K211" s="2"/>
      <c r="L211" s="5">
        <f>K211*5224.64</f>
        <v>0</v>
      </c>
    </row>
    <row r="212" spans="1:12">
      <c r="A212" s="1"/>
      <c r="B212" s="1">
        <v>827185</v>
      </c>
      <c r="C212" s="1" t="s">
        <v>726</v>
      </c>
      <c r="D212" s="1" t="s">
        <v>727</v>
      </c>
      <c r="E212" s="3" t="s">
        <v>728</v>
      </c>
      <c r="F212" s="1" t="s">
        <v>729</v>
      </c>
      <c r="G212" s="1" t="s">
        <v>14</v>
      </c>
      <c r="H212" s="1" t="s">
        <v>14</v>
      </c>
      <c r="I212" s="1" t="s">
        <v>14</v>
      </c>
      <c r="J212" s="1" t="s">
        <v>15</v>
      </c>
      <c r="K212" s="2"/>
      <c r="L212" s="5">
        <f>K212*3045.19</f>
        <v>0</v>
      </c>
    </row>
    <row r="213" spans="1:12">
      <c r="A213" s="1"/>
      <c r="B213" s="1">
        <v>827186</v>
      </c>
      <c r="C213" s="1" t="s">
        <v>730</v>
      </c>
      <c r="D213" s="1" t="s">
        <v>731</v>
      </c>
      <c r="E213" s="3" t="s">
        <v>732</v>
      </c>
      <c r="F213" s="1" t="s">
        <v>439</v>
      </c>
      <c r="G213" s="1" t="s">
        <v>14</v>
      </c>
      <c r="H213" s="1" t="s">
        <v>14</v>
      </c>
      <c r="I213" s="1" t="s">
        <v>14</v>
      </c>
      <c r="J213" s="1" t="s">
        <v>15</v>
      </c>
      <c r="K213" s="2"/>
      <c r="L213" s="5">
        <f>K213*0.00</f>
        <v>0</v>
      </c>
    </row>
    <row r="214" spans="1:12">
      <c r="A214" s="1"/>
      <c r="B214" s="1">
        <v>827187</v>
      </c>
      <c r="C214" s="1" t="s">
        <v>733</v>
      </c>
      <c r="D214" s="1" t="s">
        <v>734</v>
      </c>
      <c r="E214" s="3" t="s">
        <v>735</v>
      </c>
      <c r="F214" s="1" t="s">
        <v>736</v>
      </c>
      <c r="G214" s="1" t="s">
        <v>14</v>
      </c>
      <c r="H214" s="1" t="s">
        <v>14</v>
      </c>
      <c r="I214" s="1" t="s">
        <v>14</v>
      </c>
      <c r="J214" s="1" t="s">
        <v>15</v>
      </c>
      <c r="K214" s="2"/>
      <c r="L214" s="5">
        <f>K214*5283.67</f>
        <v>0</v>
      </c>
    </row>
    <row r="215" spans="1:12">
      <c r="A215" s="1"/>
      <c r="B215" s="1">
        <v>827188</v>
      </c>
      <c r="C215" s="1" t="s">
        <v>737</v>
      </c>
      <c r="D215" s="1" t="s">
        <v>738</v>
      </c>
      <c r="E215" s="3" t="s">
        <v>739</v>
      </c>
      <c r="F215" s="1" t="s">
        <v>439</v>
      </c>
      <c r="G215" s="1" t="s">
        <v>14</v>
      </c>
      <c r="H215" s="1" t="s">
        <v>14</v>
      </c>
      <c r="I215" s="1" t="s">
        <v>14</v>
      </c>
      <c r="J215" s="1" t="s">
        <v>15</v>
      </c>
      <c r="K215" s="2"/>
      <c r="L215" s="5">
        <f>K215*0.00</f>
        <v>0</v>
      </c>
    </row>
    <row r="216" spans="1:12">
      <c r="A216" s="1"/>
      <c r="B216" s="1">
        <v>827189</v>
      </c>
      <c r="C216" s="1" t="s">
        <v>740</v>
      </c>
      <c r="D216" s="1" t="s">
        <v>741</v>
      </c>
      <c r="E216" s="3" t="s">
        <v>742</v>
      </c>
      <c r="F216" s="1" t="s">
        <v>439</v>
      </c>
      <c r="G216" s="1" t="s">
        <v>14</v>
      </c>
      <c r="H216" s="1" t="s">
        <v>14</v>
      </c>
      <c r="I216" s="1" t="s">
        <v>14</v>
      </c>
      <c r="J216" s="1" t="s">
        <v>15</v>
      </c>
      <c r="K216" s="2"/>
      <c r="L216" s="5">
        <f>K216*0.00</f>
        <v>0</v>
      </c>
    </row>
    <row r="217" spans="1:12">
      <c r="A217" s="1"/>
      <c r="B217" s="1">
        <v>827190</v>
      </c>
      <c r="C217" s="1" t="s">
        <v>743</v>
      </c>
      <c r="D217" s="1" t="s">
        <v>744</v>
      </c>
      <c r="E217" s="3" t="s">
        <v>745</v>
      </c>
      <c r="F217" s="1" t="s">
        <v>746</v>
      </c>
      <c r="G217" s="1" t="s">
        <v>14</v>
      </c>
      <c r="H217" s="1" t="s">
        <v>14</v>
      </c>
      <c r="I217" s="1" t="s">
        <v>14</v>
      </c>
      <c r="J217" s="1" t="s">
        <v>15</v>
      </c>
      <c r="K217" s="2"/>
      <c r="L217" s="5">
        <f>K217*5173.18</f>
        <v>0</v>
      </c>
    </row>
    <row r="218" spans="1:12">
      <c r="A218" s="1"/>
      <c r="B218" s="1">
        <v>827191</v>
      </c>
      <c r="C218" s="1" t="s">
        <v>747</v>
      </c>
      <c r="D218" s="1" t="s">
        <v>748</v>
      </c>
      <c r="E218" s="3" t="s">
        <v>749</v>
      </c>
      <c r="F218" s="1" t="s">
        <v>750</v>
      </c>
      <c r="G218" s="1" t="s">
        <v>14</v>
      </c>
      <c r="H218" s="1" t="s">
        <v>14</v>
      </c>
      <c r="I218" s="1" t="s">
        <v>14</v>
      </c>
      <c r="J218" s="1" t="s">
        <v>15</v>
      </c>
      <c r="K218" s="2"/>
      <c r="L218" s="5">
        <f>K218*5861.83</f>
        <v>0</v>
      </c>
    </row>
    <row r="219" spans="1:12">
      <c r="A219" s="1"/>
      <c r="B219" s="1">
        <v>827192</v>
      </c>
      <c r="C219" s="1" t="s">
        <v>751</v>
      </c>
      <c r="D219" s="1" t="s">
        <v>752</v>
      </c>
      <c r="E219" s="3" t="s">
        <v>753</v>
      </c>
      <c r="F219" s="1" t="s">
        <v>439</v>
      </c>
      <c r="G219" s="1" t="s">
        <v>14</v>
      </c>
      <c r="H219" s="1" t="s">
        <v>14</v>
      </c>
      <c r="I219" s="1" t="s">
        <v>14</v>
      </c>
      <c r="J219" s="1" t="s">
        <v>15</v>
      </c>
      <c r="K219" s="2"/>
      <c r="L219" s="5">
        <f>K219*0.00</f>
        <v>0</v>
      </c>
    </row>
    <row r="220" spans="1:12">
      <c r="A220" s="1"/>
      <c r="B220" s="1">
        <v>827193</v>
      </c>
      <c r="C220" s="1" t="s">
        <v>754</v>
      </c>
      <c r="D220" s="1" t="s">
        <v>755</v>
      </c>
      <c r="E220" s="3" t="s">
        <v>756</v>
      </c>
      <c r="F220" s="1" t="s">
        <v>729</v>
      </c>
      <c r="G220" s="1" t="s">
        <v>14</v>
      </c>
      <c r="H220" s="1" t="s">
        <v>14</v>
      </c>
      <c r="I220" s="1" t="s">
        <v>14</v>
      </c>
      <c r="J220" s="1" t="s">
        <v>15</v>
      </c>
      <c r="K220" s="2"/>
      <c r="L220" s="5">
        <f>K220*3045.19</f>
        <v>0</v>
      </c>
    </row>
    <row r="221" spans="1:12">
      <c r="A221" s="1"/>
      <c r="B221" s="1">
        <v>827194</v>
      </c>
      <c r="C221" s="1" t="s">
        <v>757</v>
      </c>
      <c r="D221" s="1" t="s">
        <v>758</v>
      </c>
      <c r="E221" s="3" t="s">
        <v>759</v>
      </c>
      <c r="F221" s="1" t="s">
        <v>760</v>
      </c>
      <c r="G221" s="1" t="s">
        <v>14</v>
      </c>
      <c r="H221" s="1" t="s">
        <v>14</v>
      </c>
      <c r="I221" s="1" t="s">
        <v>14</v>
      </c>
      <c r="J221" s="1" t="s">
        <v>15</v>
      </c>
      <c r="K221" s="2"/>
      <c r="L221" s="5">
        <f>K221*4914.37</f>
        <v>0</v>
      </c>
    </row>
    <row r="222" spans="1:12">
      <c r="A222" s="1"/>
      <c r="B222" s="1">
        <v>827195</v>
      </c>
      <c r="C222" s="1" t="s">
        <v>761</v>
      </c>
      <c r="D222" s="1" t="s">
        <v>762</v>
      </c>
      <c r="E222" s="3" t="s">
        <v>763</v>
      </c>
      <c r="F222" s="1" t="s">
        <v>764</v>
      </c>
      <c r="G222" s="1" t="s">
        <v>14</v>
      </c>
      <c r="H222" s="1" t="s">
        <v>14</v>
      </c>
      <c r="I222" s="1" t="s">
        <v>14</v>
      </c>
      <c r="J222" s="1" t="s">
        <v>15</v>
      </c>
      <c r="K222" s="2"/>
      <c r="L222" s="5">
        <f>K222*3202.59</f>
        <v>0</v>
      </c>
    </row>
    <row r="223" spans="1:12">
      <c r="A223" s="1"/>
      <c r="B223" s="1">
        <v>827196</v>
      </c>
      <c r="C223" s="1" t="s">
        <v>765</v>
      </c>
      <c r="D223" s="1" t="s">
        <v>766</v>
      </c>
      <c r="E223" s="3" t="s">
        <v>767</v>
      </c>
      <c r="F223" s="1" t="s">
        <v>439</v>
      </c>
      <c r="G223" s="1" t="s">
        <v>14</v>
      </c>
      <c r="H223" s="1" t="s">
        <v>14</v>
      </c>
      <c r="I223" s="1" t="s">
        <v>14</v>
      </c>
      <c r="J223" s="1" t="s">
        <v>15</v>
      </c>
      <c r="K223" s="2"/>
      <c r="L223" s="5">
        <f>K223*0.00</f>
        <v>0</v>
      </c>
    </row>
    <row r="224" spans="1:12">
      <c r="A224" s="1"/>
      <c r="B224" s="1">
        <v>827197</v>
      </c>
      <c r="C224" s="1" t="s">
        <v>768</v>
      </c>
      <c r="D224" s="1" t="s">
        <v>769</v>
      </c>
      <c r="E224" s="3" t="s">
        <v>770</v>
      </c>
      <c r="F224" s="1" t="s">
        <v>771</v>
      </c>
      <c r="G224" s="1" t="s">
        <v>14</v>
      </c>
      <c r="H224" s="1" t="s">
        <v>14</v>
      </c>
      <c r="I224" s="1" t="s">
        <v>14</v>
      </c>
      <c r="J224" s="1" t="s">
        <v>15</v>
      </c>
      <c r="K224" s="2"/>
      <c r="L224" s="5">
        <f>K224*3462.92</f>
        <v>0</v>
      </c>
    </row>
    <row r="225" spans="1:12">
      <c r="A225" s="1"/>
      <c r="B225" s="1">
        <v>827198</v>
      </c>
      <c r="C225" s="1" t="s">
        <v>772</v>
      </c>
      <c r="D225" s="1" t="s">
        <v>773</v>
      </c>
      <c r="E225" s="3" t="s">
        <v>774</v>
      </c>
      <c r="F225" s="1" t="s">
        <v>775</v>
      </c>
      <c r="G225" s="1" t="s">
        <v>14</v>
      </c>
      <c r="H225" s="1" t="s">
        <v>14</v>
      </c>
      <c r="I225" s="1" t="s">
        <v>14</v>
      </c>
      <c r="J225" s="1" t="s">
        <v>15</v>
      </c>
      <c r="K225" s="2"/>
      <c r="L225" s="5">
        <f>K225*4287.78</f>
        <v>0</v>
      </c>
    </row>
    <row r="226" spans="1:12">
      <c r="A226" s="1"/>
      <c r="B226" s="1">
        <v>827199</v>
      </c>
      <c r="C226" s="1" t="s">
        <v>776</v>
      </c>
      <c r="D226" s="1" t="s">
        <v>777</v>
      </c>
      <c r="E226" s="3" t="s">
        <v>778</v>
      </c>
      <c r="F226" s="1" t="s">
        <v>779</v>
      </c>
      <c r="G226" s="1" t="s">
        <v>14</v>
      </c>
      <c r="H226" s="1" t="s">
        <v>14</v>
      </c>
      <c r="I226" s="1" t="s">
        <v>14</v>
      </c>
      <c r="J226" s="1" t="s">
        <v>15</v>
      </c>
      <c r="K226" s="2"/>
      <c r="L226" s="5">
        <f>K226*4896.21</f>
        <v>0</v>
      </c>
    </row>
    <row r="227" spans="1:12">
      <c r="A227" s="1"/>
      <c r="B227" s="1">
        <v>827200</v>
      </c>
      <c r="C227" s="1" t="s">
        <v>780</v>
      </c>
      <c r="D227" s="1" t="s">
        <v>781</v>
      </c>
      <c r="E227" s="3" t="s">
        <v>782</v>
      </c>
      <c r="F227" s="1" t="s">
        <v>783</v>
      </c>
      <c r="G227" s="1" t="s">
        <v>14</v>
      </c>
      <c r="H227" s="1" t="s">
        <v>14</v>
      </c>
      <c r="I227" s="1" t="s">
        <v>14</v>
      </c>
      <c r="J227" s="1" t="s">
        <v>15</v>
      </c>
      <c r="K227" s="2"/>
      <c r="L227" s="5">
        <f>K227*3246.48</f>
        <v>0</v>
      </c>
    </row>
    <row r="228" spans="1:12">
      <c r="A228" s="1"/>
      <c r="B228" s="1">
        <v>827201</v>
      </c>
      <c r="C228" s="1" t="s">
        <v>784</v>
      </c>
      <c r="D228" s="1" t="s">
        <v>785</v>
      </c>
      <c r="E228" s="3" t="s">
        <v>786</v>
      </c>
      <c r="F228" s="1" t="s">
        <v>787</v>
      </c>
      <c r="G228" s="1" t="s">
        <v>14</v>
      </c>
      <c r="H228" s="1" t="s">
        <v>14</v>
      </c>
      <c r="I228" s="1" t="s">
        <v>14</v>
      </c>
      <c r="J228" s="1" t="s">
        <v>15</v>
      </c>
      <c r="K228" s="2"/>
      <c r="L228" s="5">
        <f>K228*2457.94</f>
        <v>0</v>
      </c>
    </row>
    <row r="229" spans="1:12">
      <c r="A229" s="1"/>
      <c r="B229" s="1">
        <v>827202</v>
      </c>
      <c r="C229" s="1" t="s">
        <v>788</v>
      </c>
      <c r="D229" s="1" t="s">
        <v>789</v>
      </c>
      <c r="E229" s="3" t="s">
        <v>790</v>
      </c>
      <c r="F229" s="1" t="s">
        <v>439</v>
      </c>
      <c r="G229" s="1" t="s">
        <v>14</v>
      </c>
      <c r="H229" s="1" t="s">
        <v>14</v>
      </c>
      <c r="I229" s="1" t="s">
        <v>14</v>
      </c>
      <c r="J229" s="1" t="s">
        <v>15</v>
      </c>
      <c r="K229" s="2"/>
      <c r="L229" s="5">
        <f>K229*0.00</f>
        <v>0</v>
      </c>
    </row>
    <row r="230" spans="1:12">
      <c r="A230" s="1"/>
      <c r="B230" s="1">
        <v>827203</v>
      </c>
      <c r="C230" s="1" t="s">
        <v>791</v>
      </c>
      <c r="D230" s="1" t="s">
        <v>792</v>
      </c>
      <c r="E230" s="3" t="s">
        <v>793</v>
      </c>
      <c r="F230" s="1" t="s">
        <v>794</v>
      </c>
      <c r="G230" s="1" t="s">
        <v>14</v>
      </c>
      <c r="H230" s="1" t="s">
        <v>14</v>
      </c>
      <c r="I230" s="1" t="s">
        <v>14</v>
      </c>
      <c r="J230" s="1" t="s">
        <v>15</v>
      </c>
      <c r="K230" s="2"/>
      <c r="L230" s="5">
        <f>K230*3199.97</f>
        <v>0</v>
      </c>
    </row>
    <row r="231" spans="1:12">
      <c r="A231" s="1"/>
      <c r="B231" s="1">
        <v>827204</v>
      </c>
      <c r="C231" s="1" t="s">
        <v>795</v>
      </c>
      <c r="D231" s="1" t="s">
        <v>796</v>
      </c>
      <c r="E231" s="3" t="s">
        <v>797</v>
      </c>
      <c r="F231" s="1" t="s">
        <v>798</v>
      </c>
      <c r="G231" s="1" t="s">
        <v>14</v>
      </c>
      <c r="H231" s="1" t="s">
        <v>14</v>
      </c>
      <c r="I231" s="1" t="s">
        <v>14</v>
      </c>
      <c r="J231" s="1" t="s">
        <v>15</v>
      </c>
      <c r="K231" s="2"/>
      <c r="L231" s="5">
        <f>K231*2211.24</f>
        <v>0</v>
      </c>
    </row>
    <row r="232" spans="1:12">
      <c r="A232" s="1"/>
      <c r="B232" s="1">
        <v>827205</v>
      </c>
      <c r="C232" s="1" t="s">
        <v>799</v>
      </c>
      <c r="D232" s="1" t="s">
        <v>800</v>
      </c>
      <c r="E232" s="3" t="s">
        <v>801</v>
      </c>
      <c r="F232" s="1" t="s">
        <v>802</v>
      </c>
      <c r="G232" s="1" t="s">
        <v>14</v>
      </c>
      <c r="H232" s="1" t="s">
        <v>14</v>
      </c>
      <c r="I232" s="1" t="s">
        <v>14</v>
      </c>
      <c r="J232" s="1" t="s">
        <v>15</v>
      </c>
      <c r="K232" s="2"/>
      <c r="L232" s="5">
        <f>K232*5301.83</f>
        <v>0</v>
      </c>
    </row>
    <row r="233" spans="1:12">
      <c r="A233" s="1"/>
      <c r="B233" s="1">
        <v>827206</v>
      </c>
      <c r="C233" s="1" t="s">
        <v>803</v>
      </c>
      <c r="D233" s="1" t="s">
        <v>804</v>
      </c>
      <c r="E233" s="3" t="s">
        <v>805</v>
      </c>
      <c r="F233" s="1" t="s">
        <v>806</v>
      </c>
      <c r="G233" s="1" t="s">
        <v>14</v>
      </c>
      <c r="H233" s="1" t="s">
        <v>14</v>
      </c>
      <c r="I233" s="1" t="s">
        <v>14</v>
      </c>
      <c r="J233" s="1" t="s">
        <v>15</v>
      </c>
      <c r="K233" s="2"/>
      <c r="L233" s="5">
        <f>K233*2656.21</f>
        <v>0</v>
      </c>
    </row>
    <row r="234" spans="1:12">
      <c r="A234" s="1"/>
      <c r="B234" s="1">
        <v>827207</v>
      </c>
      <c r="C234" s="1" t="s">
        <v>807</v>
      </c>
      <c r="D234" s="1" t="s">
        <v>808</v>
      </c>
      <c r="E234" s="3" t="s">
        <v>809</v>
      </c>
      <c r="F234" s="1" t="s">
        <v>810</v>
      </c>
      <c r="G234" s="1" t="s">
        <v>14</v>
      </c>
      <c r="H234" s="1" t="s">
        <v>14</v>
      </c>
      <c r="I234" s="1" t="s">
        <v>14</v>
      </c>
      <c r="J234" s="1" t="s">
        <v>15</v>
      </c>
      <c r="K234" s="2"/>
      <c r="L234" s="5">
        <f>K234*4675.24</f>
        <v>0</v>
      </c>
    </row>
    <row r="235" spans="1:12">
      <c r="A235" s="1"/>
      <c r="B235" s="1">
        <v>827208</v>
      </c>
      <c r="C235" s="1" t="s">
        <v>811</v>
      </c>
      <c r="D235" s="1" t="s">
        <v>812</v>
      </c>
      <c r="E235" s="3" t="s">
        <v>813</v>
      </c>
      <c r="F235" s="1" t="s">
        <v>439</v>
      </c>
      <c r="G235" s="1" t="s">
        <v>14</v>
      </c>
      <c r="H235" s="1" t="s">
        <v>14</v>
      </c>
      <c r="I235" s="1" t="s">
        <v>14</v>
      </c>
      <c r="J235" s="1" t="s">
        <v>15</v>
      </c>
      <c r="K235" s="2"/>
      <c r="L235" s="5">
        <f>K235*0.00</f>
        <v>0</v>
      </c>
    </row>
    <row r="236" spans="1:12">
      <c r="A236" s="1"/>
      <c r="B236" s="1">
        <v>827209</v>
      </c>
      <c r="C236" s="1" t="s">
        <v>814</v>
      </c>
      <c r="D236" s="1" t="s">
        <v>815</v>
      </c>
      <c r="E236" s="3" t="s">
        <v>816</v>
      </c>
      <c r="F236" s="1" t="s">
        <v>817</v>
      </c>
      <c r="G236" s="1" t="s">
        <v>14</v>
      </c>
      <c r="H236" s="1" t="s">
        <v>14</v>
      </c>
      <c r="I236" s="1" t="s">
        <v>14</v>
      </c>
      <c r="J236" s="1" t="s">
        <v>15</v>
      </c>
      <c r="K236" s="2"/>
      <c r="L236" s="5">
        <f>K236*4890.16</f>
        <v>0</v>
      </c>
    </row>
    <row r="237" spans="1:12">
      <c r="A237" s="1"/>
      <c r="B237" s="1">
        <v>827211</v>
      </c>
      <c r="C237" s="1" t="s">
        <v>818</v>
      </c>
      <c r="D237" s="1" t="s">
        <v>819</v>
      </c>
      <c r="E237" s="3" t="s">
        <v>820</v>
      </c>
      <c r="F237" s="1" t="s">
        <v>821</v>
      </c>
      <c r="G237" s="1" t="s">
        <v>14</v>
      </c>
      <c r="H237" s="1" t="s">
        <v>14</v>
      </c>
      <c r="I237" s="1" t="s">
        <v>14</v>
      </c>
      <c r="J237" s="1" t="s">
        <v>15</v>
      </c>
      <c r="K237" s="2"/>
      <c r="L237" s="5">
        <f>K237*2084.11</f>
        <v>0</v>
      </c>
    </row>
    <row r="238" spans="1:12">
      <c r="A238" s="1"/>
      <c r="B238" s="1">
        <v>827214</v>
      </c>
      <c r="C238" s="1" t="s">
        <v>822</v>
      </c>
      <c r="D238" s="1" t="s">
        <v>823</v>
      </c>
      <c r="E238" s="3" t="s">
        <v>824</v>
      </c>
      <c r="F238" s="1" t="s">
        <v>825</v>
      </c>
      <c r="G238" s="1" t="s">
        <v>14</v>
      </c>
      <c r="H238" s="1" t="s">
        <v>14</v>
      </c>
      <c r="I238" s="1" t="s">
        <v>14</v>
      </c>
      <c r="J238" s="1" t="s">
        <v>15</v>
      </c>
      <c r="K238" s="2"/>
      <c r="L238" s="5">
        <f>K238*3721.73</f>
        <v>0</v>
      </c>
    </row>
    <row r="239" spans="1:12">
      <c r="A239" s="1"/>
      <c r="B239" s="1">
        <v>827216</v>
      </c>
      <c r="C239" s="1" t="s">
        <v>826</v>
      </c>
      <c r="D239" s="1" t="s">
        <v>827</v>
      </c>
      <c r="E239" s="3" t="s">
        <v>828</v>
      </c>
      <c r="F239" s="1" t="s">
        <v>439</v>
      </c>
      <c r="G239" s="1" t="s">
        <v>14</v>
      </c>
      <c r="H239" s="1" t="s">
        <v>14</v>
      </c>
      <c r="I239" s="1" t="s">
        <v>14</v>
      </c>
      <c r="J239" s="1" t="s">
        <v>15</v>
      </c>
      <c r="K239" s="2"/>
      <c r="L239" s="5">
        <f>K239*0.00</f>
        <v>0</v>
      </c>
    </row>
    <row r="240" spans="1:12">
      <c r="A240" s="1"/>
      <c r="B240" s="1">
        <v>827217</v>
      </c>
      <c r="C240" s="1" t="s">
        <v>829</v>
      </c>
      <c r="D240" s="1" t="s">
        <v>830</v>
      </c>
      <c r="E240" s="3" t="s">
        <v>831</v>
      </c>
      <c r="F240" s="1" t="s">
        <v>832</v>
      </c>
      <c r="G240" s="1" t="s">
        <v>14</v>
      </c>
      <c r="H240" s="1" t="s">
        <v>14</v>
      </c>
      <c r="I240" s="1" t="s">
        <v>14</v>
      </c>
      <c r="J240" s="1" t="s">
        <v>15</v>
      </c>
      <c r="K240" s="2"/>
      <c r="L240" s="5">
        <f>K240*2221.84</f>
        <v>0</v>
      </c>
    </row>
    <row r="241" spans="1:12">
      <c r="A241" s="1"/>
      <c r="B241" s="1">
        <v>827218</v>
      </c>
      <c r="C241" s="1" t="s">
        <v>833</v>
      </c>
      <c r="D241" s="1" t="s">
        <v>834</v>
      </c>
      <c r="E241" s="3" t="s">
        <v>835</v>
      </c>
      <c r="F241" s="1" t="s">
        <v>439</v>
      </c>
      <c r="G241" s="1" t="s">
        <v>14</v>
      </c>
      <c r="H241" s="1" t="s">
        <v>14</v>
      </c>
      <c r="I241" s="1" t="s">
        <v>14</v>
      </c>
      <c r="J241" s="1" t="s">
        <v>15</v>
      </c>
      <c r="K241" s="2"/>
      <c r="L241" s="5">
        <f>K241*0.00</f>
        <v>0</v>
      </c>
    </row>
    <row r="242" spans="1:12">
      <c r="A242" s="1"/>
      <c r="B242" s="1">
        <v>827219</v>
      </c>
      <c r="C242" s="1" t="s">
        <v>836</v>
      </c>
      <c r="D242" s="1" t="s">
        <v>837</v>
      </c>
      <c r="E242" s="3" t="s">
        <v>838</v>
      </c>
      <c r="F242" s="1" t="s">
        <v>839</v>
      </c>
      <c r="G242" s="1" t="s">
        <v>14</v>
      </c>
      <c r="H242" s="1" t="s">
        <v>14</v>
      </c>
      <c r="I242" s="1" t="s">
        <v>14</v>
      </c>
      <c r="J242" s="1" t="s">
        <v>15</v>
      </c>
      <c r="K242" s="2"/>
      <c r="L242" s="5">
        <f>K242*2886.27</f>
        <v>0</v>
      </c>
    </row>
    <row r="243" spans="1:12">
      <c r="A243" s="1"/>
      <c r="B243" s="1">
        <v>827220</v>
      </c>
      <c r="C243" s="1" t="s">
        <v>840</v>
      </c>
      <c r="D243" s="1" t="s">
        <v>841</v>
      </c>
      <c r="E243" s="3" t="s">
        <v>842</v>
      </c>
      <c r="F243" s="1" t="s">
        <v>839</v>
      </c>
      <c r="G243" s="1" t="s">
        <v>14</v>
      </c>
      <c r="H243" s="1" t="s">
        <v>14</v>
      </c>
      <c r="I243" s="1" t="s">
        <v>14</v>
      </c>
      <c r="J243" s="1" t="s">
        <v>15</v>
      </c>
      <c r="K243" s="2"/>
      <c r="L243" s="5">
        <f>K243*2886.27</f>
        <v>0</v>
      </c>
    </row>
    <row r="244" spans="1:12">
      <c r="A244" s="1"/>
      <c r="B244" s="1">
        <v>827222</v>
      </c>
      <c r="C244" s="1" t="s">
        <v>843</v>
      </c>
      <c r="D244" s="1" t="s">
        <v>844</v>
      </c>
      <c r="E244" s="3" t="s">
        <v>845</v>
      </c>
      <c r="F244" s="1" t="s">
        <v>846</v>
      </c>
      <c r="G244" s="1" t="s">
        <v>14</v>
      </c>
      <c r="H244" s="1" t="s">
        <v>14</v>
      </c>
      <c r="I244" s="1" t="s">
        <v>14</v>
      </c>
      <c r="J244" s="1" t="s">
        <v>15</v>
      </c>
      <c r="K244" s="2"/>
      <c r="L244" s="5">
        <f>K244*3067.89</f>
        <v>0</v>
      </c>
    </row>
    <row r="245" spans="1:12">
      <c r="A245" s="1"/>
      <c r="B245" s="1">
        <v>827224</v>
      </c>
      <c r="C245" s="1" t="s">
        <v>847</v>
      </c>
      <c r="D245" s="1" t="s">
        <v>848</v>
      </c>
      <c r="E245" s="3" t="s">
        <v>849</v>
      </c>
      <c r="F245" s="1" t="s">
        <v>850</v>
      </c>
      <c r="G245" s="1" t="s">
        <v>14</v>
      </c>
      <c r="H245" s="1" t="s">
        <v>14</v>
      </c>
      <c r="I245" s="1" t="s">
        <v>14</v>
      </c>
      <c r="J245" s="1" t="s">
        <v>15</v>
      </c>
      <c r="K245" s="2"/>
      <c r="L245" s="5">
        <f>K245*3497.73</f>
        <v>0</v>
      </c>
    </row>
    <row r="246" spans="1:12">
      <c r="A246" s="1"/>
      <c r="B246" s="1">
        <v>827225</v>
      </c>
      <c r="C246" s="1" t="s">
        <v>851</v>
      </c>
      <c r="D246" s="1" t="s">
        <v>852</v>
      </c>
      <c r="E246" s="3" t="s">
        <v>853</v>
      </c>
      <c r="F246" s="1" t="s">
        <v>850</v>
      </c>
      <c r="G246" s="1" t="s">
        <v>14</v>
      </c>
      <c r="H246" s="1" t="s">
        <v>14</v>
      </c>
      <c r="I246" s="1" t="s">
        <v>14</v>
      </c>
      <c r="J246" s="1" t="s">
        <v>15</v>
      </c>
      <c r="K246" s="2"/>
      <c r="L246" s="5">
        <f>K246*3497.73</f>
        <v>0</v>
      </c>
    </row>
    <row r="247" spans="1:12">
      <c r="A247" s="1"/>
      <c r="B247" s="1">
        <v>827226</v>
      </c>
      <c r="C247" s="1" t="s">
        <v>854</v>
      </c>
      <c r="D247" s="1" t="s">
        <v>855</v>
      </c>
      <c r="E247" s="3" t="s">
        <v>856</v>
      </c>
      <c r="F247" s="1" t="s">
        <v>850</v>
      </c>
      <c r="G247" s="1" t="s">
        <v>14</v>
      </c>
      <c r="H247" s="1" t="s">
        <v>14</v>
      </c>
      <c r="I247" s="1" t="s">
        <v>14</v>
      </c>
      <c r="J247" s="1" t="s">
        <v>15</v>
      </c>
      <c r="K247" s="2"/>
      <c r="L247" s="5">
        <f>K247*3497.73</f>
        <v>0</v>
      </c>
    </row>
    <row r="248" spans="1:12">
      <c r="A248" s="1"/>
      <c r="B248" s="1">
        <v>827228</v>
      </c>
      <c r="C248" s="1" t="s">
        <v>857</v>
      </c>
      <c r="D248" s="1" t="s">
        <v>858</v>
      </c>
      <c r="E248" s="3" t="s">
        <v>859</v>
      </c>
      <c r="F248" s="1" t="s">
        <v>860</v>
      </c>
      <c r="G248" s="1" t="s">
        <v>14</v>
      </c>
      <c r="H248" s="1" t="s">
        <v>14</v>
      </c>
      <c r="I248" s="1" t="s">
        <v>14</v>
      </c>
      <c r="J248" s="1" t="s">
        <v>15</v>
      </c>
      <c r="K248" s="2"/>
      <c r="L248" s="5">
        <f>K248*2538.16</f>
        <v>0</v>
      </c>
    </row>
    <row r="249" spans="1:12">
      <c r="A249" s="1"/>
      <c r="B249" s="1">
        <v>827229</v>
      </c>
      <c r="C249" s="1" t="s">
        <v>861</v>
      </c>
      <c r="D249" s="1" t="s">
        <v>862</v>
      </c>
      <c r="E249" s="3" t="s">
        <v>863</v>
      </c>
      <c r="F249" s="1" t="s">
        <v>864</v>
      </c>
      <c r="G249" s="1" t="s">
        <v>14</v>
      </c>
      <c r="H249" s="1" t="s">
        <v>14</v>
      </c>
      <c r="I249" s="1" t="s">
        <v>14</v>
      </c>
      <c r="J249" s="1" t="s">
        <v>15</v>
      </c>
      <c r="K249" s="2"/>
      <c r="L249" s="5">
        <f>K249*2223.35</f>
        <v>0</v>
      </c>
    </row>
    <row r="250" spans="1:12">
      <c r="A250" s="1"/>
      <c r="B250" s="1">
        <v>827230</v>
      </c>
      <c r="C250" s="1" t="s">
        <v>865</v>
      </c>
      <c r="D250" s="1" t="s">
        <v>866</v>
      </c>
      <c r="E250" s="3" t="s">
        <v>867</v>
      </c>
      <c r="F250" s="1" t="s">
        <v>864</v>
      </c>
      <c r="G250" s="1" t="s">
        <v>14</v>
      </c>
      <c r="H250" s="1" t="s">
        <v>14</v>
      </c>
      <c r="I250" s="1" t="s">
        <v>14</v>
      </c>
      <c r="J250" s="1" t="s">
        <v>15</v>
      </c>
      <c r="K250" s="2"/>
      <c r="L250" s="5">
        <f>K250*2223.35</f>
        <v>0</v>
      </c>
    </row>
    <row r="251" spans="1:12">
      <c r="A251" s="1"/>
      <c r="B251" s="1">
        <v>827231</v>
      </c>
      <c r="C251" s="1" t="s">
        <v>868</v>
      </c>
      <c r="D251" s="1" t="s">
        <v>869</v>
      </c>
      <c r="E251" s="3" t="s">
        <v>870</v>
      </c>
      <c r="F251" s="1" t="s">
        <v>864</v>
      </c>
      <c r="G251" s="1" t="s">
        <v>14</v>
      </c>
      <c r="H251" s="1" t="s">
        <v>14</v>
      </c>
      <c r="I251" s="1" t="s">
        <v>14</v>
      </c>
      <c r="J251" s="1" t="s">
        <v>15</v>
      </c>
      <c r="K251" s="2"/>
      <c r="L251" s="5">
        <f>K251*2223.35</f>
        <v>0</v>
      </c>
    </row>
    <row r="252" spans="1:12">
      <c r="A252" s="1"/>
      <c r="B252" s="1">
        <v>827232</v>
      </c>
      <c r="C252" s="1" t="s">
        <v>871</v>
      </c>
      <c r="D252" s="1" t="s">
        <v>872</v>
      </c>
      <c r="E252" s="3" t="s">
        <v>873</v>
      </c>
      <c r="F252" s="1" t="s">
        <v>864</v>
      </c>
      <c r="G252" s="1" t="s">
        <v>14</v>
      </c>
      <c r="H252" s="1" t="s">
        <v>14</v>
      </c>
      <c r="I252" s="1" t="s">
        <v>14</v>
      </c>
      <c r="J252" s="1" t="s">
        <v>15</v>
      </c>
      <c r="K252" s="2"/>
      <c r="L252" s="5">
        <f>K252*2223.35</f>
        <v>0</v>
      </c>
    </row>
    <row r="253" spans="1:12">
      <c r="A253" s="1"/>
      <c r="B253" s="1">
        <v>827233</v>
      </c>
      <c r="C253" s="1" t="s">
        <v>874</v>
      </c>
      <c r="D253" s="1" t="s">
        <v>875</v>
      </c>
      <c r="E253" s="3" t="s">
        <v>876</v>
      </c>
      <c r="F253" s="1" t="s">
        <v>877</v>
      </c>
      <c r="G253" s="1" t="s">
        <v>14</v>
      </c>
      <c r="H253" s="1" t="s">
        <v>14</v>
      </c>
      <c r="I253" s="1" t="s">
        <v>14</v>
      </c>
      <c r="J253" s="1" t="s">
        <v>15</v>
      </c>
      <c r="K253" s="2"/>
      <c r="L253" s="5">
        <f>K253*2450.38</f>
        <v>0</v>
      </c>
    </row>
    <row r="254" spans="1:12">
      <c r="A254" s="1"/>
      <c r="B254" s="1">
        <v>827234</v>
      </c>
      <c r="C254" s="1" t="s">
        <v>878</v>
      </c>
      <c r="D254" s="1" t="s">
        <v>879</v>
      </c>
      <c r="E254" s="3" t="s">
        <v>880</v>
      </c>
      <c r="F254" s="1" t="s">
        <v>881</v>
      </c>
      <c r="G254" s="1" t="s">
        <v>14</v>
      </c>
      <c r="H254" s="1" t="s">
        <v>14</v>
      </c>
      <c r="I254" s="1" t="s">
        <v>14</v>
      </c>
      <c r="J254" s="1" t="s">
        <v>15</v>
      </c>
      <c r="K254" s="2"/>
      <c r="L254" s="5">
        <f>K254*2579.02</f>
        <v>0</v>
      </c>
    </row>
    <row r="255" spans="1:12">
      <c r="A255" s="1"/>
      <c r="B255" s="1">
        <v>827235</v>
      </c>
      <c r="C255" s="1" t="s">
        <v>882</v>
      </c>
      <c r="D255" s="1" t="s">
        <v>883</v>
      </c>
      <c r="E255" s="3" t="s">
        <v>884</v>
      </c>
      <c r="F255" s="1" t="s">
        <v>881</v>
      </c>
      <c r="G255" s="1" t="s">
        <v>14</v>
      </c>
      <c r="H255" s="1" t="s">
        <v>14</v>
      </c>
      <c r="I255" s="1" t="s">
        <v>14</v>
      </c>
      <c r="J255" s="1" t="s">
        <v>15</v>
      </c>
      <c r="K255" s="2"/>
      <c r="L255" s="5">
        <f>K255*2579.02</f>
        <v>0</v>
      </c>
    </row>
    <row r="256" spans="1:12">
      <c r="A256" s="1"/>
      <c r="B256" s="1">
        <v>827236</v>
      </c>
      <c r="C256" s="1" t="s">
        <v>885</v>
      </c>
      <c r="D256" s="1" t="s">
        <v>886</v>
      </c>
      <c r="E256" s="3" t="s">
        <v>887</v>
      </c>
      <c r="F256" s="1" t="s">
        <v>881</v>
      </c>
      <c r="G256" s="1" t="s">
        <v>14</v>
      </c>
      <c r="H256" s="1" t="s">
        <v>14</v>
      </c>
      <c r="I256" s="1" t="s">
        <v>14</v>
      </c>
      <c r="J256" s="1" t="s">
        <v>15</v>
      </c>
      <c r="K256" s="2"/>
      <c r="L256" s="5">
        <f>K256*2579.02</f>
        <v>0</v>
      </c>
    </row>
    <row r="257" spans="1:12">
      <c r="A257" s="1"/>
      <c r="B257" s="1">
        <v>827237</v>
      </c>
      <c r="C257" s="1" t="s">
        <v>888</v>
      </c>
      <c r="D257" s="1" t="s">
        <v>889</v>
      </c>
      <c r="E257" s="3" t="s">
        <v>890</v>
      </c>
      <c r="F257" s="1" t="s">
        <v>891</v>
      </c>
      <c r="G257" s="1" t="s">
        <v>14</v>
      </c>
      <c r="H257" s="1" t="s">
        <v>14</v>
      </c>
      <c r="I257" s="1" t="s">
        <v>14</v>
      </c>
      <c r="J257" s="1" t="s">
        <v>15</v>
      </c>
      <c r="K257" s="2"/>
      <c r="L257" s="5">
        <f>K257*2698.59</f>
        <v>0</v>
      </c>
    </row>
    <row r="258" spans="1:12">
      <c r="A258" s="1"/>
      <c r="B258" s="1">
        <v>827238</v>
      </c>
      <c r="C258" s="1" t="s">
        <v>892</v>
      </c>
      <c r="D258" s="1" t="s">
        <v>893</v>
      </c>
      <c r="E258" s="3" t="s">
        <v>894</v>
      </c>
      <c r="F258" s="1" t="s">
        <v>891</v>
      </c>
      <c r="G258" s="1" t="s">
        <v>14</v>
      </c>
      <c r="H258" s="1" t="s">
        <v>14</v>
      </c>
      <c r="I258" s="1" t="s">
        <v>14</v>
      </c>
      <c r="J258" s="1" t="s">
        <v>15</v>
      </c>
      <c r="K258" s="2"/>
      <c r="L258" s="5">
        <f>K258*2698.59</f>
        <v>0</v>
      </c>
    </row>
    <row r="259" spans="1:12">
      <c r="A259" s="1"/>
      <c r="B259" s="1">
        <v>827239</v>
      </c>
      <c r="C259" s="1" t="s">
        <v>895</v>
      </c>
      <c r="D259" s="1" t="s">
        <v>896</v>
      </c>
      <c r="E259" s="3" t="s">
        <v>897</v>
      </c>
      <c r="F259" s="1" t="s">
        <v>898</v>
      </c>
      <c r="G259" s="1" t="s">
        <v>14</v>
      </c>
      <c r="H259" s="1" t="s">
        <v>14</v>
      </c>
      <c r="I259" s="1" t="s">
        <v>14</v>
      </c>
      <c r="J259" s="1" t="s">
        <v>15</v>
      </c>
      <c r="K259" s="2"/>
      <c r="L259" s="5">
        <f>K259*3370.59</f>
        <v>0</v>
      </c>
    </row>
    <row r="260" spans="1:12">
      <c r="A260" s="1"/>
      <c r="B260" s="1">
        <v>827240</v>
      </c>
      <c r="C260" s="1" t="s">
        <v>899</v>
      </c>
      <c r="D260" s="1" t="s">
        <v>900</v>
      </c>
      <c r="E260" s="3" t="s">
        <v>901</v>
      </c>
      <c r="F260" s="1" t="s">
        <v>898</v>
      </c>
      <c r="G260" s="1" t="s">
        <v>14</v>
      </c>
      <c r="H260" s="1" t="s">
        <v>14</v>
      </c>
      <c r="I260" s="1" t="s">
        <v>14</v>
      </c>
      <c r="J260" s="1" t="s">
        <v>15</v>
      </c>
      <c r="K260" s="2"/>
      <c r="L260" s="5">
        <f>K260*3370.59</f>
        <v>0</v>
      </c>
    </row>
    <row r="261" spans="1:12">
      <c r="A261" s="1"/>
      <c r="B261" s="1">
        <v>827241</v>
      </c>
      <c r="C261" s="1" t="s">
        <v>902</v>
      </c>
      <c r="D261" s="1" t="s">
        <v>903</v>
      </c>
      <c r="E261" s="3" t="s">
        <v>904</v>
      </c>
      <c r="F261" s="1" t="s">
        <v>898</v>
      </c>
      <c r="G261" s="1" t="s">
        <v>14</v>
      </c>
      <c r="H261" s="1" t="s">
        <v>14</v>
      </c>
      <c r="I261" s="1" t="s">
        <v>14</v>
      </c>
      <c r="J261" s="1" t="s">
        <v>15</v>
      </c>
      <c r="K261" s="2"/>
      <c r="L261" s="5">
        <f>K261*3370.59</f>
        <v>0</v>
      </c>
    </row>
    <row r="262" spans="1:12">
      <c r="A262" s="1"/>
      <c r="B262" s="1">
        <v>827242</v>
      </c>
      <c r="C262" s="1" t="s">
        <v>905</v>
      </c>
      <c r="D262" s="1" t="s">
        <v>906</v>
      </c>
      <c r="E262" s="3" t="s">
        <v>907</v>
      </c>
      <c r="F262" s="1" t="s">
        <v>908</v>
      </c>
      <c r="G262" s="1" t="s">
        <v>14</v>
      </c>
      <c r="H262" s="1" t="s">
        <v>14</v>
      </c>
      <c r="I262" s="1" t="s">
        <v>14</v>
      </c>
      <c r="J262" s="1" t="s">
        <v>15</v>
      </c>
      <c r="K262" s="2"/>
      <c r="L262" s="5">
        <f>K262*3745.10</f>
        <v>0</v>
      </c>
    </row>
    <row r="263" spans="1:12">
      <c r="A263" s="1"/>
      <c r="B263" s="1">
        <v>827243</v>
      </c>
      <c r="C263" s="1" t="s">
        <v>909</v>
      </c>
      <c r="D263" s="1" t="s">
        <v>910</v>
      </c>
      <c r="E263" s="3" t="s">
        <v>911</v>
      </c>
      <c r="F263" s="1" t="s">
        <v>912</v>
      </c>
      <c r="G263" s="1" t="s">
        <v>14</v>
      </c>
      <c r="H263" s="1" t="s">
        <v>14</v>
      </c>
      <c r="I263" s="1" t="s">
        <v>14</v>
      </c>
      <c r="J263" s="1" t="s">
        <v>15</v>
      </c>
      <c r="K263" s="2"/>
      <c r="L263" s="5">
        <f>K263*3550.70</f>
        <v>0</v>
      </c>
    </row>
    <row r="264" spans="1:12">
      <c r="A264" s="1"/>
      <c r="B264" s="1">
        <v>827244</v>
      </c>
      <c r="C264" s="1" t="s">
        <v>913</v>
      </c>
      <c r="D264" s="1" t="s">
        <v>914</v>
      </c>
      <c r="E264" s="3" t="s">
        <v>915</v>
      </c>
      <c r="F264" s="1" t="s">
        <v>912</v>
      </c>
      <c r="G264" s="1" t="s">
        <v>14</v>
      </c>
      <c r="H264" s="1" t="s">
        <v>14</v>
      </c>
      <c r="I264" s="1" t="s">
        <v>14</v>
      </c>
      <c r="J264" s="1" t="s">
        <v>15</v>
      </c>
      <c r="K264" s="2"/>
      <c r="L264" s="5">
        <f>K264*3550.70</f>
        <v>0</v>
      </c>
    </row>
    <row r="265" spans="1:12">
      <c r="A265" s="1"/>
      <c r="B265" s="1">
        <v>827245</v>
      </c>
      <c r="C265" s="1" t="s">
        <v>916</v>
      </c>
      <c r="D265" s="1" t="s">
        <v>917</v>
      </c>
      <c r="E265" s="3" t="s">
        <v>918</v>
      </c>
      <c r="F265" s="1" t="s">
        <v>912</v>
      </c>
      <c r="G265" s="1" t="s">
        <v>14</v>
      </c>
      <c r="H265" s="1" t="s">
        <v>14</v>
      </c>
      <c r="I265" s="1" t="s">
        <v>14</v>
      </c>
      <c r="J265" s="1" t="s">
        <v>15</v>
      </c>
      <c r="K265" s="2"/>
      <c r="L265" s="5">
        <f>K265*3550.70</f>
        <v>0</v>
      </c>
    </row>
    <row r="266" spans="1:12">
      <c r="A266" s="1"/>
      <c r="B266" s="1">
        <v>827246</v>
      </c>
      <c r="C266" s="1" t="s">
        <v>919</v>
      </c>
      <c r="D266" s="1" t="s">
        <v>920</v>
      </c>
      <c r="E266" s="3" t="s">
        <v>921</v>
      </c>
      <c r="F266" s="1" t="s">
        <v>922</v>
      </c>
      <c r="G266" s="1" t="s">
        <v>14</v>
      </c>
      <c r="H266" s="1" t="s">
        <v>14</v>
      </c>
      <c r="I266" s="1" t="s">
        <v>14</v>
      </c>
      <c r="J266" s="1" t="s">
        <v>15</v>
      </c>
      <c r="K266" s="2"/>
      <c r="L266" s="5">
        <f>K266*3667.24</f>
        <v>0</v>
      </c>
    </row>
    <row r="267" spans="1:12">
      <c r="A267" s="1"/>
      <c r="B267" s="1">
        <v>827247</v>
      </c>
      <c r="C267" s="1" t="s">
        <v>923</v>
      </c>
      <c r="D267" s="1" t="s">
        <v>924</v>
      </c>
      <c r="E267" s="3" t="s">
        <v>925</v>
      </c>
      <c r="F267" s="1" t="s">
        <v>926</v>
      </c>
      <c r="G267" s="1" t="s">
        <v>14</v>
      </c>
      <c r="H267" s="1" t="s">
        <v>14</v>
      </c>
      <c r="I267" s="1" t="s">
        <v>14</v>
      </c>
      <c r="J267" s="1" t="s">
        <v>15</v>
      </c>
      <c r="K267" s="2"/>
      <c r="L267" s="5">
        <f>K267*3349.40</f>
        <v>0</v>
      </c>
    </row>
    <row r="268" spans="1:12">
      <c r="A268" s="1"/>
      <c r="B268" s="1">
        <v>827251</v>
      </c>
      <c r="C268" s="1" t="s">
        <v>927</v>
      </c>
      <c r="D268" s="1" t="s">
        <v>928</v>
      </c>
      <c r="E268" s="3" t="s">
        <v>929</v>
      </c>
      <c r="F268" s="1" t="s">
        <v>930</v>
      </c>
      <c r="G268" s="1" t="s">
        <v>14</v>
      </c>
      <c r="H268" s="1" t="s">
        <v>14</v>
      </c>
      <c r="I268" s="1" t="s">
        <v>14</v>
      </c>
      <c r="J268" s="1" t="s">
        <v>15</v>
      </c>
      <c r="K268" s="2"/>
      <c r="L268" s="5">
        <f>K268*1843.46</f>
        <v>0</v>
      </c>
    </row>
    <row r="269" spans="1:12">
      <c r="A269" s="1"/>
      <c r="B269" s="1">
        <v>827252</v>
      </c>
      <c r="C269" s="1" t="s">
        <v>931</v>
      </c>
      <c r="D269" s="1" t="s">
        <v>932</v>
      </c>
      <c r="E269" s="3" t="s">
        <v>933</v>
      </c>
      <c r="F269" s="1" t="s">
        <v>930</v>
      </c>
      <c r="G269" s="1" t="s">
        <v>14</v>
      </c>
      <c r="H269" s="1" t="s">
        <v>14</v>
      </c>
      <c r="I269" s="1" t="s">
        <v>14</v>
      </c>
      <c r="J269" s="1" t="s">
        <v>15</v>
      </c>
      <c r="K269" s="2"/>
      <c r="L269" s="5">
        <f>K269*1843.46</f>
        <v>0</v>
      </c>
    </row>
    <row r="270" spans="1:12">
      <c r="A270" s="1"/>
      <c r="B270" s="1">
        <v>827253</v>
      </c>
      <c r="C270" s="1" t="s">
        <v>934</v>
      </c>
      <c r="D270" s="1" t="s">
        <v>935</v>
      </c>
      <c r="E270" s="3" t="s">
        <v>936</v>
      </c>
      <c r="F270" s="1" t="s">
        <v>937</v>
      </c>
      <c r="G270" s="1" t="s">
        <v>14</v>
      </c>
      <c r="H270" s="1" t="s">
        <v>14</v>
      </c>
      <c r="I270" s="1" t="s">
        <v>14</v>
      </c>
      <c r="J270" s="1" t="s">
        <v>15</v>
      </c>
      <c r="K270" s="2"/>
      <c r="L270" s="5">
        <f>K270*1793.51</f>
        <v>0</v>
      </c>
    </row>
    <row r="271" spans="1:12">
      <c r="A271" s="1"/>
      <c r="B271" s="1">
        <v>827254</v>
      </c>
      <c r="C271" s="1" t="s">
        <v>938</v>
      </c>
      <c r="D271" s="1" t="s">
        <v>939</v>
      </c>
      <c r="E271" s="3" t="s">
        <v>940</v>
      </c>
      <c r="F271" s="1" t="s">
        <v>937</v>
      </c>
      <c r="G271" s="1" t="s">
        <v>14</v>
      </c>
      <c r="H271" s="1" t="s">
        <v>14</v>
      </c>
      <c r="I271" s="1" t="s">
        <v>14</v>
      </c>
      <c r="J271" s="1" t="s">
        <v>15</v>
      </c>
      <c r="K271" s="2"/>
      <c r="L271" s="5">
        <f>K271*1793.51</f>
        <v>0</v>
      </c>
    </row>
    <row r="272" spans="1:12">
      <c r="A272" s="1"/>
      <c r="B272" s="1">
        <v>827255</v>
      </c>
      <c r="C272" s="1" t="s">
        <v>941</v>
      </c>
      <c r="D272" s="1" t="s">
        <v>942</v>
      </c>
      <c r="E272" s="3" t="s">
        <v>943</v>
      </c>
      <c r="F272" s="1" t="s">
        <v>944</v>
      </c>
      <c r="G272" s="1" t="s">
        <v>14</v>
      </c>
      <c r="H272" s="1" t="s">
        <v>14</v>
      </c>
      <c r="I272" s="1" t="s">
        <v>14</v>
      </c>
      <c r="J272" s="1" t="s">
        <v>15</v>
      </c>
      <c r="K272" s="2"/>
      <c r="L272" s="5">
        <f>K272*2217.30</f>
        <v>0</v>
      </c>
    </row>
    <row r="273" spans="1:12">
      <c r="A273" s="1"/>
      <c r="B273" s="1">
        <v>827256</v>
      </c>
      <c r="C273" s="1" t="s">
        <v>945</v>
      </c>
      <c r="D273" s="1" t="s">
        <v>946</v>
      </c>
      <c r="E273" s="3" t="s">
        <v>947</v>
      </c>
      <c r="F273" s="1" t="s">
        <v>944</v>
      </c>
      <c r="G273" s="1" t="s">
        <v>14</v>
      </c>
      <c r="H273" s="1" t="s">
        <v>14</v>
      </c>
      <c r="I273" s="1" t="s">
        <v>14</v>
      </c>
      <c r="J273" s="1" t="s">
        <v>15</v>
      </c>
      <c r="K273" s="2"/>
      <c r="L273" s="5">
        <f>K273*2217.30</f>
        <v>0</v>
      </c>
    </row>
    <row r="274" spans="1:12">
      <c r="A274" s="1"/>
      <c r="B274" s="1">
        <v>827257</v>
      </c>
      <c r="C274" s="1" t="s">
        <v>948</v>
      </c>
      <c r="D274" s="1" t="s">
        <v>949</v>
      </c>
      <c r="E274" s="3" t="s">
        <v>950</v>
      </c>
      <c r="F274" s="1" t="s">
        <v>944</v>
      </c>
      <c r="G274" s="1" t="s">
        <v>14</v>
      </c>
      <c r="H274" s="1" t="s">
        <v>14</v>
      </c>
      <c r="I274" s="1" t="s">
        <v>14</v>
      </c>
      <c r="J274" s="1" t="s">
        <v>15</v>
      </c>
      <c r="K274" s="2"/>
      <c r="L274" s="5">
        <f>K274*2217.30</f>
        <v>0</v>
      </c>
    </row>
    <row r="275" spans="1:12">
      <c r="A275" s="1"/>
      <c r="B275" s="1">
        <v>827258</v>
      </c>
      <c r="C275" s="1" t="s">
        <v>951</v>
      </c>
      <c r="D275" s="1" t="s">
        <v>952</v>
      </c>
      <c r="E275" s="3" t="s">
        <v>953</v>
      </c>
      <c r="F275" s="1" t="s">
        <v>944</v>
      </c>
      <c r="G275" s="1" t="s">
        <v>14</v>
      </c>
      <c r="H275" s="1" t="s">
        <v>14</v>
      </c>
      <c r="I275" s="1" t="s">
        <v>14</v>
      </c>
      <c r="J275" s="1" t="s">
        <v>15</v>
      </c>
      <c r="K275" s="2"/>
      <c r="L275" s="5">
        <f>K275*2217.30</f>
        <v>0</v>
      </c>
    </row>
    <row r="276" spans="1:12">
      <c r="A276" s="1"/>
      <c r="B276" s="1">
        <v>827259</v>
      </c>
      <c r="C276" s="1" t="s">
        <v>954</v>
      </c>
      <c r="D276" s="1" t="s">
        <v>955</v>
      </c>
      <c r="E276" s="3" t="s">
        <v>956</v>
      </c>
      <c r="F276" s="1" t="s">
        <v>944</v>
      </c>
      <c r="G276" s="1" t="s">
        <v>14</v>
      </c>
      <c r="H276" s="1" t="s">
        <v>14</v>
      </c>
      <c r="I276" s="1" t="s">
        <v>14</v>
      </c>
      <c r="J276" s="1" t="s">
        <v>15</v>
      </c>
      <c r="K276" s="2"/>
      <c r="L276" s="5">
        <f>K276*2217.30</f>
        <v>0</v>
      </c>
    </row>
    <row r="277" spans="1:12">
      <c r="A277" s="1"/>
      <c r="B277" s="1">
        <v>827260</v>
      </c>
      <c r="C277" s="1" t="s">
        <v>957</v>
      </c>
      <c r="D277" s="1" t="s">
        <v>958</v>
      </c>
      <c r="E277" s="3" t="s">
        <v>959</v>
      </c>
      <c r="F277" s="1" t="s">
        <v>944</v>
      </c>
      <c r="G277" s="1" t="s">
        <v>14</v>
      </c>
      <c r="H277" s="1" t="s">
        <v>14</v>
      </c>
      <c r="I277" s="1" t="s">
        <v>14</v>
      </c>
      <c r="J277" s="1" t="s">
        <v>15</v>
      </c>
      <c r="K277" s="2"/>
      <c r="L277" s="5">
        <f>K277*2217.30</f>
        <v>0</v>
      </c>
    </row>
    <row r="278" spans="1:12">
      <c r="A278" s="1"/>
      <c r="B278" s="1">
        <v>827261</v>
      </c>
      <c r="C278" s="1" t="s">
        <v>960</v>
      </c>
      <c r="D278" s="1" t="s">
        <v>961</v>
      </c>
      <c r="E278" s="3" t="s">
        <v>962</v>
      </c>
      <c r="F278" s="1" t="s">
        <v>944</v>
      </c>
      <c r="G278" s="1" t="s">
        <v>14</v>
      </c>
      <c r="H278" s="1" t="s">
        <v>14</v>
      </c>
      <c r="I278" s="1" t="s">
        <v>14</v>
      </c>
      <c r="J278" s="1" t="s">
        <v>15</v>
      </c>
      <c r="K278" s="2"/>
      <c r="L278" s="5">
        <f>K278*2217.30</f>
        <v>0</v>
      </c>
    </row>
    <row r="279" spans="1:12">
      <c r="A279" s="1"/>
      <c r="B279" s="1">
        <v>827262</v>
      </c>
      <c r="C279" s="1" t="s">
        <v>963</v>
      </c>
      <c r="D279" s="1" t="s">
        <v>964</v>
      </c>
      <c r="E279" s="3" t="s">
        <v>965</v>
      </c>
      <c r="F279" s="1" t="s">
        <v>944</v>
      </c>
      <c r="G279" s="1" t="s">
        <v>14</v>
      </c>
      <c r="H279" s="1" t="s">
        <v>14</v>
      </c>
      <c r="I279" s="1" t="s">
        <v>14</v>
      </c>
      <c r="J279" s="1" t="s">
        <v>15</v>
      </c>
      <c r="K279" s="2"/>
      <c r="L279" s="5">
        <f>K279*2217.30</f>
        <v>0</v>
      </c>
    </row>
    <row r="280" spans="1:12">
      <c r="A280" s="1"/>
      <c r="B280" s="1">
        <v>827263</v>
      </c>
      <c r="C280" s="1" t="s">
        <v>966</v>
      </c>
      <c r="D280" s="1" t="s">
        <v>967</v>
      </c>
      <c r="E280" s="3" t="s">
        <v>968</v>
      </c>
      <c r="F280" s="1" t="s">
        <v>969</v>
      </c>
      <c r="G280" s="1" t="s">
        <v>14</v>
      </c>
      <c r="H280" s="1" t="s">
        <v>14</v>
      </c>
      <c r="I280" s="1" t="s">
        <v>14</v>
      </c>
      <c r="J280" s="1" t="s">
        <v>15</v>
      </c>
      <c r="K280" s="2"/>
      <c r="L280" s="5">
        <f>K280*1548.32</f>
        <v>0</v>
      </c>
    </row>
    <row r="281" spans="1:12">
      <c r="A281" s="1"/>
      <c r="B281" s="1">
        <v>827264</v>
      </c>
      <c r="C281" s="1" t="s">
        <v>970</v>
      </c>
      <c r="D281" s="1" t="s">
        <v>971</v>
      </c>
      <c r="E281" s="3" t="s">
        <v>972</v>
      </c>
      <c r="F281" s="1" t="s">
        <v>973</v>
      </c>
      <c r="G281" s="1" t="s">
        <v>14</v>
      </c>
      <c r="H281" s="1" t="s">
        <v>14</v>
      </c>
      <c r="I281" s="1" t="s">
        <v>14</v>
      </c>
      <c r="J281" s="1" t="s">
        <v>15</v>
      </c>
      <c r="K281" s="2"/>
      <c r="L281" s="5">
        <f>K281*1508.97</f>
        <v>0</v>
      </c>
    </row>
    <row r="282" spans="1:12">
      <c r="A282" s="1"/>
      <c r="B282" s="1">
        <v>827265</v>
      </c>
      <c r="C282" s="1" t="s">
        <v>974</v>
      </c>
      <c r="D282" s="1" t="s">
        <v>975</v>
      </c>
      <c r="E282" s="3" t="s">
        <v>976</v>
      </c>
      <c r="F282" s="1" t="s">
        <v>977</v>
      </c>
      <c r="G282" s="1" t="s">
        <v>14</v>
      </c>
      <c r="H282" s="1" t="s">
        <v>14</v>
      </c>
      <c r="I282" s="1" t="s">
        <v>14</v>
      </c>
      <c r="J282" s="1" t="s">
        <v>15</v>
      </c>
      <c r="K282" s="2"/>
      <c r="L282" s="5">
        <f>K282*5966.26</f>
        <v>0</v>
      </c>
    </row>
    <row r="283" spans="1:12">
      <c r="A283" s="1"/>
      <c r="B283" s="1">
        <v>827266</v>
      </c>
      <c r="C283" s="1" t="s">
        <v>978</v>
      </c>
      <c r="D283" s="1" t="s">
        <v>979</v>
      </c>
      <c r="E283" s="3" t="s">
        <v>980</v>
      </c>
      <c r="F283" s="1" t="s">
        <v>981</v>
      </c>
      <c r="G283" s="1" t="s">
        <v>14</v>
      </c>
      <c r="H283" s="1" t="s">
        <v>14</v>
      </c>
      <c r="I283" s="1" t="s">
        <v>14</v>
      </c>
      <c r="J283" s="1" t="s">
        <v>15</v>
      </c>
      <c r="K283" s="2"/>
      <c r="L283" s="5">
        <f>K283*6648.86</f>
        <v>0</v>
      </c>
    </row>
    <row r="284" spans="1:12">
      <c r="A284" s="1"/>
      <c r="B284" s="1">
        <v>827267</v>
      </c>
      <c r="C284" s="1" t="s">
        <v>982</v>
      </c>
      <c r="D284" s="1" t="s">
        <v>983</v>
      </c>
      <c r="E284" s="3" t="s">
        <v>984</v>
      </c>
      <c r="F284" s="1" t="s">
        <v>981</v>
      </c>
      <c r="G284" s="1" t="s">
        <v>14</v>
      </c>
      <c r="H284" s="1" t="s">
        <v>14</v>
      </c>
      <c r="I284" s="1" t="s">
        <v>14</v>
      </c>
      <c r="J284" s="1" t="s">
        <v>15</v>
      </c>
      <c r="K284" s="2"/>
      <c r="L284" s="5">
        <f>K284*6648.86</f>
        <v>0</v>
      </c>
    </row>
    <row r="285" spans="1:12">
      <c r="A285" s="1"/>
      <c r="B285" s="1">
        <v>827268</v>
      </c>
      <c r="C285" s="1" t="s">
        <v>985</v>
      </c>
      <c r="D285" s="1" t="s">
        <v>986</v>
      </c>
      <c r="E285" s="3" t="s">
        <v>987</v>
      </c>
      <c r="F285" s="1" t="s">
        <v>981</v>
      </c>
      <c r="G285" s="1" t="s">
        <v>14</v>
      </c>
      <c r="H285" s="1" t="s">
        <v>14</v>
      </c>
      <c r="I285" s="1" t="s">
        <v>14</v>
      </c>
      <c r="J285" s="1" t="s">
        <v>15</v>
      </c>
      <c r="K285" s="2"/>
      <c r="L285" s="5">
        <f>K285*6648.86</f>
        <v>0</v>
      </c>
    </row>
    <row r="286" spans="1:12">
      <c r="A286" s="1"/>
      <c r="B286" s="1">
        <v>827269</v>
      </c>
      <c r="C286" s="1" t="s">
        <v>988</v>
      </c>
      <c r="D286" s="1" t="s">
        <v>989</v>
      </c>
      <c r="E286" s="3" t="s">
        <v>990</v>
      </c>
      <c r="F286" s="1" t="s">
        <v>981</v>
      </c>
      <c r="G286" s="1" t="s">
        <v>14</v>
      </c>
      <c r="H286" s="1" t="s">
        <v>14</v>
      </c>
      <c r="I286" s="1" t="s">
        <v>14</v>
      </c>
      <c r="J286" s="1" t="s">
        <v>15</v>
      </c>
      <c r="K286" s="2"/>
      <c r="L286" s="5">
        <f>K286*6648.86</f>
        <v>0</v>
      </c>
    </row>
    <row r="287" spans="1:12">
      <c r="A287" s="1"/>
      <c r="B287" s="1">
        <v>827270</v>
      </c>
      <c r="C287" s="1" t="s">
        <v>991</v>
      </c>
      <c r="D287" s="1" t="s">
        <v>992</v>
      </c>
      <c r="E287" s="3" t="s">
        <v>993</v>
      </c>
      <c r="F287" s="1" t="s">
        <v>994</v>
      </c>
      <c r="G287" s="1" t="s">
        <v>14</v>
      </c>
      <c r="H287" s="1" t="s">
        <v>14</v>
      </c>
      <c r="I287" s="1" t="s">
        <v>14</v>
      </c>
      <c r="J287" s="1" t="s">
        <v>15</v>
      </c>
      <c r="K287" s="2"/>
      <c r="L287" s="5">
        <f>K287*2551.78</f>
        <v>0</v>
      </c>
    </row>
    <row r="288" spans="1:12">
      <c r="A288" s="1"/>
      <c r="B288" s="1">
        <v>827271</v>
      </c>
      <c r="C288" s="1" t="s">
        <v>995</v>
      </c>
      <c r="D288" s="1" t="s">
        <v>996</v>
      </c>
      <c r="E288" s="3" t="s">
        <v>997</v>
      </c>
      <c r="F288" s="1" t="s">
        <v>998</v>
      </c>
      <c r="G288" s="1" t="s">
        <v>14</v>
      </c>
      <c r="H288" s="1" t="s">
        <v>14</v>
      </c>
      <c r="I288" s="1" t="s">
        <v>14</v>
      </c>
      <c r="J288" s="1" t="s">
        <v>15</v>
      </c>
      <c r="K288" s="2"/>
      <c r="L288" s="5">
        <f>K288*1973.62</f>
        <v>0</v>
      </c>
    </row>
    <row r="289" spans="1:12">
      <c r="A289" s="1"/>
      <c r="B289" s="1">
        <v>827272</v>
      </c>
      <c r="C289" s="1" t="s">
        <v>999</v>
      </c>
      <c r="D289" s="1" t="s">
        <v>1000</v>
      </c>
      <c r="E289" s="3" t="s">
        <v>1001</v>
      </c>
      <c r="F289" s="1" t="s">
        <v>439</v>
      </c>
      <c r="G289" s="1" t="s">
        <v>14</v>
      </c>
      <c r="H289" s="1" t="s">
        <v>14</v>
      </c>
      <c r="I289" s="1" t="s">
        <v>14</v>
      </c>
      <c r="J289" s="1" t="s">
        <v>15</v>
      </c>
      <c r="K289" s="2"/>
      <c r="L289" s="5">
        <f>K289*0.00</f>
        <v>0</v>
      </c>
    </row>
    <row r="290" spans="1:12">
      <c r="A290" s="1"/>
      <c r="B290" s="1">
        <v>827274</v>
      </c>
      <c r="C290" s="1" t="s">
        <v>1002</v>
      </c>
      <c r="D290" s="1" t="s">
        <v>1003</v>
      </c>
      <c r="E290" s="3" t="s">
        <v>1004</v>
      </c>
      <c r="F290" s="1" t="s">
        <v>1005</v>
      </c>
      <c r="G290" s="1" t="s">
        <v>14</v>
      </c>
      <c r="H290" s="1" t="s">
        <v>14</v>
      </c>
      <c r="I290" s="1" t="s">
        <v>14</v>
      </c>
      <c r="J290" s="1" t="s">
        <v>15</v>
      </c>
      <c r="K290" s="2"/>
      <c r="L290" s="5">
        <f>K290*5198.91</f>
        <v>0</v>
      </c>
    </row>
    <row r="291" spans="1:12">
      <c r="A291" s="1"/>
      <c r="B291" s="1">
        <v>827275</v>
      </c>
      <c r="C291" s="1" t="s">
        <v>1006</v>
      </c>
      <c r="D291" s="1" t="s">
        <v>1007</v>
      </c>
      <c r="E291" s="3" t="s">
        <v>1008</v>
      </c>
      <c r="F291" s="1" t="s">
        <v>439</v>
      </c>
      <c r="G291" s="1" t="s">
        <v>14</v>
      </c>
      <c r="H291" s="1" t="s">
        <v>14</v>
      </c>
      <c r="I291" s="1" t="s">
        <v>14</v>
      </c>
      <c r="J291" s="1" t="s">
        <v>15</v>
      </c>
      <c r="K291" s="2"/>
      <c r="L291" s="5">
        <f>K291*0.00</f>
        <v>0</v>
      </c>
    </row>
    <row r="292" spans="1:12">
      <c r="A292" s="1"/>
      <c r="B292" s="1">
        <v>827276</v>
      </c>
      <c r="C292" s="1" t="s">
        <v>1009</v>
      </c>
      <c r="D292" s="1" t="s">
        <v>1010</v>
      </c>
      <c r="E292" s="3" t="s">
        <v>1011</v>
      </c>
      <c r="F292" s="1" t="s">
        <v>1012</v>
      </c>
      <c r="G292" s="1" t="s">
        <v>14</v>
      </c>
      <c r="H292" s="1" t="s">
        <v>14</v>
      </c>
      <c r="I292" s="1" t="s">
        <v>14</v>
      </c>
      <c r="J292" s="1" t="s">
        <v>15</v>
      </c>
      <c r="K292" s="2"/>
      <c r="L292" s="5">
        <f>K292*2600.21</f>
        <v>0</v>
      </c>
    </row>
    <row r="293" spans="1:12">
      <c r="A293" s="1"/>
      <c r="B293" s="1">
        <v>827277</v>
      </c>
      <c r="C293" s="1" t="s">
        <v>1013</v>
      </c>
      <c r="D293" s="1" t="s">
        <v>1014</v>
      </c>
      <c r="E293" s="3" t="s">
        <v>1015</v>
      </c>
      <c r="F293" s="1" t="s">
        <v>1016</v>
      </c>
      <c r="G293" s="1" t="s">
        <v>14</v>
      </c>
      <c r="H293" s="1" t="s">
        <v>14</v>
      </c>
      <c r="I293" s="1" t="s">
        <v>14</v>
      </c>
      <c r="J293" s="1" t="s">
        <v>15</v>
      </c>
      <c r="K293" s="2"/>
      <c r="L293" s="5">
        <f>K293*2633.51</f>
        <v>0</v>
      </c>
    </row>
    <row r="294" spans="1:12">
      <c r="A294" s="1"/>
      <c r="B294" s="1">
        <v>827278</v>
      </c>
      <c r="C294" s="1" t="s">
        <v>1017</v>
      </c>
      <c r="D294" s="1" t="s">
        <v>1018</v>
      </c>
      <c r="E294" s="3" t="s">
        <v>1019</v>
      </c>
      <c r="F294" s="1" t="s">
        <v>1020</v>
      </c>
      <c r="G294" s="1" t="s">
        <v>14</v>
      </c>
      <c r="H294" s="1" t="s">
        <v>14</v>
      </c>
      <c r="I294" s="1" t="s">
        <v>14</v>
      </c>
      <c r="J294" s="1" t="s">
        <v>15</v>
      </c>
      <c r="K294" s="2"/>
      <c r="L294" s="5">
        <f>K294*4483.02</f>
        <v>0</v>
      </c>
    </row>
    <row r="295" spans="1:12">
      <c r="A295" s="1"/>
      <c r="B295" s="1">
        <v>827279</v>
      </c>
      <c r="C295" s="1" t="s">
        <v>1021</v>
      </c>
      <c r="D295" s="1" t="s">
        <v>1022</v>
      </c>
      <c r="E295" s="3" t="s">
        <v>1023</v>
      </c>
      <c r="F295" s="1" t="s">
        <v>439</v>
      </c>
      <c r="G295" s="1" t="s">
        <v>14</v>
      </c>
      <c r="H295" s="1" t="s">
        <v>14</v>
      </c>
      <c r="I295" s="1" t="s">
        <v>14</v>
      </c>
      <c r="J295" s="1" t="s">
        <v>15</v>
      </c>
      <c r="K295" s="2"/>
      <c r="L295" s="5">
        <f>K295*0.00</f>
        <v>0</v>
      </c>
    </row>
    <row r="296" spans="1:12">
      <c r="A296" s="1"/>
      <c r="B296" s="1">
        <v>827280</v>
      </c>
      <c r="C296" s="1" t="s">
        <v>1024</v>
      </c>
      <c r="D296" s="1" t="s">
        <v>1025</v>
      </c>
      <c r="E296" s="3" t="s">
        <v>1026</v>
      </c>
      <c r="F296" s="1" t="s">
        <v>1027</v>
      </c>
      <c r="G296" s="1" t="s">
        <v>14</v>
      </c>
      <c r="H296" s="1" t="s">
        <v>14</v>
      </c>
      <c r="I296" s="1" t="s">
        <v>14</v>
      </c>
      <c r="J296" s="1" t="s">
        <v>15</v>
      </c>
      <c r="K296" s="2"/>
      <c r="L296" s="5">
        <f>K296*4514.81</f>
        <v>0</v>
      </c>
    </row>
    <row r="297" spans="1:12">
      <c r="A297" s="1"/>
      <c r="B297" s="1">
        <v>827281</v>
      </c>
      <c r="C297" s="1" t="s">
        <v>1028</v>
      </c>
      <c r="D297" s="1" t="s">
        <v>1029</v>
      </c>
      <c r="E297" s="3" t="s">
        <v>1030</v>
      </c>
      <c r="F297" s="1" t="s">
        <v>439</v>
      </c>
      <c r="G297" s="1" t="s">
        <v>14</v>
      </c>
      <c r="H297" s="1" t="s">
        <v>14</v>
      </c>
      <c r="I297" s="1" t="s">
        <v>14</v>
      </c>
      <c r="J297" s="1" t="s">
        <v>15</v>
      </c>
      <c r="K297" s="2"/>
      <c r="L297" s="5">
        <f>K297*0.00</f>
        <v>0</v>
      </c>
    </row>
    <row r="298" spans="1:12">
      <c r="A298" s="1"/>
      <c r="B298" s="1">
        <v>827282</v>
      </c>
      <c r="C298" s="1" t="s">
        <v>1031</v>
      </c>
      <c r="D298" s="1" t="s">
        <v>1032</v>
      </c>
      <c r="E298" s="3" t="s">
        <v>1033</v>
      </c>
      <c r="F298" s="1" t="s">
        <v>1034</v>
      </c>
      <c r="G298" s="1" t="s">
        <v>14</v>
      </c>
      <c r="H298" s="1" t="s">
        <v>14</v>
      </c>
      <c r="I298" s="1" t="s">
        <v>14</v>
      </c>
      <c r="J298" s="1" t="s">
        <v>15</v>
      </c>
      <c r="K298" s="2"/>
      <c r="L298" s="5">
        <f>K298*3708.10</f>
        <v>0</v>
      </c>
    </row>
    <row r="299" spans="1:12">
      <c r="A299" s="1"/>
      <c r="B299" s="1">
        <v>827283</v>
      </c>
      <c r="C299" s="1" t="s">
        <v>1035</v>
      </c>
      <c r="D299" s="1" t="s">
        <v>1036</v>
      </c>
      <c r="E299" s="3" t="s">
        <v>1037</v>
      </c>
      <c r="F299" s="1" t="s">
        <v>439</v>
      </c>
      <c r="G299" s="1" t="s">
        <v>14</v>
      </c>
      <c r="H299" s="1" t="s">
        <v>14</v>
      </c>
      <c r="I299" s="1" t="s">
        <v>14</v>
      </c>
      <c r="J299" s="1" t="s">
        <v>15</v>
      </c>
      <c r="K299" s="2"/>
      <c r="L299" s="5">
        <f>K299*0.00</f>
        <v>0</v>
      </c>
    </row>
    <row r="300" spans="1:12">
      <c r="A300" s="1"/>
      <c r="B300" s="1">
        <v>827284</v>
      </c>
      <c r="C300" s="1" t="s">
        <v>1038</v>
      </c>
      <c r="D300" s="1" t="s">
        <v>1039</v>
      </c>
      <c r="E300" s="3" t="s">
        <v>1040</v>
      </c>
      <c r="F300" s="1" t="s">
        <v>1041</v>
      </c>
      <c r="G300" s="1" t="s">
        <v>14</v>
      </c>
      <c r="H300" s="1" t="s">
        <v>14</v>
      </c>
      <c r="I300" s="1" t="s">
        <v>14</v>
      </c>
      <c r="J300" s="1" t="s">
        <v>15</v>
      </c>
      <c r="K300" s="2"/>
      <c r="L300" s="5">
        <f>K300*9226.37</f>
        <v>0</v>
      </c>
    </row>
    <row r="301" spans="1:12">
      <c r="A301" s="1"/>
      <c r="B301" s="1">
        <v>827285</v>
      </c>
      <c r="C301" s="1" t="s">
        <v>1042</v>
      </c>
      <c r="D301" s="1" t="s">
        <v>1043</v>
      </c>
      <c r="E301" s="3" t="s">
        <v>1044</v>
      </c>
      <c r="F301" s="1" t="s">
        <v>1045</v>
      </c>
      <c r="G301" s="1" t="s">
        <v>14</v>
      </c>
      <c r="H301" s="1" t="s">
        <v>14</v>
      </c>
      <c r="I301" s="1" t="s">
        <v>14</v>
      </c>
      <c r="J301" s="1" t="s">
        <v>15</v>
      </c>
      <c r="K301" s="2"/>
      <c r="L301" s="5">
        <f>K301*5849.72</f>
        <v>0</v>
      </c>
    </row>
    <row r="302" spans="1:12">
      <c r="A302" s="1"/>
      <c r="B302" s="1">
        <v>827286</v>
      </c>
      <c r="C302" s="1" t="s">
        <v>1046</v>
      </c>
      <c r="D302" s="1" t="s">
        <v>1047</v>
      </c>
      <c r="E302" s="3" t="s">
        <v>1048</v>
      </c>
      <c r="F302" s="1" t="s">
        <v>1049</v>
      </c>
      <c r="G302" s="1" t="s">
        <v>14</v>
      </c>
      <c r="H302" s="1" t="s">
        <v>14</v>
      </c>
      <c r="I302" s="1" t="s">
        <v>14</v>
      </c>
      <c r="J302" s="1" t="s">
        <v>15</v>
      </c>
      <c r="K302" s="2"/>
      <c r="L302" s="5">
        <f>K302*4089.51</f>
        <v>0</v>
      </c>
    </row>
    <row r="303" spans="1:12">
      <c r="A303" s="1"/>
      <c r="B303" s="1">
        <v>827287</v>
      </c>
      <c r="C303" s="1" t="s">
        <v>1050</v>
      </c>
      <c r="D303" s="1" t="s">
        <v>1051</v>
      </c>
      <c r="E303" s="3" t="s">
        <v>1052</v>
      </c>
      <c r="F303" s="1" t="s">
        <v>1053</v>
      </c>
      <c r="G303" s="1" t="s">
        <v>14</v>
      </c>
      <c r="H303" s="1" t="s">
        <v>14</v>
      </c>
      <c r="I303" s="1" t="s">
        <v>14</v>
      </c>
      <c r="J303" s="1" t="s">
        <v>15</v>
      </c>
      <c r="K303" s="2"/>
      <c r="L303" s="5">
        <f>K303*1999.35</f>
        <v>0</v>
      </c>
    </row>
    <row r="304" spans="1:12">
      <c r="A304" s="1"/>
      <c r="B304" s="1">
        <v>827288</v>
      </c>
      <c r="C304" s="1" t="s">
        <v>1054</v>
      </c>
      <c r="D304" s="1" t="s">
        <v>1055</v>
      </c>
      <c r="E304" s="3" t="s">
        <v>1056</v>
      </c>
      <c r="F304" s="1" t="s">
        <v>1057</v>
      </c>
      <c r="G304" s="1" t="s">
        <v>14</v>
      </c>
      <c r="H304" s="1" t="s">
        <v>14</v>
      </c>
      <c r="I304" s="1" t="s">
        <v>14</v>
      </c>
      <c r="J304" s="1" t="s">
        <v>15</v>
      </c>
      <c r="K304" s="2"/>
      <c r="L304" s="5">
        <f>K304*3257.08</f>
        <v>0</v>
      </c>
    </row>
    <row r="305" spans="1:12">
      <c r="A305" s="1"/>
      <c r="B305" s="1">
        <v>827289</v>
      </c>
      <c r="C305" s="1" t="s">
        <v>1058</v>
      </c>
      <c r="D305" s="1" t="s">
        <v>1059</v>
      </c>
      <c r="E305" s="3" t="s">
        <v>1060</v>
      </c>
      <c r="F305" s="1" t="s">
        <v>1061</v>
      </c>
      <c r="G305" s="1" t="s">
        <v>14</v>
      </c>
      <c r="H305" s="1" t="s">
        <v>14</v>
      </c>
      <c r="I305" s="1" t="s">
        <v>14</v>
      </c>
      <c r="J305" s="1" t="s">
        <v>15</v>
      </c>
      <c r="K305" s="2"/>
      <c r="L305" s="5">
        <f>K305*1813.19</f>
        <v>0</v>
      </c>
    </row>
    <row r="306" spans="1:12">
      <c r="A306" s="1"/>
      <c r="B306" s="1">
        <v>827290</v>
      </c>
      <c r="C306" s="1" t="s">
        <v>1062</v>
      </c>
      <c r="D306" s="1" t="s">
        <v>1063</v>
      </c>
      <c r="E306" s="3" t="s">
        <v>1064</v>
      </c>
      <c r="F306" s="1" t="s">
        <v>1053</v>
      </c>
      <c r="G306" s="1" t="s">
        <v>14</v>
      </c>
      <c r="H306" s="1" t="s">
        <v>14</v>
      </c>
      <c r="I306" s="1" t="s">
        <v>14</v>
      </c>
      <c r="J306" s="1" t="s">
        <v>15</v>
      </c>
      <c r="K306" s="2"/>
      <c r="L306" s="5">
        <f>K306*1999.35</f>
        <v>0</v>
      </c>
    </row>
    <row r="307" spans="1:12">
      <c r="A307" s="1"/>
      <c r="B307" s="1">
        <v>827291</v>
      </c>
      <c r="C307" s="1" t="s">
        <v>1065</v>
      </c>
      <c r="D307" s="1" t="s">
        <v>1066</v>
      </c>
      <c r="E307" s="3" t="s">
        <v>1067</v>
      </c>
      <c r="F307" s="1" t="s">
        <v>1068</v>
      </c>
      <c r="G307" s="1" t="s">
        <v>14</v>
      </c>
      <c r="H307" s="1" t="s">
        <v>14</v>
      </c>
      <c r="I307" s="1" t="s">
        <v>14</v>
      </c>
      <c r="J307" s="1" t="s">
        <v>15</v>
      </c>
      <c r="K307" s="2"/>
      <c r="L307" s="5">
        <f>K307*2016.00</f>
        <v>0</v>
      </c>
    </row>
    <row r="308" spans="1:12">
      <c r="A308" s="1"/>
      <c r="B308" s="1">
        <v>827292</v>
      </c>
      <c r="C308" s="1" t="s">
        <v>1069</v>
      </c>
      <c r="D308" s="1" t="s">
        <v>1070</v>
      </c>
      <c r="E308" s="3" t="s">
        <v>1071</v>
      </c>
      <c r="F308" s="1" t="s">
        <v>1072</v>
      </c>
      <c r="G308" s="1" t="s">
        <v>14</v>
      </c>
      <c r="H308" s="1" t="s">
        <v>14</v>
      </c>
      <c r="I308" s="1" t="s">
        <v>14</v>
      </c>
      <c r="J308" s="1" t="s">
        <v>15</v>
      </c>
      <c r="K308" s="2"/>
      <c r="L308" s="5">
        <f>K308*2787.89</f>
        <v>0</v>
      </c>
    </row>
    <row r="309" spans="1:12">
      <c r="A309" s="1"/>
      <c r="B309" s="1">
        <v>827293</v>
      </c>
      <c r="C309" s="1" t="s">
        <v>1073</v>
      </c>
      <c r="D309" s="1" t="s">
        <v>1074</v>
      </c>
      <c r="E309" s="3" t="s">
        <v>1075</v>
      </c>
      <c r="F309" s="1" t="s">
        <v>1072</v>
      </c>
      <c r="G309" s="1" t="s">
        <v>14</v>
      </c>
      <c r="H309" s="1" t="s">
        <v>14</v>
      </c>
      <c r="I309" s="1" t="s">
        <v>14</v>
      </c>
      <c r="J309" s="1" t="s">
        <v>15</v>
      </c>
      <c r="K309" s="2"/>
      <c r="L309" s="5">
        <f>K309*2787.89</f>
        <v>0</v>
      </c>
    </row>
    <row r="310" spans="1:12">
      <c r="A310" s="1"/>
      <c r="B310" s="1">
        <v>827294</v>
      </c>
      <c r="C310" s="1" t="s">
        <v>1076</v>
      </c>
      <c r="D310" s="1" t="s">
        <v>1077</v>
      </c>
      <c r="E310" s="3" t="s">
        <v>1078</v>
      </c>
      <c r="F310" s="1" t="s">
        <v>1072</v>
      </c>
      <c r="G310" s="1" t="s">
        <v>14</v>
      </c>
      <c r="H310" s="1" t="s">
        <v>14</v>
      </c>
      <c r="I310" s="1" t="s">
        <v>14</v>
      </c>
      <c r="J310" s="1" t="s">
        <v>15</v>
      </c>
      <c r="K310" s="2"/>
      <c r="L310" s="5">
        <f>K310*2787.89</f>
        <v>0</v>
      </c>
    </row>
    <row r="311" spans="1:12">
      <c r="A311" s="1"/>
      <c r="B311" s="1">
        <v>827295</v>
      </c>
      <c r="C311" s="1" t="s">
        <v>1079</v>
      </c>
      <c r="D311" s="1" t="s">
        <v>1080</v>
      </c>
      <c r="E311" s="3" t="s">
        <v>1081</v>
      </c>
      <c r="F311" s="1" t="s">
        <v>1082</v>
      </c>
      <c r="G311" s="1" t="s">
        <v>14</v>
      </c>
      <c r="H311" s="1" t="s">
        <v>14</v>
      </c>
      <c r="I311" s="1" t="s">
        <v>14</v>
      </c>
      <c r="J311" s="1" t="s">
        <v>15</v>
      </c>
      <c r="K311" s="2"/>
      <c r="L311" s="5">
        <f>K311*1708.76</f>
        <v>0</v>
      </c>
    </row>
    <row r="312" spans="1:12">
      <c r="A312" s="1"/>
      <c r="B312" s="1">
        <v>827296</v>
      </c>
      <c r="C312" s="1" t="s">
        <v>1083</v>
      </c>
      <c r="D312" s="1" t="s">
        <v>1084</v>
      </c>
      <c r="E312" s="3" t="s">
        <v>1085</v>
      </c>
      <c r="F312" s="1" t="s">
        <v>1082</v>
      </c>
      <c r="G312" s="1" t="s">
        <v>14</v>
      </c>
      <c r="H312" s="1" t="s">
        <v>14</v>
      </c>
      <c r="I312" s="1" t="s">
        <v>14</v>
      </c>
      <c r="J312" s="1" t="s">
        <v>15</v>
      </c>
      <c r="K312" s="2"/>
      <c r="L312" s="5">
        <f>K312*1708.76</f>
        <v>0</v>
      </c>
    </row>
    <row r="313" spans="1:12">
      <c r="A313" s="1"/>
      <c r="B313" s="1">
        <v>827297</v>
      </c>
      <c r="C313" s="1" t="s">
        <v>1086</v>
      </c>
      <c r="D313" s="1" t="s">
        <v>1087</v>
      </c>
      <c r="E313" s="3" t="s">
        <v>1088</v>
      </c>
      <c r="F313" s="1" t="s">
        <v>1089</v>
      </c>
      <c r="G313" s="1" t="s">
        <v>14</v>
      </c>
      <c r="H313" s="1" t="s">
        <v>14</v>
      </c>
      <c r="I313" s="1" t="s">
        <v>14</v>
      </c>
      <c r="J313" s="1" t="s">
        <v>15</v>
      </c>
      <c r="K313" s="2"/>
      <c r="L313" s="5">
        <f>K313*2635.02</f>
        <v>0</v>
      </c>
    </row>
    <row r="314" spans="1:12">
      <c r="A314" s="1"/>
      <c r="B314" s="1">
        <v>827298</v>
      </c>
      <c r="C314" s="1" t="s">
        <v>1090</v>
      </c>
      <c r="D314" s="1" t="s">
        <v>1091</v>
      </c>
      <c r="E314" s="3" t="s">
        <v>1092</v>
      </c>
      <c r="F314" s="1" t="s">
        <v>1089</v>
      </c>
      <c r="G314" s="1" t="s">
        <v>14</v>
      </c>
      <c r="H314" s="1" t="s">
        <v>14</v>
      </c>
      <c r="I314" s="1" t="s">
        <v>14</v>
      </c>
      <c r="J314" s="1" t="s">
        <v>15</v>
      </c>
      <c r="K314" s="2"/>
      <c r="L314" s="5">
        <f>K314*2635.02</f>
        <v>0</v>
      </c>
    </row>
    <row r="315" spans="1:12">
      <c r="A315" s="1"/>
      <c r="B315" s="1">
        <v>827299</v>
      </c>
      <c r="C315" s="1" t="s">
        <v>1093</v>
      </c>
      <c r="D315" s="1" t="s">
        <v>1094</v>
      </c>
      <c r="E315" s="3" t="s">
        <v>1095</v>
      </c>
      <c r="F315" s="1" t="s">
        <v>1096</v>
      </c>
      <c r="G315" s="1" t="s">
        <v>14</v>
      </c>
      <c r="H315" s="1" t="s">
        <v>14</v>
      </c>
      <c r="I315" s="1" t="s">
        <v>14</v>
      </c>
      <c r="J315" s="1" t="s">
        <v>15</v>
      </c>
      <c r="K315" s="2"/>
      <c r="L315" s="5">
        <f>K315*2753.08</f>
        <v>0</v>
      </c>
    </row>
    <row r="316" spans="1:12">
      <c r="A316" s="1"/>
      <c r="B316" s="1">
        <v>827300</v>
      </c>
      <c r="C316" s="1" t="s">
        <v>1097</v>
      </c>
      <c r="D316" s="1" t="s">
        <v>1098</v>
      </c>
      <c r="E316" s="3" t="s">
        <v>1099</v>
      </c>
      <c r="F316" s="1" t="s">
        <v>1096</v>
      </c>
      <c r="G316" s="1" t="s">
        <v>14</v>
      </c>
      <c r="H316" s="1" t="s">
        <v>14</v>
      </c>
      <c r="I316" s="1" t="s">
        <v>14</v>
      </c>
      <c r="J316" s="1" t="s">
        <v>15</v>
      </c>
      <c r="K316" s="2"/>
      <c r="L316" s="5">
        <f>K316*2753.08</f>
        <v>0</v>
      </c>
    </row>
    <row r="317" spans="1:12">
      <c r="A317" s="1"/>
      <c r="B317" s="1">
        <v>827301</v>
      </c>
      <c r="C317" s="1" t="s">
        <v>1100</v>
      </c>
      <c r="D317" s="1" t="s">
        <v>1101</v>
      </c>
      <c r="E317" s="3" t="s">
        <v>1102</v>
      </c>
      <c r="F317" s="1" t="s">
        <v>1103</v>
      </c>
      <c r="G317" s="1" t="s">
        <v>14</v>
      </c>
      <c r="H317" s="1" t="s">
        <v>14</v>
      </c>
      <c r="I317" s="1" t="s">
        <v>14</v>
      </c>
      <c r="J317" s="1" t="s">
        <v>15</v>
      </c>
      <c r="K317" s="2"/>
      <c r="L317" s="5">
        <f>K317*2510.92</f>
        <v>0</v>
      </c>
    </row>
    <row r="318" spans="1:12">
      <c r="A318" s="1"/>
      <c r="B318" s="1">
        <v>827302</v>
      </c>
      <c r="C318" s="1" t="s">
        <v>1104</v>
      </c>
      <c r="D318" s="1" t="s">
        <v>1105</v>
      </c>
      <c r="E318" s="3" t="s">
        <v>1106</v>
      </c>
      <c r="F318" s="1" t="s">
        <v>1103</v>
      </c>
      <c r="G318" s="1" t="s">
        <v>14</v>
      </c>
      <c r="H318" s="1" t="s">
        <v>14</v>
      </c>
      <c r="I318" s="1" t="s">
        <v>14</v>
      </c>
      <c r="J318" s="1" t="s">
        <v>15</v>
      </c>
      <c r="K318" s="2"/>
      <c r="L318" s="5">
        <f>K318*2510.92</f>
        <v>0</v>
      </c>
    </row>
    <row r="319" spans="1:12">
      <c r="A319" s="1"/>
      <c r="B319" s="1">
        <v>827303</v>
      </c>
      <c r="C319" s="1" t="s">
        <v>1107</v>
      </c>
      <c r="D319" s="1" t="s">
        <v>1108</v>
      </c>
      <c r="E319" s="3" t="s">
        <v>1109</v>
      </c>
      <c r="F319" s="1" t="s">
        <v>1110</v>
      </c>
      <c r="G319" s="1" t="s">
        <v>14</v>
      </c>
      <c r="H319" s="1" t="s">
        <v>14</v>
      </c>
      <c r="I319" s="1" t="s">
        <v>14</v>
      </c>
      <c r="J319" s="1" t="s">
        <v>15</v>
      </c>
      <c r="K319" s="2"/>
      <c r="L319" s="5">
        <f>K319*2503.35</f>
        <v>0</v>
      </c>
    </row>
    <row r="320" spans="1:12">
      <c r="A320" s="1"/>
      <c r="B320" s="1">
        <v>827304</v>
      </c>
      <c r="C320" s="1" t="s">
        <v>1111</v>
      </c>
      <c r="D320" s="1" t="s">
        <v>1112</v>
      </c>
      <c r="E320" s="3" t="s">
        <v>1113</v>
      </c>
      <c r="F320" s="1" t="s">
        <v>1110</v>
      </c>
      <c r="G320" s="1" t="s">
        <v>14</v>
      </c>
      <c r="H320" s="1" t="s">
        <v>14</v>
      </c>
      <c r="I320" s="1" t="s">
        <v>14</v>
      </c>
      <c r="J320" s="1" t="s">
        <v>15</v>
      </c>
      <c r="K320" s="2"/>
      <c r="L320" s="5">
        <f>K320*2503.35</f>
        <v>0</v>
      </c>
    </row>
    <row r="321" spans="1:12">
      <c r="A321" s="1"/>
      <c r="B321" s="1">
        <v>827305</v>
      </c>
      <c r="C321" s="1" t="s">
        <v>1114</v>
      </c>
      <c r="D321" s="1" t="s">
        <v>1115</v>
      </c>
      <c r="E321" s="3" t="s">
        <v>1116</v>
      </c>
      <c r="F321" s="1" t="s">
        <v>1117</v>
      </c>
      <c r="G321" s="1" t="s">
        <v>14</v>
      </c>
      <c r="H321" s="1" t="s">
        <v>14</v>
      </c>
      <c r="I321" s="1" t="s">
        <v>14</v>
      </c>
      <c r="J321" s="1" t="s">
        <v>15</v>
      </c>
      <c r="K321" s="2"/>
      <c r="L321" s="5">
        <f>K321*2477.62</f>
        <v>0</v>
      </c>
    </row>
    <row r="322" spans="1:12">
      <c r="A322" s="1"/>
      <c r="B322" s="1">
        <v>827306</v>
      </c>
      <c r="C322" s="1" t="s">
        <v>1118</v>
      </c>
      <c r="D322" s="1" t="s">
        <v>1119</v>
      </c>
      <c r="E322" s="3" t="s">
        <v>1120</v>
      </c>
      <c r="F322" s="1" t="s">
        <v>1117</v>
      </c>
      <c r="G322" s="1" t="s">
        <v>14</v>
      </c>
      <c r="H322" s="1" t="s">
        <v>14</v>
      </c>
      <c r="I322" s="1" t="s">
        <v>14</v>
      </c>
      <c r="J322" s="1" t="s">
        <v>15</v>
      </c>
      <c r="K322" s="2"/>
      <c r="L322" s="5">
        <f>K322*2477.62</f>
        <v>0</v>
      </c>
    </row>
    <row r="323" spans="1:12">
      <c r="A323" s="1"/>
      <c r="B323" s="1">
        <v>827307</v>
      </c>
      <c r="C323" s="1" t="s">
        <v>1121</v>
      </c>
      <c r="D323" s="1" t="s">
        <v>1122</v>
      </c>
      <c r="E323" s="3" t="s">
        <v>1123</v>
      </c>
      <c r="F323" s="1" t="s">
        <v>1124</v>
      </c>
      <c r="G323" s="1" t="s">
        <v>14</v>
      </c>
      <c r="H323" s="1" t="s">
        <v>14</v>
      </c>
      <c r="I323" s="1" t="s">
        <v>14</v>
      </c>
      <c r="J323" s="1" t="s">
        <v>15</v>
      </c>
      <c r="K323" s="2"/>
      <c r="L323" s="5">
        <f>K323*2539.67</f>
        <v>0</v>
      </c>
    </row>
    <row r="324" spans="1:12">
      <c r="A324" s="1"/>
      <c r="B324" s="1">
        <v>827308</v>
      </c>
      <c r="C324" s="1" t="s">
        <v>1125</v>
      </c>
      <c r="D324" s="1" t="s">
        <v>1126</v>
      </c>
      <c r="E324" s="3" t="s">
        <v>1127</v>
      </c>
      <c r="F324" s="1" t="s">
        <v>1124</v>
      </c>
      <c r="G324" s="1" t="s">
        <v>14</v>
      </c>
      <c r="H324" s="1" t="s">
        <v>14</v>
      </c>
      <c r="I324" s="1" t="s">
        <v>14</v>
      </c>
      <c r="J324" s="1" t="s">
        <v>15</v>
      </c>
      <c r="K324" s="2"/>
      <c r="L324" s="5">
        <f>K324*2539.67</f>
        <v>0</v>
      </c>
    </row>
    <row r="325" spans="1:12">
      <c r="A325" s="1"/>
      <c r="B325" s="1">
        <v>827313</v>
      </c>
      <c r="C325" s="1" t="s">
        <v>1128</v>
      </c>
      <c r="D325" s="1" t="s">
        <v>1129</v>
      </c>
      <c r="E325" s="3" t="s">
        <v>1130</v>
      </c>
      <c r="F325" s="1" t="s">
        <v>1131</v>
      </c>
      <c r="G325" s="1" t="s">
        <v>14</v>
      </c>
      <c r="H325" s="1" t="s">
        <v>14</v>
      </c>
      <c r="I325" s="1" t="s">
        <v>14</v>
      </c>
      <c r="J325" s="1" t="s">
        <v>15</v>
      </c>
      <c r="K325" s="2"/>
      <c r="L325" s="5">
        <f>K325*2695.56</f>
        <v>0</v>
      </c>
    </row>
    <row r="326" spans="1:12">
      <c r="A326" s="1"/>
      <c r="B326" s="1">
        <v>827315</v>
      </c>
      <c r="C326" s="1" t="s">
        <v>1132</v>
      </c>
      <c r="D326" s="1" t="s">
        <v>1133</v>
      </c>
      <c r="E326" s="3" t="s">
        <v>1134</v>
      </c>
      <c r="F326" s="1" t="s">
        <v>1124</v>
      </c>
      <c r="G326" s="1" t="s">
        <v>14</v>
      </c>
      <c r="H326" s="1" t="s">
        <v>14</v>
      </c>
      <c r="I326" s="1" t="s">
        <v>14</v>
      </c>
      <c r="J326" s="1" t="s">
        <v>15</v>
      </c>
      <c r="K326" s="2"/>
      <c r="L326" s="5">
        <f>K326*2539.67</f>
        <v>0</v>
      </c>
    </row>
    <row r="327" spans="1:12">
      <c r="A327" s="1"/>
      <c r="B327" s="1">
        <v>827316</v>
      </c>
      <c r="C327" s="1" t="s">
        <v>1135</v>
      </c>
      <c r="D327" s="1" t="s">
        <v>1136</v>
      </c>
      <c r="E327" s="3" t="s">
        <v>1137</v>
      </c>
      <c r="F327" s="1" t="s">
        <v>1138</v>
      </c>
      <c r="G327" s="1" t="s">
        <v>14</v>
      </c>
      <c r="H327" s="1" t="s">
        <v>14</v>
      </c>
      <c r="I327" s="1" t="s">
        <v>14</v>
      </c>
      <c r="J327" s="1" t="s">
        <v>15</v>
      </c>
      <c r="K327" s="2"/>
      <c r="L327" s="5">
        <f>K327*4024.43</f>
        <v>0</v>
      </c>
    </row>
    <row r="328" spans="1:12">
      <c r="A328" s="1"/>
      <c r="B328" s="1">
        <v>827317</v>
      </c>
      <c r="C328" s="1" t="s">
        <v>1139</v>
      </c>
      <c r="D328" s="1" t="s">
        <v>1140</v>
      </c>
      <c r="E328" s="3" t="s">
        <v>1141</v>
      </c>
      <c r="F328" s="1" t="s">
        <v>1138</v>
      </c>
      <c r="G328" s="1" t="s">
        <v>14</v>
      </c>
      <c r="H328" s="1" t="s">
        <v>14</v>
      </c>
      <c r="I328" s="1" t="s">
        <v>14</v>
      </c>
      <c r="J328" s="1" t="s">
        <v>15</v>
      </c>
      <c r="K328" s="2"/>
      <c r="L328" s="5">
        <f>K328*4024.43</f>
        <v>0</v>
      </c>
    </row>
    <row r="329" spans="1:12">
      <c r="A329" s="1"/>
      <c r="B329" s="1">
        <v>827318</v>
      </c>
      <c r="C329" s="1" t="s">
        <v>1142</v>
      </c>
      <c r="D329" s="1" t="s">
        <v>1143</v>
      </c>
      <c r="E329" s="3" t="s">
        <v>1144</v>
      </c>
      <c r="F329" s="1" t="s">
        <v>1145</v>
      </c>
      <c r="G329" s="1" t="s">
        <v>14</v>
      </c>
      <c r="H329" s="1" t="s">
        <v>14</v>
      </c>
      <c r="I329" s="1" t="s">
        <v>14</v>
      </c>
      <c r="J329" s="1" t="s">
        <v>15</v>
      </c>
      <c r="K329" s="2"/>
      <c r="L329" s="5">
        <f>K329*3417.51</f>
        <v>0</v>
      </c>
    </row>
    <row r="330" spans="1:12">
      <c r="A330" s="1"/>
      <c r="B330" s="1">
        <v>827319</v>
      </c>
      <c r="C330" s="1" t="s">
        <v>1146</v>
      </c>
      <c r="D330" s="1" t="s">
        <v>1147</v>
      </c>
      <c r="E330" s="3" t="s">
        <v>1148</v>
      </c>
      <c r="F330" s="1" t="s">
        <v>1145</v>
      </c>
      <c r="G330" s="1" t="s">
        <v>14</v>
      </c>
      <c r="H330" s="1" t="s">
        <v>14</v>
      </c>
      <c r="I330" s="1" t="s">
        <v>14</v>
      </c>
      <c r="J330" s="1" t="s">
        <v>15</v>
      </c>
      <c r="K330" s="2"/>
      <c r="L330" s="5">
        <f>K330*3417.51</f>
        <v>0</v>
      </c>
    </row>
    <row r="331" spans="1:12">
      <c r="A331" s="1"/>
      <c r="B331" s="1">
        <v>827321</v>
      </c>
      <c r="C331" s="1" t="s">
        <v>1149</v>
      </c>
      <c r="D331" s="1" t="s">
        <v>1150</v>
      </c>
      <c r="E331" s="3" t="s">
        <v>1151</v>
      </c>
      <c r="F331" s="1" t="s">
        <v>439</v>
      </c>
      <c r="G331" s="1" t="s">
        <v>14</v>
      </c>
      <c r="H331" s="1" t="s">
        <v>14</v>
      </c>
      <c r="I331" s="1" t="s">
        <v>14</v>
      </c>
      <c r="J331" s="1" t="s">
        <v>15</v>
      </c>
      <c r="K331" s="2"/>
      <c r="L331" s="5">
        <f>K331*0.00</f>
        <v>0</v>
      </c>
    </row>
    <row r="332" spans="1:12">
      <c r="A332" s="1"/>
      <c r="B332" s="1">
        <v>827322</v>
      </c>
      <c r="C332" s="1" t="s">
        <v>1152</v>
      </c>
      <c r="D332" s="1" t="s">
        <v>1153</v>
      </c>
      <c r="E332" s="3" t="s">
        <v>1154</v>
      </c>
      <c r="F332" s="1" t="s">
        <v>1155</v>
      </c>
      <c r="G332" s="1" t="s">
        <v>14</v>
      </c>
      <c r="H332" s="1" t="s">
        <v>14</v>
      </c>
      <c r="I332" s="1" t="s">
        <v>14</v>
      </c>
      <c r="J332" s="1" t="s">
        <v>15</v>
      </c>
      <c r="K332" s="2"/>
      <c r="L332" s="5">
        <f>K332*3458.37</f>
        <v>0</v>
      </c>
    </row>
    <row r="333" spans="1:12">
      <c r="A333" s="1"/>
      <c r="B333" s="1">
        <v>827324</v>
      </c>
      <c r="C333" s="1" t="s">
        <v>1156</v>
      </c>
      <c r="D333" s="1" t="s">
        <v>1157</v>
      </c>
      <c r="E333" s="3" t="s">
        <v>1158</v>
      </c>
      <c r="F333" s="1" t="s">
        <v>1159</v>
      </c>
      <c r="G333" s="1" t="s">
        <v>14</v>
      </c>
      <c r="H333" s="1" t="s">
        <v>14</v>
      </c>
      <c r="I333" s="1" t="s">
        <v>14</v>
      </c>
      <c r="J333" s="1" t="s">
        <v>15</v>
      </c>
      <c r="K333" s="2"/>
      <c r="L333" s="5">
        <f>K333*4124.32</f>
        <v>0</v>
      </c>
    </row>
    <row r="334" spans="1:12">
      <c r="A334" s="1"/>
      <c r="B334" s="1">
        <v>827325</v>
      </c>
      <c r="C334" s="1" t="s">
        <v>1160</v>
      </c>
      <c r="D334" s="1" t="s">
        <v>1161</v>
      </c>
      <c r="E334" s="3" t="s">
        <v>1162</v>
      </c>
      <c r="F334" s="1" t="s">
        <v>439</v>
      </c>
      <c r="G334" s="1" t="s">
        <v>14</v>
      </c>
      <c r="H334" s="1" t="s">
        <v>14</v>
      </c>
      <c r="I334" s="1" t="s">
        <v>14</v>
      </c>
      <c r="J334" s="1" t="s">
        <v>15</v>
      </c>
      <c r="K334" s="2"/>
      <c r="L334" s="5">
        <f>K334*0.00</f>
        <v>0</v>
      </c>
    </row>
    <row r="335" spans="1:12">
      <c r="A335" s="1"/>
      <c r="B335" s="1">
        <v>827326</v>
      </c>
      <c r="C335" s="1" t="s">
        <v>1163</v>
      </c>
      <c r="D335" s="1" t="s">
        <v>1164</v>
      </c>
      <c r="E335" s="3" t="s">
        <v>1165</v>
      </c>
      <c r="F335" s="1" t="s">
        <v>1166</v>
      </c>
      <c r="G335" s="1" t="s">
        <v>14</v>
      </c>
      <c r="H335" s="1" t="s">
        <v>14</v>
      </c>
      <c r="I335" s="1" t="s">
        <v>14</v>
      </c>
      <c r="J335" s="1" t="s">
        <v>15</v>
      </c>
      <c r="K335" s="2"/>
      <c r="L335" s="5">
        <f>K335*2816.65</f>
        <v>0</v>
      </c>
    </row>
    <row r="336" spans="1:12">
      <c r="A336" s="1"/>
      <c r="B336" s="1">
        <v>827327</v>
      </c>
      <c r="C336" s="1" t="s">
        <v>1167</v>
      </c>
      <c r="D336" s="1" t="s">
        <v>1168</v>
      </c>
      <c r="E336" s="3" t="s">
        <v>1169</v>
      </c>
      <c r="F336" s="1" t="s">
        <v>1170</v>
      </c>
      <c r="G336" s="1" t="s">
        <v>14</v>
      </c>
      <c r="H336" s="1" t="s">
        <v>14</v>
      </c>
      <c r="I336" s="1" t="s">
        <v>14</v>
      </c>
      <c r="J336" s="1" t="s">
        <v>15</v>
      </c>
      <c r="K336" s="2"/>
      <c r="L336" s="5">
        <f>K336*2809.08</f>
        <v>0</v>
      </c>
    </row>
    <row r="337" spans="1:12">
      <c r="A337" s="1"/>
      <c r="B337" s="1">
        <v>827328</v>
      </c>
      <c r="C337" s="1" t="s">
        <v>1171</v>
      </c>
      <c r="D337" s="1" t="s">
        <v>1172</v>
      </c>
      <c r="E337" s="3" t="s">
        <v>1173</v>
      </c>
      <c r="F337" s="1" t="s">
        <v>1174</v>
      </c>
      <c r="G337" s="1" t="s">
        <v>14</v>
      </c>
      <c r="H337" s="1" t="s">
        <v>14</v>
      </c>
      <c r="I337" s="1" t="s">
        <v>14</v>
      </c>
      <c r="J337" s="1" t="s">
        <v>15</v>
      </c>
      <c r="K337" s="2"/>
      <c r="L337" s="5">
        <f>K337*3588.54</f>
        <v>0</v>
      </c>
    </row>
    <row r="338" spans="1:12">
      <c r="A338" s="1"/>
      <c r="B338" s="1">
        <v>827329</v>
      </c>
      <c r="C338" s="1" t="s">
        <v>1175</v>
      </c>
      <c r="D338" s="1" t="s">
        <v>1176</v>
      </c>
      <c r="E338" s="3" t="s">
        <v>1177</v>
      </c>
      <c r="F338" s="1" t="s">
        <v>439</v>
      </c>
      <c r="G338" s="1" t="s">
        <v>14</v>
      </c>
      <c r="H338" s="1" t="s">
        <v>14</v>
      </c>
      <c r="I338" s="1" t="s">
        <v>14</v>
      </c>
      <c r="J338" s="1" t="s">
        <v>15</v>
      </c>
      <c r="K338" s="2"/>
      <c r="L338" s="5">
        <f>K338*0.00</f>
        <v>0</v>
      </c>
    </row>
    <row r="339" spans="1:12">
      <c r="A339" s="1"/>
      <c r="B339" s="1">
        <v>827331</v>
      </c>
      <c r="C339" s="1" t="s">
        <v>1178</v>
      </c>
      <c r="D339" s="1" t="s">
        <v>1179</v>
      </c>
      <c r="E339" s="3" t="s">
        <v>1180</v>
      </c>
      <c r="F339" s="1" t="s">
        <v>1181</v>
      </c>
      <c r="G339" s="1" t="s">
        <v>14</v>
      </c>
      <c r="H339" s="1" t="s">
        <v>14</v>
      </c>
      <c r="I339" s="1" t="s">
        <v>14</v>
      </c>
      <c r="J339" s="1" t="s">
        <v>15</v>
      </c>
      <c r="K339" s="2"/>
      <c r="L339" s="5">
        <f>K339*1315.24</f>
        <v>0</v>
      </c>
    </row>
    <row r="340" spans="1:12">
      <c r="A340" s="1"/>
      <c r="B340" s="1">
        <v>827332</v>
      </c>
      <c r="C340" s="1" t="s">
        <v>1182</v>
      </c>
      <c r="D340" s="1" t="s">
        <v>1183</v>
      </c>
      <c r="E340" s="3" t="s">
        <v>1184</v>
      </c>
      <c r="F340" s="1" t="s">
        <v>439</v>
      </c>
      <c r="G340" s="1" t="s">
        <v>14</v>
      </c>
      <c r="H340" s="1" t="s">
        <v>14</v>
      </c>
      <c r="I340" s="1" t="s">
        <v>14</v>
      </c>
      <c r="J340" s="1" t="s">
        <v>15</v>
      </c>
      <c r="K340" s="2"/>
      <c r="L340" s="5">
        <f>K340*0.00</f>
        <v>0</v>
      </c>
    </row>
    <row r="341" spans="1:12">
      <c r="A341" s="1"/>
      <c r="B341" s="1">
        <v>827333</v>
      </c>
      <c r="C341" s="1" t="s">
        <v>1185</v>
      </c>
      <c r="D341" s="1" t="s">
        <v>1186</v>
      </c>
      <c r="E341" s="3" t="s">
        <v>1187</v>
      </c>
      <c r="F341" s="1" t="s">
        <v>439</v>
      </c>
      <c r="G341" s="1" t="s">
        <v>14</v>
      </c>
      <c r="H341" s="1" t="s">
        <v>14</v>
      </c>
      <c r="I341" s="1" t="s">
        <v>14</v>
      </c>
      <c r="J341" s="1" t="s">
        <v>15</v>
      </c>
      <c r="K341" s="2"/>
      <c r="L341" s="5">
        <f>K341*0.00</f>
        <v>0</v>
      </c>
    </row>
    <row r="342" spans="1:12">
      <c r="A342" s="1"/>
      <c r="B342" s="1">
        <v>827334</v>
      </c>
      <c r="C342" s="1" t="s">
        <v>1188</v>
      </c>
      <c r="D342" s="1" t="s">
        <v>1189</v>
      </c>
      <c r="E342" s="3" t="s">
        <v>1190</v>
      </c>
      <c r="F342" s="1" t="s">
        <v>1191</v>
      </c>
      <c r="G342" s="1" t="s">
        <v>14</v>
      </c>
      <c r="H342" s="1" t="s">
        <v>14</v>
      </c>
      <c r="I342" s="1" t="s">
        <v>14</v>
      </c>
      <c r="J342" s="1" t="s">
        <v>15</v>
      </c>
      <c r="K342" s="2"/>
      <c r="L342" s="5">
        <f>K342*3300.97</f>
        <v>0</v>
      </c>
    </row>
    <row r="343" spans="1:12">
      <c r="A343" s="1"/>
      <c r="B343" s="1">
        <v>827335</v>
      </c>
      <c r="C343" s="1" t="s">
        <v>1192</v>
      </c>
      <c r="D343" s="1" t="s">
        <v>1193</v>
      </c>
      <c r="E343" s="3" t="s">
        <v>1194</v>
      </c>
      <c r="F343" s="1" t="s">
        <v>1195</v>
      </c>
      <c r="G343" s="1" t="s">
        <v>14</v>
      </c>
      <c r="H343" s="1" t="s">
        <v>14</v>
      </c>
      <c r="I343" s="1" t="s">
        <v>14</v>
      </c>
      <c r="J343" s="1" t="s">
        <v>15</v>
      </c>
      <c r="K343" s="2"/>
      <c r="L343" s="5">
        <f>K343*3276.75</f>
        <v>0</v>
      </c>
    </row>
    <row r="344" spans="1:12">
      <c r="A344" s="1"/>
      <c r="B344" s="1">
        <v>827336</v>
      </c>
      <c r="C344" s="1" t="s">
        <v>1196</v>
      </c>
      <c r="D344" s="1" t="s">
        <v>1197</v>
      </c>
      <c r="E344" s="3" t="s">
        <v>1198</v>
      </c>
      <c r="F344" s="1" t="s">
        <v>1199</v>
      </c>
      <c r="G344" s="1" t="s">
        <v>14</v>
      </c>
      <c r="H344" s="1" t="s">
        <v>14</v>
      </c>
      <c r="I344" s="1" t="s">
        <v>14</v>
      </c>
      <c r="J344" s="1" t="s">
        <v>15</v>
      </c>
      <c r="K344" s="2"/>
      <c r="L344" s="5">
        <f>K344*5012.75</f>
        <v>0</v>
      </c>
    </row>
    <row r="345" spans="1:12">
      <c r="A345" s="1"/>
      <c r="B345" s="1">
        <v>827337</v>
      </c>
      <c r="C345" s="1" t="s">
        <v>1200</v>
      </c>
      <c r="D345" s="1" t="s">
        <v>1201</v>
      </c>
      <c r="E345" s="3" t="s">
        <v>1202</v>
      </c>
      <c r="F345" s="1" t="s">
        <v>1203</v>
      </c>
      <c r="G345" s="1" t="s">
        <v>14</v>
      </c>
      <c r="H345" s="1" t="s">
        <v>14</v>
      </c>
      <c r="I345" s="1" t="s">
        <v>14</v>
      </c>
      <c r="J345" s="1" t="s">
        <v>15</v>
      </c>
      <c r="K345" s="2"/>
      <c r="L345" s="5">
        <f>K345*1050.38</f>
        <v>0</v>
      </c>
    </row>
    <row r="346" spans="1:12">
      <c r="A346" s="1"/>
      <c r="B346" s="1">
        <v>827338</v>
      </c>
      <c r="C346" s="1" t="s">
        <v>1204</v>
      </c>
      <c r="D346" s="1" t="s">
        <v>1205</v>
      </c>
      <c r="E346" s="3" t="s">
        <v>1206</v>
      </c>
      <c r="F346" s="1" t="s">
        <v>1207</v>
      </c>
      <c r="G346" s="1" t="s">
        <v>14</v>
      </c>
      <c r="H346" s="1" t="s">
        <v>14</v>
      </c>
      <c r="I346" s="1" t="s">
        <v>14</v>
      </c>
      <c r="J346" s="1" t="s">
        <v>15</v>
      </c>
      <c r="K346" s="2"/>
      <c r="L346" s="5">
        <f>K346*2400.43</f>
        <v>0</v>
      </c>
    </row>
    <row r="347" spans="1:12">
      <c r="A347" s="1"/>
      <c r="B347" s="1">
        <v>827339</v>
      </c>
      <c r="C347" s="1" t="s">
        <v>1208</v>
      </c>
      <c r="D347" s="1" t="s">
        <v>1209</v>
      </c>
      <c r="E347" s="3" t="s">
        <v>1210</v>
      </c>
      <c r="F347" s="1" t="s">
        <v>1211</v>
      </c>
      <c r="G347" s="1" t="s">
        <v>14</v>
      </c>
      <c r="H347" s="1" t="s">
        <v>14</v>
      </c>
      <c r="I347" s="1" t="s">
        <v>14</v>
      </c>
      <c r="J347" s="1" t="s">
        <v>15</v>
      </c>
      <c r="K347" s="2"/>
      <c r="L347" s="5">
        <f>K347*1221.40</f>
        <v>0</v>
      </c>
    </row>
    <row r="348" spans="1:12">
      <c r="A348" s="1"/>
      <c r="B348" s="1">
        <v>827340</v>
      </c>
      <c r="C348" s="1" t="s">
        <v>1212</v>
      </c>
      <c r="D348" s="1" t="s">
        <v>1213</v>
      </c>
      <c r="E348" s="3" t="s">
        <v>1214</v>
      </c>
      <c r="F348" s="1" t="s">
        <v>1215</v>
      </c>
      <c r="G348" s="1" t="s">
        <v>14</v>
      </c>
      <c r="H348" s="1" t="s">
        <v>14</v>
      </c>
      <c r="I348" s="1" t="s">
        <v>14</v>
      </c>
      <c r="J348" s="1" t="s">
        <v>15</v>
      </c>
      <c r="K348" s="2"/>
      <c r="L348" s="5">
        <f>K348*2398.92</f>
        <v>0</v>
      </c>
    </row>
    <row r="349" spans="1:12">
      <c r="A349" s="1"/>
      <c r="B349" s="1">
        <v>827341</v>
      </c>
      <c r="C349" s="1" t="s">
        <v>1216</v>
      </c>
      <c r="D349" s="1" t="s">
        <v>1217</v>
      </c>
      <c r="E349" s="3" t="s">
        <v>1218</v>
      </c>
      <c r="F349" s="1" t="s">
        <v>1219</v>
      </c>
      <c r="G349" s="1" t="s">
        <v>14</v>
      </c>
      <c r="H349" s="1" t="s">
        <v>14</v>
      </c>
      <c r="I349" s="1" t="s">
        <v>14</v>
      </c>
      <c r="J349" s="1" t="s">
        <v>15</v>
      </c>
      <c r="K349" s="2"/>
      <c r="L349" s="5">
        <f>K349*1748.11</f>
        <v>0</v>
      </c>
    </row>
    <row r="350" spans="1:12">
      <c r="A350" s="1"/>
      <c r="B350" s="1">
        <v>827342</v>
      </c>
      <c r="C350" s="1" t="s">
        <v>1220</v>
      </c>
      <c r="D350" s="1" t="s">
        <v>1221</v>
      </c>
      <c r="E350" s="3" t="s">
        <v>1222</v>
      </c>
      <c r="F350" s="1" t="s">
        <v>1223</v>
      </c>
      <c r="G350" s="1" t="s">
        <v>14</v>
      </c>
      <c r="H350" s="1" t="s">
        <v>14</v>
      </c>
      <c r="I350" s="1" t="s">
        <v>14</v>
      </c>
      <c r="J350" s="1" t="s">
        <v>15</v>
      </c>
      <c r="K350" s="2"/>
      <c r="L350" s="5">
        <f>K350*641.73</f>
        <v>0</v>
      </c>
    </row>
    <row r="351" spans="1:12">
      <c r="A351" s="1"/>
      <c r="B351" s="1">
        <v>827343</v>
      </c>
      <c r="C351" s="1" t="s">
        <v>1224</v>
      </c>
      <c r="D351" s="1" t="s">
        <v>1225</v>
      </c>
      <c r="E351" s="3" t="s">
        <v>1226</v>
      </c>
      <c r="F351" s="1" t="s">
        <v>1227</v>
      </c>
      <c r="G351" s="1" t="s">
        <v>14</v>
      </c>
      <c r="H351" s="1" t="s">
        <v>14</v>
      </c>
      <c r="I351" s="1" t="s">
        <v>14</v>
      </c>
      <c r="J351" s="1" t="s">
        <v>15</v>
      </c>
      <c r="K351" s="2"/>
      <c r="L351" s="5">
        <f>K351*3008.86</f>
        <v>0</v>
      </c>
    </row>
    <row r="352" spans="1:12">
      <c r="A352" s="1"/>
      <c r="B352" s="1">
        <v>827344</v>
      </c>
      <c r="C352" s="1" t="s">
        <v>1228</v>
      </c>
      <c r="D352" s="1" t="s">
        <v>1229</v>
      </c>
      <c r="E352" s="3" t="s">
        <v>1230</v>
      </c>
      <c r="F352" s="1" t="s">
        <v>1231</v>
      </c>
      <c r="G352" s="1" t="s">
        <v>14</v>
      </c>
      <c r="H352" s="1" t="s">
        <v>14</v>
      </c>
      <c r="I352" s="1" t="s">
        <v>14</v>
      </c>
      <c r="J352" s="1" t="s">
        <v>15</v>
      </c>
      <c r="K352" s="2"/>
      <c r="L352" s="5">
        <f>K352*4753.94</f>
        <v>0</v>
      </c>
    </row>
    <row r="353" spans="1:12">
      <c r="A353" s="1"/>
      <c r="B353" s="1">
        <v>827345</v>
      </c>
      <c r="C353" s="1" t="s">
        <v>1232</v>
      </c>
      <c r="D353" s="1" t="s">
        <v>1233</v>
      </c>
      <c r="E353" s="3" t="s">
        <v>1230</v>
      </c>
      <c r="F353" s="1" t="s">
        <v>1234</v>
      </c>
      <c r="G353" s="1" t="s">
        <v>14</v>
      </c>
      <c r="H353" s="1" t="s">
        <v>14</v>
      </c>
      <c r="I353" s="1" t="s">
        <v>14</v>
      </c>
      <c r="J353" s="1" t="s">
        <v>15</v>
      </c>
      <c r="K353" s="2"/>
      <c r="L353" s="5">
        <f>K353*4629.83</f>
        <v>0</v>
      </c>
    </row>
    <row r="354" spans="1:12">
      <c r="A354" s="1"/>
      <c r="B354" s="1">
        <v>827346</v>
      </c>
      <c r="C354" s="1" t="s">
        <v>1235</v>
      </c>
      <c r="D354" s="1" t="s">
        <v>1236</v>
      </c>
      <c r="E354" s="3" t="s">
        <v>1237</v>
      </c>
      <c r="F354" s="1" t="s">
        <v>1238</v>
      </c>
      <c r="G354" s="1" t="s">
        <v>14</v>
      </c>
      <c r="H354" s="1" t="s">
        <v>14</v>
      </c>
      <c r="I354" s="1" t="s">
        <v>14</v>
      </c>
      <c r="J354" s="1" t="s">
        <v>15</v>
      </c>
      <c r="K354" s="2"/>
      <c r="L354" s="5">
        <f>K354*16823.32</f>
        <v>0</v>
      </c>
    </row>
    <row r="355" spans="1:12">
      <c r="A355" s="1"/>
      <c r="B355" s="1">
        <v>827347</v>
      </c>
      <c r="C355" s="1" t="s">
        <v>1239</v>
      </c>
      <c r="D355" s="1" t="s">
        <v>1240</v>
      </c>
      <c r="E355" s="3" t="s">
        <v>1241</v>
      </c>
      <c r="F355" s="1" t="s">
        <v>1242</v>
      </c>
      <c r="G355" s="1" t="s">
        <v>14</v>
      </c>
      <c r="H355" s="1" t="s">
        <v>14</v>
      </c>
      <c r="I355" s="1" t="s">
        <v>14</v>
      </c>
      <c r="J355" s="1" t="s">
        <v>15</v>
      </c>
      <c r="K355" s="2"/>
      <c r="L355" s="5">
        <f>K355*18334.24</f>
        <v>0</v>
      </c>
    </row>
    <row r="356" spans="1:12">
      <c r="A356" s="1"/>
      <c r="B356" s="1">
        <v>827348</v>
      </c>
      <c r="C356" s="1" t="s">
        <v>1243</v>
      </c>
      <c r="D356" s="1" t="s">
        <v>1244</v>
      </c>
      <c r="E356" s="3" t="s">
        <v>1245</v>
      </c>
      <c r="F356" s="1" t="s">
        <v>1246</v>
      </c>
      <c r="G356" s="1" t="s">
        <v>14</v>
      </c>
      <c r="H356" s="1" t="s">
        <v>14</v>
      </c>
      <c r="I356" s="1" t="s">
        <v>14</v>
      </c>
      <c r="J356" s="1" t="s">
        <v>15</v>
      </c>
      <c r="K356" s="2"/>
      <c r="L356" s="5">
        <f>K356*301.19</f>
        <v>0</v>
      </c>
    </row>
    <row r="357" spans="1:12">
      <c r="A357" s="1"/>
      <c r="B357" s="1">
        <v>827349</v>
      </c>
      <c r="C357" s="1" t="s">
        <v>1247</v>
      </c>
      <c r="D357" s="1" t="s">
        <v>1248</v>
      </c>
      <c r="E357" s="3" t="s">
        <v>1249</v>
      </c>
      <c r="F357" s="1" t="s">
        <v>1250</v>
      </c>
      <c r="G357" s="1" t="s">
        <v>14</v>
      </c>
      <c r="H357" s="1" t="s">
        <v>14</v>
      </c>
      <c r="I357" s="1" t="s">
        <v>14</v>
      </c>
      <c r="J357" s="1" t="s">
        <v>15</v>
      </c>
      <c r="K357" s="2"/>
      <c r="L357" s="5">
        <f>K357*269.41</f>
        <v>0</v>
      </c>
    </row>
    <row r="358" spans="1:12">
      <c r="A358" s="1"/>
      <c r="B358" s="1">
        <v>831601</v>
      </c>
      <c r="C358" s="1" t="s">
        <v>1251</v>
      </c>
      <c r="D358" s="1" t="s">
        <v>1252</v>
      </c>
      <c r="E358" s="3" t="s">
        <v>1253</v>
      </c>
      <c r="F358" s="1" t="s">
        <v>1254</v>
      </c>
      <c r="G358" s="1" t="s">
        <v>14</v>
      </c>
      <c r="H358" s="1" t="s">
        <v>14</v>
      </c>
      <c r="I358" s="1" t="s">
        <v>14</v>
      </c>
      <c r="J358" s="1" t="s">
        <v>15</v>
      </c>
      <c r="K358" s="2"/>
      <c r="L358" s="5">
        <f>K358*137.73</f>
        <v>0</v>
      </c>
    </row>
    <row r="359" spans="1:12">
      <c r="A359" s="1"/>
      <c r="B359" s="1">
        <v>831602</v>
      </c>
      <c r="C359" s="1" t="s">
        <v>1255</v>
      </c>
      <c r="D359" s="1" t="s">
        <v>1256</v>
      </c>
      <c r="E359" s="3" t="s">
        <v>1257</v>
      </c>
      <c r="F359" s="1" t="s">
        <v>1258</v>
      </c>
      <c r="G359" s="1" t="s">
        <v>14</v>
      </c>
      <c r="H359" s="1" t="s">
        <v>14</v>
      </c>
      <c r="I359" s="1" t="s">
        <v>14</v>
      </c>
      <c r="J359" s="1" t="s">
        <v>15</v>
      </c>
      <c r="K359" s="2"/>
      <c r="L359" s="5">
        <f>K359*307.24</f>
        <v>0</v>
      </c>
    </row>
    <row r="360" spans="1:12">
      <c r="A360" s="1"/>
      <c r="B360" s="1">
        <v>831603</v>
      </c>
      <c r="C360" s="1" t="s">
        <v>1259</v>
      </c>
      <c r="D360" s="1" t="s">
        <v>1260</v>
      </c>
      <c r="E360" s="3" t="s">
        <v>1261</v>
      </c>
      <c r="F360" s="1" t="s">
        <v>1262</v>
      </c>
      <c r="G360" s="1" t="s">
        <v>14</v>
      </c>
      <c r="H360" s="1" t="s">
        <v>14</v>
      </c>
      <c r="I360" s="1" t="s">
        <v>14</v>
      </c>
      <c r="J360" s="1" t="s">
        <v>15</v>
      </c>
      <c r="K360" s="2"/>
      <c r="L360" s="5">
        <f>K360*196.76</f>
        <v>0</v>
      </c>
    </row>
    <row r="361" spans="1:12">
      <c r="A361" s="1"/>
      <c r="B361" s="1">
        <v>831604</v>
      </c>
      <c r="C361" s="1" t="s">
        <v>1263</v>
      </c>
      <c r="D361" s="1" t="s">
        <v>1264</v>
      </c>
      <c r="E361" s="3" t="s">
        <v>1265</v>
      </c>
      <c r="F361" s="1" t="s">
        <v>1266</v>
      </c>
      <c r="G361" s="1" t="s">
        <v>14</v>
      </c>
      <c r="H361" s="1" t="s">
        <v>14</v>
      </c>
      <c r="I361" s="1" t="s">
        <v>14</v>
      </c>
      <c r="J361" s="1" t="s">
        <v>15</v>
      </c>
      <c r="K361" s="2"/>
      <c r="L361" s="5">
        <f>K361*204.32</f>
        <v>0</v>
      </c>
    </row>
    <row r="362" spans="1:12">
      <c r="A362" s="1"/>
      <c r="B362" s="1">
        <v>831605</v>
      </c>
      <c r="C362" s="1" t="s">
        <v>1267</v>
      </c>
      <c r="D362" s="1" t="s">
        <v>1268</v>
      </c>
      <c r="E362" s="3" t="s">
        <v>1269</v>
      </c>
      <c r="F362" s="1" t="s">
        <v>1270</v>
      </c>
      <c r="G362" s="1" t="s">
        <v>14</v>
      </c>
      <c r="H362" s="1" t="s">
        <v>14</v>
      </c>
      <c r="I362" s="1" t="s">
        <v>14</v>
      </c>
      <c r="J362" s="1" t="s">
        <v>15</v>
      </c>
      <c r="K362" s="2"/>
      <c r="L362" s="5">
        <f>K362*348.11</f>
        <v>0</v>
      </c>
    </row>
    <row r="363" spans="1:12">
      <c r="A363" s="1"/>
      <c r="B363" s="1">
        <v>831606</v>
      </c>
      <c r="C363" s="1" t="s">
        <v>1271</v>
      </c>
      <c r="D363" s="1" t="s">
        <v>1272</v>
      </c>
      <c r="E363" s="3" t="s">
        <v>1273</v>
      </c>
      <c r="F363" s="1" t="s">
        <v>1274</v>
      </c>
      <c r="G363" s="1" t="s">
        <v>14</v>
      </c>
      <c r="H363" s="1" t="s">
        <v>14</v>
      </c>
      <c r="I363" s="1" t="s">
        <v>14</v>
      </c>
      <c r="J363" s="1" t="s">
        <v>15</v>
      </c>
      <c r="K363" s="2"/>
      <c r="L363" s="5">
        <f>K363*227.03</f>
        <v>0</v>
      </c>
    </row>
    <row r="364" spans="1:12">
      <c r="A364" s="1"/>
      <c r="B364" s="1">
        <v>831607</v>
      </c>
      <c r="C364" s="1" t="s">
        <v>1275</v>
      </c>
      <c r="D364" s="1" t="s">
        <v>1276</v>
      </c>
      <c r="E364" s="3" t="s">
        <v>1277</v>
      </c>
      <c r="F364" s="1" t="s">
        <v>1278</v>
      </c>
      <c r="G364" s="1" t="s">
        <v>14</v>
      </c>
      <c r="H364" s="1" t="s">
        <v>14</v>
      </c>
      <c r="I364" s="1" t="s">
        <v>14</v>
      </c>
      <c r="J364" s="1" t="s">
        <v>15</v>
      </c>
      <c r="K364" s="2"/>
      <c r="L364" s="5">
        <f>K364*219.46</f>
        <v>0</v>
      </c>
    </row>
    <row r="365" spans="1:12">
      <c r="A365" s="1"/>
      <c r="B365" s="1">
        <v>831608</v>
      </c>
      <c r="C365" s="1" t="s">
        <v>1279</v>
      </c>
      <c r="D365" s="1" t="s">
        <v>1280</v>
      </c>
      <c r="E365" s="3" t="s">
        <v>1281</v>
      </c>
      <c r="F365" s="1" t="s">
        <v>1282</v>
      </c>
      <c r="G365" s="1" t="s">
        <v>14</v>
      </c>
      <c r="H365" s="1" t="s">
        <v>14</v>
      </c>
      <c r="I365" s="1" t="s">
        <v>14</v>
      </c>
      <c r="J365" s="1" t="s">
        <v>15</v>
      </c>
      <c r="K365" s="2"/>
      <c r="L365" s="5">
        <f>K365*258.81</f>
        <v>0</v>
      </c>
    </row>
    <row r="366" spans="1:12">
      <c r="A366" s="1"/>
      <c r="B366" s="1">
        <v>831609</v>
      </c>
      <c r="C366" s="1" t="s">
        <v>1283</v>
      </c>
      <c r="D366" s="1" t="s">
        <v>1284</v>
      </c>
      <c r="E366" s="3" t="s">
        <v>1285</v>
      </c>
      <c r="F366" s="1" t="s">
        <v>439</v>
      </c>
      <c r="G366" s="1" t="s">
        <v>14</v>
      </c>
      <c r="H366" s="1" t="s">
        <v>14</v>
      </c>
      <c r="I366" s="1" t="s">
        <v>14</v>
      </c>
      <c r="J366" s="1" t="s">
        <v>15</v>
      </c>
      <c r="K366" s="2"/>
      <c r="L366" s="5">
        <f>K366*0.00</f>
        <v>0</v>
      </c>
    </row>
    <row r="367" spans="1:12">
      <c r="A367" s="1"/>
      <c r="B367" s="1">
        <v>831610</v>
      </c>
      <c r="C367" s="1" t="s">
        <v>1286</v>
      </c>
      <c r="D367" s="1" t="s">
        <v>1287</v>
      </c>
      <c r="E367" s="3" t="s">
        <v>1288</v>
      </c>
      <c r="F367" s="1" t="s">
        <v>1289</v>
      </c>
      <c r="G367" s="1" t="s">
        <v>14</v>
      </c>
      <c r="H367" s="1" t="s">
        <v>14</v>
      </c>
      <c r="I367" s="1" t="s">
        <v>14</v>
      </c>
      <c r="J367" s="1" t="s">
        <v>15</v>
      </c>
      <c r="K367" s="2"/>
      <c r="L367" s="5">
        <f>K367*346.59</f>
        <v>0</v>
      </c>
    </row>
    <row r="368" spans="1:12">
      <c r="A368" s="1"/>
      <c r="B368" s="1">
        <v>831611</v>
      </c>
      <c r="C368" s="1" t="s">
        <v>1290</v>
      </c>
      <c r="D368" s="1" t="s">
        <v>1291</v>
      </c>
      <c r="E368" s="3" t="s">
        <v>1292</v>
      </c>
      <c r="F368" s="1" t="s">
        <v>1293</v>
      </c>
      <c r="G368" s="1" t="s">
        <v>14</v>
      </c>
      <c r="H368" s="1" t="s">
        <v>14</v>
      </c>
      <c r="I368" s="1" t="s">
        <v>14</v>
      </c>
      <c r="J368" s="1" t="s">
        <v>15</v>
      </c>
      <c r="K368" s="2"/>
      <c r="L368" s="5">
        <f>K368*336.00</f>
        <v>0</v>
      </c>
    </row>
    <row r="369" spans="1:12">
      <c r="A369" s="1"/>
      <c r="B369" s="1">
        <v>831612</v>
      </c>
      <c r="C369" s="1" t="s">
        <v>1294</v>
      </c>
      <c r="D369" s="1" t="s">
        <v>1295</v>
      </c>
      <c r="E369" s="3" t="s">
        <v>1296</v>
      </c>
      <c r="F369" s="1" t="s">
        <v>1297</v>
      </c>
      <c r="G369" s="1" t="s">
        <v>14</v>
      </c>
      <c r="H369" s="1" t="s">
        <v>14</v>
      </c>
      <c r="I369" s="1" t="s">
        <v>14</v>
      </c>
      <c r="J369" s="1" t="s">
        <v>15</v>
      </c>
      <c r="K369" s="2"/>
      <c r="L369" s="5">
        <f>K369*423.78</f>
        <v>0</v>
      </c>
    </row>
    <row r="370" spans="1:12">
      <c r="A370" s="1"/>
      <c r="B370" s="1">
        <v>831613</v>
      </c>
      <c r="C370" s="1" t="s">
        <v>1298</v>
      </c>
      <c r="D370" s="1" t="s">
        <v>1299</v>
      </c>
      <c r="E370" s="3" t="s">
        <v>1300</v>
      </c>
      <c r="F370" s="1" t="s">
        <v>1297</v>
      </c>
      <c r="G370" s="1" t="s">
        <v>14</v>
      </c>
      <c r="H370" s="1" t="s">
        <v>14</v>
      </c>
      <c r="I370" s="1" t="s">
        <v>14</v>
      </c>
      <c r="J370" s="1" t="s">
        <v>15</v>
      </c>
      <c r="K370" s="2"/>
      <c r="L370" s="5">
        <f>K370*423.78</f>
        <v>0</v>
      </c>
    </row>
    <row r="371" spans="1:12">
      <c r="A371" s="1"/>
      <c r="B371" s="1">
        <v>831614</v>
      </c>
      <c r="C371" s="1" t="s">
        <v>1301</v>
      </c>
      <c r="D371" s="1" t="s">
        <v>1302</v>
      </c>
      <c r="E371" s="3" t="s">
        <v>1303</v>
      </c>
      <c r="F371" s="1" t="s">
        <v>1297</v>
      </c>
      <c r="G371" s="1" t="s">
        <v>14</v>
      </c>
      <c r="H371" s="1" t="s">
        <v>14</v>
      </c>
      <c r="I371" s="1" t="s">
        <v>14</v>
      </c>
      <c r="J371" s="1" t="s">
        <v>15</v>
      </c>
      <c r="K371" s="2"/>
      <c r="L371" s="5">
        <f>K371*423.78</f>
        <v>0</v>
      </c>
    </row>
    <row r="372" spans="1:12">
      <c r="A372" s="1"/>
      <c r="B372" s="1">
        <v>831615</v>
      </c>
      <c r="C372" s="1" t="s">
        <v>1304</v>
      </c>
      <c r="D372" s="1" t="s">
        <v>1305</v>
      </c>
      <c r="E372" s="3" t="s">
        <v>1306</v>
      </c>
      <c r="F372" s="1" t="s">
        <v>1307</v>
      </c>
      <c r="G372" s="1" t="s">
        <v>14</v>
      </c>
      <c r="H372" s="1" t="s">
        <v>14</v>
      </c>
      <c r="I372" s="1" t="s">
        <v>14</v>
      </c>
      <c r="J372" s="1" t="s">
        <v>15</v>
      </c>
      <c r="K372" s="2"/>
      <c r="L372" s="5">
        <f>K372*222.49</f>
        <v>0</v>
      </c>
    </row>
    <row r="373" spans="1:12">
      <c r="A373" s="1"/>
      <c r="B373" s="1">
        <v>831616</v>
      </c>
      <c r="C373" s="1" t="s">
        <v>1308</v>
      </c>
      <c r="D373" s="1" t="s">
        <v>1309</v>
      </c>
      <c r="E373" s="3" t="s">
        <v>1310</v>
      </c>
      <c r="F373" s="1" t="s">
        <v>1311</v>
      </c>
      <c r="G373" s="1" t="s">
        <v>14</v>
      </c>
      <c r="H373" s="1" t="s">
        <v>14</v>
      </c>
      <c r="I373" s="1" t="s">
        <v>14</v>
      </c>
      <c r="J373" s="1" t="s">
        <v>15</v>
      </c>
      <c r="K373" s="2"/>
      <c r="L373" s="5">
        <f>K373*478.27</f>
        <v>0</v>
      </c>
    </row>
    <row r="374" spans="1:12">
      <c r="A374" s="1"/>
      <c r="B374" s="1">
        <v>831617</v>
      </c>
      <c r="C374" s="1" t="s">
        <v>1312</v>
      </c>
      <c r="D374" s="1" t="s">
        <v>1313</v>
      </c>
      <c r="E374" s="3" t="s">
        <v>1314</v>
      </c>
      <c r="F374" s="1" t="s">
        <v>1315</v>
      </c>
      <c r="G374" s="1" t="s">
        <v>14</v>
      </c>
      <c r="H374" s="1" t="s">
        <v>14</v>
      </c>
      <c r="I374" s="1" t="s">
        <v>14</v>
      </c>
      <c r="J374" s="1" t="s">
        <v>15</v>
      </c>
      <c r="K374" s="2"/>
      <c r="L374" s="5">
        <f>K374*387.46</f>
        <v>0</v>
      </c>
    </row>
    <row r="375" spans="1:12">
      <c r="A375" s="1"/>
      <c r="B375" s="1">
        <v>831618</v>
      </c>
      <c r="C375" s="1" t="s">
        <v>1316</v>
      </c>
      <c r="D375" s="1" t="s">
        <v>1317</v>
      </c>
      <c r="E375" s="3" t="s">
        <v>1318</v>
      </c>
      <c r="F375" s="1" t="s">
        <v>1319</v>
      </c>
      <c r="G375" s="1" t="s">
        <v>14</v>
      </c>
      <c r="H375" s="1" t="s">
        <v>14</v>
      </c>
      <c r="I375" s="1" t="s">
        <v>14</v>
      </c>
      <c r="J375" s="1" t="s">
        <v>15</v>
      </c>
      <c r="K375" s="2"/>
      <c r="L375" s="5">
        <f>K375*529.73</f>
        <v>0</v>
      </c>
    </row>
    <row r="376" spans="1:12">
      <c r="A376" s="1"/>
      <c r="B376" s="1">
        <v>831619</v>
      </c>
      <c r="C376" s="1" t="s">
        <v>1320</v>
      </c>
      <c r="D376" s="1" t="s">
        <v>1321</v>
      </c>
      <c r="E376" s="3" t="s">
        <v>1322</v>
      </c>
      <c r="F376" s="1" t="s">
        <v>1323</v>
      </c>
      <c r="G376" s="1" t="s">
        <v>14</v>
      </c>
      <c r="H376" s="1" t="s">
        <v>14</v>
      </c>
      <c r="I376" s="1" t="s">
        <v>14</v>
      </c>
      <c r="J376" s="1" t="s">
        <v>15</v>
      </c>
      <c r="K376" s="2"/>
      <c r="L376" s="5">
        <f>K376*590.27</f>
        <v>0</v>
      </c>
    </row>
    <row r="377" spans="1:12">
      <c r="A377" s="1"/>
      <c r="B377" s="1">
        <v>831620</v>
      </c>
      <c r="C377" s="1" t="s">
        <v>1324</v>
      </c>
      <c r="D377" s="1" t="s">
        <v>1325</v>
      </c>
      <c r="E377" s="3" t="s">
        <v>1326</v>
      </c>
      <c r="F377" s="1" t="s">
        <v>1327</v>
      </c>
      <c r="G377" s="1" t="s">
        <v>14</v>
      </c>
      <c r="H377" s="1" t="s">
        <v>14</v>
      </c>
      <c r="I377" s="1" t="s">
        <v>14</v>
      </c>
      <c r="J377" s="1" t="s">
        <v>15</v>
      </c>
      <c r="K377" s="2"/>
      <c r="L377" s="5">
        <f>K377*570.59</f>
        <v>0</v>
      </c>
    </row>
    <row r="378" spans="1:12">
      <c r="A378" s="1"/>
      <c r="B378" s="1">
        <v>831621</v>
      </c>
      <c r="C378" s="1" t="s">
        <v>1328</v>
      </c>
      <c r="D378" s="1" t="s">
        <v>1329</v>
      </c>
      <c r="E378" s="3" t="s">
        <v>1330</v>
      </c>
      <c r="F378" s="1" t="s">
        <v>1311</v>
      </c>
      <c r="G378" s="1" t="s">
        <v>14</v>
      </c>
      <c r="H378" s="1" t="s">
        <v>14</v>
      </c>
      <c r="I378" s="1" t="s">
        <v>14</v>
      </c>
      <c r="J378" s="1" t="s">
        <v>15</v>
      </c>
      <c r="K378" s="2"/>
      <c r="L378" s="5">
        <f>K378*478.27</f>
        <v>0</v>
      </c>
    </row>
    <row r="379" spans="1:12">
      <c r="A379" s="1"/>
      <c r="B379" s="1">
        <v>831622</v>
      </c>
      <c r="C379" s="1" t="s">
        <v>1331</v>
      </c>
      <c r="D379" s="1" t="s">
        <v>1332</v>
      </c>
      <c r="E379" s="3" t="s">
        <v>1333</v>
      </c>
      <c r="F379" s="1" t="s">
        <v>439</v>
      </c>
      <c r="G379" s="1" t="s">
        <v>14</v>
      </c>
      <c r="H379" s="1" t="s">
        <v>14</v>
      </c>
      <c r="I379" s="1" t="s">
        <v>14</v>
      </c>
      <c r="J379" s="1" t="s">
        <v>15</v>
      </c>
      <c r="K379" s="2"/>
      <c r="L379" s="5">
        <f>K379*0.00</f>
        <v>0</v>
      </c>
    </row>
    <row r="380" spans="1:12">
      <c r="A380" s="1"/>
      <c r="B380" s="1">
        <v>831623</v>
      </c>
      <c r="C380" s="1" t="s">
        <v>1334</v>
      </c>
      <c r="D380" s="1" t="s">
        <v>1335</v>
      </c>
      <c r="E380" s="3" t="s">
        <v>1336</v>
      </c>
      <c r="F380" s="1" t="s">
        <v>1337</v>
      </c>
      <c r="G380" s="1" t="s">
        <v>14</v>
      </c>
      <c r="H380" s="1" t="s">
        <v>14</v>
      </c>
      <c r="I380" s="1" t="s">
        <v>14</v>
      </c>
      <c r="J380" s="1" t="s">
        <v>15</v>
      </c>
      <c r="K380" s="2"/>
      <c r="L380" s="5">
        <f>K380*693.19</f>
        <v>0</v>
      </c>
    </row>
    <row r="381" spans="1:12">
      <c r="A381" s="1"/>
      <c r="B381" s="1">
        <v>831624</v>
      </c>
      <c r="C381" s="1" t="s">
        <v>1338</v>
      </c>
      <c r="D381" s="1" t="s">
        <v>1339</v>
      </c>
      <c r="E381" s="3" t="s">
        <v>1340</v>
      </c>
      <c r="F381" s="1" t="s">
        <v>1341</v>
      </c>
      <c r="G381" s="1" t="s">
        <v>14</v>
      </c>
      <c r="H381" s="1" t="s">
        <v>14</v>
      </c>
      <c r="I381" s="1" t="s">
        <v>14</v>
      </c>
      <c r="J381" s="1" t="s">
        <v>15</v>
      </c>
      <c r="K381" s="2"/>
      <c r="L381" s="5">
        <f>K381*611.46</f>
        <v>0</v>
      </c>
    </row>
    <row r="382" spans="1:12">
      <c r="A382" s="1"/>
      <c r="B382" s="1">
        <v>827350</v>
      </c>
      <c r="C382" s="1" t="s">
        <v>1342</v>
      </c>
      <c r="D382" s="1" t="s">
        <v>1343</v>
      </c>
      <c r="E382" s="3" t="s">
        <v>1344</v>
      </c>
      <c r="F382" s="1" t="s">
        <v>1345</v>
      </c>
      <c r="G382" s="1" t="s">
        <v>14</v>
      </c>
      <c r="H382" s="1" t="s">
        <v>14</v>
      </c>
      <c r="I382" s="1" t="s">
        <v>14</v>
      </c>
      <c r="J382" s="1" t="s">
        <v>15</v>
      </c>
      <c r="K382" s="2"/>
      <c r="L382" s="5">
        <f>K382*198.27</f>
        <v>0</v>
      </c>
    </row>
    <row r="383" spans="1:12">
      <c r="A383" s="1"/>
      <c r="B383" s="1">
        <v>827351</v>
      </c>
      <c r="C383" s="1" t="s">
        <v>1346</v>
      </c>
      <c r="D383" s="1" t="s">
        <v>1347</v>
      </c>
      <c r="E383" s="3" t="s">
        <v>1348</v>
      </c>
      <c r="F383" s="1" t="s">
        <v>1349</v>
      </c>
      <c r="G383" s="1" t="s">
        <v>14</v>
      </c>
      <c r="H383" s="1" t="s">
        <v>14</v>
      </c>
      <c r="I383" s="1" t="s">
        <v>14</v>
      </c>
      <c r="J383" s="1" t="s">
        <v>15</v>
      </c>
      <c r="K383" s="2"/>
      <c r="L383" s="5">
        <f>K383*184.65</f>
        <v>0</v>
      </c>
    </row>
    <row r="384" spans="1:12">
      <c r="A384" s="1"/>
      <c r="B384" s="1">
        <v>827352</v>
      </c>
      <c r="C384" s="1" t="s">
        <v>1350</v>
      </c>
      <c r="D384" s="1" t="s">
        <v>1351</v>
      </c>
      <c r="E384" s="3" t="s">
        <v>1352</v>
      </c>
      <c r="F384" s="1" t="s">
        <v>1353</v>
      </c>
      <c r="G384" s="1" t="s">
        <v>14</v>
      </c>
      <c r="H384" s="1" t="s">
        <v>14</v>
      </c>
      <c r="I384" s="1" t="s">
        <v>14</v>
      </c>
      <c r="J384" s="1" t="s">
        <v>15</v>
      </c>
      <c r="K384" s="2"/>
      <c r="L384" s="5">
        <f>K384*2566.92</f>
        <v>0</v>
      </c>
    </row>
    <row r="385" spans="1:12">
      <c r="A385" s="1"/>
      <c r="B385" s="1">
        <v>827353</v>
      </c>
      <c r="C385" s="1" t="s">
        <v>1354</v>
      </c>
      <c r="D385" s="1" t="s">
        <v>1355</v>
      </c>
      <c r="E385" s="3" t="s">
        <v>1356</v>
      </c>
      <c r="F385" s="1" t="s">
        <v>1357</v>
      </c>
      <c r="G385" s="1" t="s">
        <v>14</v>
      </c>
      <c r="H385" s="1" t="s">
        <v>14</v>
      </c>
      <c r="I385" s="1" t="s">
        <v>14</v>
      </c>
      <c r="J385" s="1" t="s">
        <v>15</v>
      </c>
      <c r="K385" s="2"/>
      <c r="L385" s="5">
        <f>K385*2588.11</f>
        <v>0</v>
      </c>
    </row>
    <row r="386" spans="1:12">
      <c r="A386" s="1"/>
      <c r="B386" s="1">
        <v>827354</v>
      </c>
      <c r="C386" s="1" t="s">
        <v>1358</v>
      </c>
      <c r="D386" s="1" t="s">
        <v>1359</v>
      </c>
      <c r="E386" s="3" t="s">
        <v>1360</v>
      </c>
      <c r="F386" s="1" t="s">
        <v>1361</v>
      </c>
      <c r="G386" s="1" t="s">
        <v>14</v>
      </c>
      <c r="H386" s="1" t="s">
        <v>14</v>
      </c>
      <c r="I386" s="1" t="s">
        <v>14</v>
      </c>
      <c r="J386" s="1" t="s">
        <v>15</v>
      </c>
      <c r="K386" s="2"/>
      <c r="L386" s="5">
        <f>K386*2138.59</f>
        <v>0</v>
      </c>
    </row>
    <row r="387" spans="1:12">
      <c r="A387" s="1"/>
      <c r="B387" s="1">
        <v>827355</v>
      </c>
      <c r="C387" s="1" t="s">
        <v>1362</v>
      </c>
      <c r="D387" s="1" t="s">
        <v>1363</v>
      </c>
      <c r="E387" s="3" t="s">
        <v>1364</v>
      </c>
      <c r="F387" s="1" t="s">
        <v>1365</v>
      </c>
      <c r="G387" s="1" t="s">
        <v>14</v>
      </c>
      <c r="H387" s="1" t="s">
        <v>14</v>
      </c>
      <c r="I387" s="1" t="s">
        <v>14</v>
      </c>
      <c r="J387" s="1" t="s">
        <v>15</v>
      </c>
      <c r="K387" s="2"/>
      <c r="L387" s="5">
        <f>K387*4156.10</f>
        <v>0</v>
      </c>
    </row>
    <row r="388" spans="1:12">
      <c r="A388" s="1"/>
      <c r="B388" s="1">
        <v>827356</v>
      </c>
      <c r="C388" s="1" t="s">
        <v>1366</v>
      </c>
      <c r="D388" s="1" t="s">
        <v>1367</v>
      </c>
      <c r="E388" s="3" t="s">
        <v>1368</v>
      </c>
      <c r="F388" s="1" t="s">
        <v>1369</v>
      </c>
      <c r="G388" s="1" t="s">
        <v>14</v>
      </c>
      <c r="H388" s="1" t="s">
        <v>14</v>
      </c>
      <c r="I388" s="1" t="s">
        <v>14</v>
      </c>
      <c r="J388" s="1" t="s">
        <v>15</v>
      </c>
      <c r="K388" s="2"/>
      <c r="L388" s="5">
        <f>K388*217.95</f>
        <v>0</v>
      </c>
    </row>
    <row r="389" spans="1:12">
      <c r="A389" s="1"/>
      <c r="B389" s="1">
        <v>831626</v>
      </c>
      <c r="C389" s="1" t="s">
        <v>1370</v>
      </c>
      <c r="D389" s="1" t="s">
        <v>1371</v>
      </c>
      <c r="E389" s="3" t="s">
        <v>1372</v>
      </c>
      <c r="F389" s="1" t="s">
        <v>1369</v>
      </c>
      <c r="G389" s="1" t="s">
        <v>14</v>
      </c>
      <c r="H389" s="1" t="s">
        <v>14</v>
      </c>
      <c r="I389" s="1" t="s">
        <v>14</v>
      </c>
      <c r="J389" s="1" t="s">
        <v>15</v>
      </c>
      <c r="K389" s="2"/>
      <c r="L389" s="5">
        <f>K389*217.95</f>
        <v>0</v>
      </c>
    </row>
    <row r="390" spans="1:12">
      <c r="A390" s="1"/>
      <c r="B390" s="1">
        <v>831627</v>
      </c>
      <c r="C390" s="1" t="s">
        <v>1373</v>
      </c>
      <c r="D390" s="1" t="s">
        <v>1374</v>
      </c>
      <c r="E390" s="3" t="s">
        <v>1375</v>
      </c>
      <c r="F390" s="1" t="s">
        <v>439</v>
      </c>
      <c r="G390" s="1" t="s">
        <v>14</v>
      </c>
      <c r="H390" s="1" t="s">
        <v>14</v>
      </c>
      <c r="I390" s="1" t="s">
        <v>14</v>
      </c>
      <c r="J390" s="1" t="s">
        <v>15</v>
      </c>
      <c r="K390" s="2"/>
      <c r="L390" s="5">
        <f>K390*0.00</f>
        <v>0</v>
      </c>
    </row>
    <row r="391" spans="1:12">
      <c r="A391" s="1"/>
      <c r="B391" s="1">
        <v>831628</v>
      </c>
      <c r="C391" s="1" t="s">
        <v>1376</v>
      </c>
      <c r="D391" s="1" t="s">
        <v>1377</v>
      </c>
      <c r="E391" s="3" t="s">
        <v>1378</v>
      </c>
      <c r="F391" s="1" t="s">
        <v>1289</v>
      </c>
      <c r="G391" s="1" t="s">
        <v>14</v>
      </c>
      <c r="H391" s="1" t="s">
        <v>14</v>
      </c>
      <c r="I391" s="1" t="s">
        <v>14</v>
      </c>
      <c r="J391" s="1" t="s">
        <v>15</v>
      </c>
      <c r="K391" s="2"/>
      <c r="L391" s="5">
        <f>K391*346.59</f>
        <v>0</v>
      </c>
    </row>
    <row r="392" spans="1:12">
      <c r="A392" s="1"/>
      <c r="B392" s="1">
        <v>831629</v>
      </c>
      <c r="C392" s="1" t="s">
        <v>1379</v>
      </c>
      <c r="D392" s="1" t="s">
        <v>1380</v>
      </c>
      <c r="E392" s="3" t="s">
        <v>1381</v>
      </c>
      <c r="F392" s="1" t="s">
        <v>1289</v>
      </c>
      <c r="G392" s="1" t="s">
        <v>14</v>
      </c>
      <c r="H392" s="1" t="s">
        <v>14</v>
      </c>
      <c r="I392" s="1" t="s">
        <v>14</v>
      </c>
      <c r="J392" s="1" t="s">
        <v>15</v>
      </c>
      <c r="K392" s="2"/>
      <c r="L392" s="5">
        <f>K392*346.59</f>
        <v>0</v>
      </c>
    </row>
    <row r="393" spans="1:12">
      <c r="A393" s="1"/>
      <c r="B393" s="1">
        <v>831631</v>
      </c>
      <c r="C393" s="1" t="s">
        <v>1382</v>
      </c>
      <c r="D393" s="1" t="s">
        <v>1383</v>
      </c>
      <c r="E393" s="3" t="s">
        <v>1384</v>
      </c>
      <c r="F393" s="1" t="s">
        <v>1289</v>
      </c>
      <c r="G393" s="1" t="s">
        <v>14</v>
      </c>
      <c r="H393" s="1" t="s">
        <v>14</v>
      </c>
      <c r="I393" s="1" t="s">
        <v>14</v>
      </c>
      <c r="J393" s="1" t="s">
        <v>15</v>
      </c>
      <c r="K393" s="2"/>
      <c r="L393" s="5">
        <f>K393*346.59</f>
        <v>0</v>
      </c>
    </row>
    <row r="394" spans="1:12">
      <c r="A394" s="1"/>
      <c r="B394" s="1">
        <v>831632</v>
      </c>
      <c r="C394" s="1" t="s">
        <v>1385</v>
      </c>
      <c r="D394" s="1" t="s">
        <v>1386</v>
      </c>
      <c r="E394" s="3" t="s">
        <v>1387</v>
      </c>
      <c r="F394" s="1" t="s">
        <v>1388</v>
      </c>
      <c r="G394" s="1" t="s">
        <v>14</v>
      </c>
      <c r="H394" s="1" t="s">
        <v>14</v>
      </c>
      <c r="I394" s="1" t="s">
        <v>14</v>
      </c>
      <c r="J394" s="1" t="s">
        <v>15</v>
      </c>
      <c r="K394" s="2"/>
      <c r="L394" s="5">
        <f>K394*366.27</f>
        <v>0</v>
      </c>
    </row>
    <row r="395" spans="1:12">
      <c r="A395" s="1"/>
      <c r="B395" s="1">
        <v>831633</v>
      </c>
      <c r="C395" s="1" t="s">
        <v>1389</v>
      </c>
      <c r="D395" s="1" t="s">
        <v>1390</v>
      </c>
      <c r="E395" s="3" t="s">
        <v>1391</v>
      </c>
      <c r="F395" s="1" t="s">
        <v>1392</v>
      </c>
      <c r="G395" s="1" t="s">
        <v>14</v>
      </c>
      <c r="H395" s="1" t="s">
        <v>14</v>
      </c>
      <c r="I395" s="1" t="s">
        <v>14</v>
      </c>
      <c r="J395" s="1" t="s">
        <v>15</v>
      </c>
      <c r="K395" s="2"/>
      <c r="L395" s="5">
        <f>K395*426.81</f>
        <v>0</v>
      </c>
    </row>
    <row r="396" spans="1:12">
      <c r="A396" s="1"/>
      <c r="B396" s="1">
        <v>831634</v>
      </c>
      <c r="C396" s="1" t="s">
        <v>1393</v>
      </c>
      <c r="D396" s="1" t="s">
        <v>1394</v>
      </c>
      <c r="E396" s="3" t="s">
        <v>1395</v>
      </c>
      <c r="F396" s="1" t="s">
        <v>1396</v>
      </c>
      <c r="G396" s="1" t="s">
        <v>14</v>
      </c>
      <c r="H396" s="1" t="s">
        <v>14</v>
      </c>
      <c r="I396" s="1" t="s">
        <v>14</v>
      </c>
      <c r="J396" s="1" t="s">
        <v>15</v>
      </c>
      <c r="K396" s="2"/>
      <c r="L396" s="5">
        <f>K396*494.92</f>
        <v>0</v>
      </c>
    </row>
    <row r="397" spans="1:12">
      <c r="A397" s="1"/>
      <c r="B397" s="1">
        <v>831635</v>
      </c>
      <c r="C397" s="1" t="s">
        <v>1397</v>
      </c>
      <c r="D397" s="1" t="s">
        <v>1398</v>
      </c>
      <c r="E397" s="3" t="s">
        <v>1399</v>
      </c>
      <c r="F397" s="1" t="s">
        <v>1400</v>
      </c>
      <c r="G397" s="1" t="s">
        <v>14</v>
      </c>
      <c r="H397" s="1" t="s">
        <v>14</v>
      </c>
      <c r="I397" s="1" t="s">
        <v>14</v>
      </c>
      <c r="J397" s="1" t="s">
        <v>15</v>
      </c>
      <c r="K397" s="2"/>
      <c r="L397" s="5">
        <f>K397*475.24</f>
        <v>0</v>
      </c>
    </row>
    <row r="398" spans="1:12">
      <c r="A398" s="1"/>
      <c r="B398" s="1">
        <v>831636</v>
      </c>
      <c r="C398" s="1" t="s">
        <v>1401</v>
      </c>
      <c r="D398" s="1" t="s">
        <v>1402</v>
      </c>
      <c r="E398" s="3" t="s">
        <v>1403</v>
      </c>
      <c r="F398" s="1" t="s">
        <v>1404</v>
      </c>
      <c r="G398" s="1" t="s">
        <v>14</v>
      </c>
      <c r="H398" s="1" t="s">
        <v>14</v>
      </c>
      <c r="I398" s="1" t="s">
        <v>14</v>
      </c>
      <c r="J398" s="1" t="s">
        <v>15</v>
      </c>
      <c r="K398" s="2"/>
      <c r="L398" s="5">
        <f>K398*460.11</f>
        <v>0</v>
      </c>
    </row>
    <row r="399" spans="1:12">
      <c r="A399" s="1"/>
      <c r="B399" s="1">
        <v>831637</v>
      </c>
      <c r="C399" s="1" t="s">
        <v>1405</v>
      </c>
      <c r="D399" s="1" t="s">
        <v>1406</v>
      </c>
      <c r="E399" s="3" t="s">
        <v>1407</v>
      </c>
      <c r="F399" s="1" t="s">
        <v>1341</v>
      </c>
      <c r="G399" s="1" t="s">
        <v>14</v>
      </c>
      <c r="H399" s="1" t="s">
        <v>14</v>
      </c>
      <c r="I399" s="1" t="s">
        <v>14</v>
      </c>
      <c r="J399" s="1" t="s">
        <v>15</v>
      </c>
      <c r="K399" s="2"/>
      <c r="L399" s="5">
        <f>K399*611.46</f>
        <v>0</v>
      </c>
    </row>
    <row r="400" spans="1:12">
      <c r="A400" s="1"/>
      <c r="B400" s="1">
        <v>831638</v>
      </c>
      <c r="C400" s="1" t="s">
        <v>1408</v>
      </c>
      <c r="D400" s="1" t="s">
        <v>1409</v>
      </c>
      <c r="E400" s="3" t="s">
        <v>1410</v>
      </c>
      <c r="F400" s="1" t="s">
        <v>1411</v>
      </c>
      <c r="G400" s="1" t="s">
        <v>14</v>
      </c>
      <c r="H400" s="1" t="s">
        <v>14</v>
      </c>
      <c r="I400" s="1" t="s">
        <v>14</v>
      </c>
      <c r="J400" s="1" t="s">
        <v>15</v>
      </c>
      <c r="K400" s="2"/>
      <c r="L400" s="5">
        <f>K400*632.65</f>
        <v>0</v>
      </c>
    </row>
    <row r="401" spans="1:12">
      <c r="A401" s="1"/>
      <c r="B401" s="1">
        <v>831639</v>
      </c>
      <c r="C401" s="1" t="s">
        <v>1412</v>
      </c>
      <c r="D401" s="1" t="s">
        <v>1413</v>
      </c>
      <c r="E401" s="3" t="s">
        <v>1414</v>
      </c>
      <c r="F401" s="1" t="s">
        <v>1223</v>
      </c>
      <c r="G401" s="1" t="s">
        <v>14</v>
      </c>
      <c r="H401" s="1" t="s">
        <v>14</v>
      </c>
      <c r="I401" s="1" t="s">
        <v>14</v>
      </c>
      <c r="J401" s="1" t="s">
        <v>15</v>
      </c>
      <c r="K401" s="2"/>
      <c r="L401" s="5">
        <f>K401*641.73</f>
        <v>0</v>
      </c>
    </row>
    <row r="402" spans="1:12">
      <c r="A402" s="1"/>
      <c r="B402" s="1">
        <v>831640</v>
      </c>
      <c r="C402" s="1" t="s">
        <v>1415</v>
      </c>
      <c r="D402" s="1" t="s">
        <v>1416</v>
      </c>
      <c r="E402" s="3" t="s">
        <v>1417</v>
      </c>
      <c r="F402" s="1" t="s">
        <v>1418</v>
      </c>
      <c r="G402" s="1" t="s">
        <v>14</v>
      </c>
      <c r="H402" s="1" t="s">
        <v>14</v>
      </c>
      <c r="I402" s="1" t="s">
        <v>14</v>
      </c>
      <c r="J402" s="1" t="s">
        <v>15</v>
      </c>
      <c r="K402" s="2"/>
      <c r="L402" s="5">
        <f>K402*682.59</f>
        <v>0</v>
      </c>
    </row>
    <row r="403" spans="1:12">
      <c r="A403" s="1"/>
      <c r="B403" s="1">
        <v>831641</v>
      </c>
      <c r="C403" s="1" t="s">
        <v>1419</v>
      </c>
      <c r="D403" s="1" t="s">
        <v>1420</v>
      </c>
      <c r="E403" s="3" t="s">
        <v>1421</v>
      </c>
      <c r="F403" s="1" t="s">
        <v>1337</v>
      </c>
      <c r="G403" s="1" t="s">
        <v>14</v>
      </c>
      <c r="H403" s="1" t="s">
        <v>14</v>
      </c>
      <c r="I403" s="1" t="s">
        <v>14</v>
      </c>
      <c r="J403" s="1" t="s">
        <v>15</v>
      </c>
      <c r="K403" s="2"/>
      <c r="L403" s="5">
        <f>K403*693.19</f>
        <v>0</v>
      </c>
    </row>
    <row r="404" spans="1:12">
      <c r="A404" s="1"/>
      <c r="B404" s="1">
        <v>831642</v>
      </c>
      <c r="C404" s="1" t="s">
        <v>1422</v>
      </c>
      <c r="D404" s="1" t="s">
        <v>1423</v>
      </c>
      <c r="E404" s="3" t="s">
        <v>1424</v>
      </c>
      <c r="F404" s="1" t="s">
        <v>1425</v>
      </c>
      <c r="G404" s="1" t="s">
        <v>14</v>
      </c>
      <c r="H404" s="1" t="s">
        <v>14</v>
      </c>
      <c r="I404" s="1" t="s">
        <v>14</v>
      </c>
      <c r="J404" s="1" t="s">
        <v>15</v>
      </c>
      <c r="K404" s="2"/>
      <c r="L404" s="5">
        <f>K404*774.92</f>
        <v>0</v>
      </c>
    </row>
    <row r="405" spans="1:12">
      <c r="A405" s="1"/>
      <c r="B405" s="1">
        <v>831643</v>
      </c>
      <c r="C405" s="1" t="s">
        <v>1426</v>
      </c>
      <c r="D405" s="1" t="s">
        <v>1427</v>
      </c>
      <c r="E405" s="3" t="s">
        <v>1428</v>
      </c>
      <c r="F405" s="1" t="s">
        <v>1327</v>
      </c>
      <c r="G405" s="1" t="s">
        <v>14</v>
      </c>
      <c r="H405" s="1" t="s">
        <v>14</v>
      </c>
      <c r="I405" s="1" t="s">
        <v>14</v>
      </c>
      <c r="J405" s="1" t="s">
        <v>15</v>
      </c>
      <c r="K405" s="2"/>
      <c r="L405" s="5">
        <f>K405*570.59</f>
        <v>0</v>
      </c>
    </row>
    <row r="406" spans="1:12">
      <c r="A406" s="1"/>
      <c r="B406" s="1">
        <v>827357</v>
      </c>
      <c r="C406" s="1" t="s">
        <v>1429</v>
      </c>
      <c r="D406" s="1" t="s">
        <v>1430</v>
      </c>
      <c r="E406" s="3" t="s">
        <v>1431</v>
      </c>
      <c r="F406" s="1" t="s">
        <v>1432</v>
      </c>
      <c r="G406" s="1" t="s">
        <v>14</v>
      </c>
      <c r="H406" s="1" t="s">
        <v>14</v>
      </c>
      <c r="I406" s="1" t="s">
        <v>14</v>
      </c>
      <c r="J406" s="1" t="s">
        <v>15</v>
      </c>
      <c r="K406" s="2"/>
      <c r="L406" s="5">
        <f>K406*743.13</f>
        <v>0</v>
      </c>
    </row>
    <row r="407" spans="1:12">
      <c r="A407" s="1"/>
      <c r="B407" s="1">
        <v>827358</v>
      </c>
      <c r="C407" s="1" t="s">
        <v>1433</v>
      </c>
      <c r="D407" s="1" t="s">
        <v>1434</v>
      </c>
      <c r="E407" s="3" t="s">
        <v>1435</v>
      </c>
      <c r="F407" s="1" t="s">
        <v>1436</v>
      </c>
      <c r="G407" s="1" t="s">
        <v>14</v>
      </c>
      <c r="H407" s="1" t="s">
        <v>14</v>
      </c>
      <c r="I407" s="1" t="s">
        <v>14</v>
      </c>
      <c r="J407" s="1" t="s">
        <v>15</v>
      </c>
      <c r="K407" s="2"/>
      <c r="L407" s="5">
        <f>K407*122.59</f>
        <v>0</v>
      </c>
    </row>
    <row r="408" spans="1:12">
      <c r="A408" s="1"/>
      <c r="B408" s="1">
        <v>827359</v>
      </c>
      <c r="C408" s="1" t="s">
        <v>1437</v>
      </c>
      <c r="D408" s="1" t="s">
        <v>1438</v>
      </c>
      <c r="E408" s="3" t="s">
        <v>1439</v>
      </c>
      <c r="F408" s="1" t="s">
        <v>1440</v>
      </c>
      <c r="G408" s="1" t="s">
        <v>14</v>
      </c>
      <c r="H408" s="1" t="s">
        <v>14</v>
      </c>
      <c r="I408" s="1" t="s">
        <v>14</v>
      </c>
      <c r="J408" s="1" t="s">
        <v>15</v>
      </c>
      <c r="K408" s="2"/>
      <c r="L408" s="5">
        <f>K408*172.54</f>
        <v>0</v>
      </c>
    </row>
    <row r="409" spans="1:12">
      <c r="A409" s="1"/>
      <c r="B409" s="1">
        <v>827360</v>
      </c>
      <c r="C409" s="1" t="s">
        <v>1441</v>
      </c>
      <c r="D409" s="1" t="s">
        <v>1442</v>
      </c>
      <c r="E409" s="3" t="s">
        <v>1443</v>
      </c>
      <c r="F409" s="1" t="s">
        <v>1254</v>
      </c>
      <c r="G409" s="1" t="s">
        <v>14</v>
      </c>
      <c r="H409" s="1" t="s">
        <v>14</v>
      </c>
      <c r="I409" s="1" t="s">
        <v>14</v>
      </c>
      <c r="J409" s="1" t="s">
        <v>15</v>
      </c>
      <c r="K409" s="2"/>
      <c r="L409" s="5">
        <f>K409*137.73</f>
        <v>0</v>
      </c>
    </row>
    <row r="410" spans="1:12">
      <c r="A410" s="1"/>
      <c r="B410" s="1">
        <v>827361</v>
      </c>
      <c r="C410" s="1" t="s">
        <v>1444</v>
      </c>
      <c r="D410" s="1" t="s">
        <v>1445</v>
      </c>
      <c r="E410" s="3" t="s">
        <v>1446</v>
      </c>
      <c r="F410" s="1" t="s">
        <v>1447</v>
      </c>
      <c r="G410" s="1" t="s">
        <v>14</v>
      </c>
      <c r="H410" s="1" t="s">
        <v>14</v>
      </c>
      <c r="I410" s="1" t="s">
        <v>14</v>
      </c>
      <c r="J410" s="1" t="s">
        <v>15</v>
      </c>
      <c r="K410" s="2"/>
      <c r="L410" s="5">
        <f>K410*155.89</f>
        <v>0</v>
      </c>
    </row>
    <row r="411" spans="1:12">
      <c r="A411" s="1"/>
      <c r="B411" s="1">
        <v>827362</v>
      </c>
      <c r="C411" s="1" t="s">
        <v>1448</v>
      </c>
      <c r="D411" s="1" t="s">
        <v>1449</v>
      </c>
      <c r="E411" s="3" t="s">
        <v>1450</v>
      </c>
      <c r="F411" s="1" t="s">
        <v>1451</v>
      </c>
      <c r="G411" s="1" t="s">
        <v>14</v>
      </c>
      <c r="H411" s="1" t="s">
        <v>14</v>
      </c>
      <c r="I411" s="1" t="s">
        <v>14</v>
      </c>
      <c r="J411" s="1" t="s">
        <v>15</v>
      </c>
      <c r="K411" s="2"/>
      <c r="L411" s="5">
        <f>K411*180.11</f>
        <v>0</v>
      </c>
    </row>
    <row r="412" spans="1:12">
      <c r="A412" s="1"/>
      <c r="B412" s="1">
        <v>827363</v>
      </c>
      <c r="C412" s="1" t="s">
        <v>1452</v>
      </c>
      <c r="D412" s="1" t="s">
        <v>1453</v>
      </c>
      <c r="E412" s="3" t="s">
        <v>1454</v>
      </c>
      <c r="F412" s="1" t="s">
        <v>1447</v>
      </c>
      <c r="G412" s="1" t="s">
        <v>14</v>
      </c>
      <c r="H412" s="1" t="s">
        <v>14</v>
      </c>
      <c r="I412" s="1" t="s">
        <v>14</v>
      </c>
      <c r="J412" s="1" t="s">
        <v>15</v>
      </c>
      <c r="K412" s="2"/>
      <c r="L412" s="5">
        <f>K412*155.89</f>
        <v>0</v>
      </c>
    </row>
    <row r="413" spans="1:12">
      <c r="A413" s="1"/>
      <c r="B413" s="1">
        <v>827364</v>
      </c>
      <c r="C413" s="1" t="s">
        <v>1455</v>
      </c>
      <c r="D413" s="1" t="s">
        <v>1456</v>
      </c>
      <c r="E413" s="3" t="s">
        <v>1457</v>
      </c>
      <c r="F413" s="1" t="s">
        <v>1458</v>
      </c>
      <c r="G413" s="1" t="s">
        <v>14</v>
      </c>
      <c r="H413" s="1" t="s">
        <v>14</v>
      </c>
      <c r="I413" s="1" t="s">
        <v>14</v>
      </c>
      <c r="J413" s="1" t="s">
        <v>15</v>
      </c>
      <c r="K413" s="2"/>
      <c r="L413" s="5">
        <f>K413*296.65</f>
        <v>0</v>
      </c>
    </row>
    <row r="414" spans="1:12">
      <c r="A414" s="1"/>
      <c r="B414" s="1">
        <v>827365</v>
      </c>
      <c r="C414" s="1" t="s">
        <v>1459</v>
      </c>
      <c r="D414" s="1" t="s">
        <v>1460</v>
      </c>
      <c r="E414" s="3" t="s">
        <v>1461</v>
      </c>
      <c r="F414" s="1" t="s">
        <v>1462</v>
      </c>
      <c r="G414" s="1" t="s">
        <v>14</v>
      </c>
      <c r="H414" s="1" t="s">
        <v>14</v>
      </c>
      <c r="I414" s="1" t="s">
        <v>14</v>
      </c>
      <c r="J414" s="1" t="s">
        <v>15</v>
      </c>
      <c r="K414" s="2"/>
      <c r="L414" s="5">
        <f>K414*814.27</f>
        <v>0</v>
      </c>
    </row>
    <row r="415" spans="1:12">
      <c r="A415" s="1"/>
      <c r="B415" s="1">
        <v>827366</v>
      </c>
      <c r="C415" s="1" t="s">
        <v>1463</v>
      </c>
      <c r="D415" s="1" t="s">
        <v>1464</v>
      </c>
      <c r="E415" s="3" t="s">
        <v>1465</v>
      </c>
      <c r="F415" s="1" t="s">
        <v>1462</v>
      </c>
      <c r="G415" s="1" t="s">
        <v>14</v>
      </c>
      <c r="H415" s="1" t="s">
        <v>14</v>
      </c>
      <c r="I415" s="1" t="s">
        <v>14</v>
      </c>
      <c r="J415" s="1" t="s">
        <v>15</v>
      </c>
      <c r="K415" s="2"/>
      <c r="L415" s="5">
        <f>K415*814.27</f>
        <v>0</v>
      </c>
    </row>
    <row r="416" spans="1:12">
      <c r="A416" s="1"/>
      <c r="B416" s="1">
        <v>827367</v>
      </c>
      <c r="C416" s="1" t="s">
        <v>1466</v>
      </c>
      <c r="D416" s="1" t="s">
        <v>1467</v>
      </c>
      <c r="E416" s="3" t="s">
        <v>1468</v>
      </c>
      <c r="F416" s="1" t="s">
        <v>1462</v>
      </c>
      <c r="G416" s="1" t="s">
        <v>14</v>
      </c>
      <c r="H416" s="1" t="s">
        <v>14</v>
      </c>
      <c r="I416" s="1" t="s">
        <v>14</v>
      </c>
      <c r="J416" s="1" t="s">
        <v>15</v>
      </c>
      <c r="K416" s="2"/>
      <c r="L416" s="5">
        <f>K416*814.27</f>
        <v>0</v>
      </c>
    </row>
    <row r="417" spans="1:12">
      <c r="A417" s="1"/>
      <c r="B417" s="1">
        <v>827368</v>
      </c>
      <c r="C417" s="1" t="s">
        <v>1469</v>
      </c>
      <c r="D417" s="1" t="s">
        <v>1470</v>
      </c>
      <c r="E417" s="3" t="s">
        <v>1471</v>
      </c>
      <c r="F417" s="1" t="s">
        <v>1262</v>
      </c>
      <c r="G417" s="1" t="s">
        <v>14</v>
      </c>
      <c r="H417" s="1" t="s">
        <v>14</v>
      </c>
      <c r="I417" s="1" t="s">
        <v>14</v>
      </c>
      <c r="J417" s="1" t="s">
        <v>15</v>
      </c>
      <c r="K417" s="2"/>
      <c r="L417" s="5">
        <f>K417*196.76</f>
        <v>0</v>
      </c>
    </row>
    <row r="418" spans="1:12">
      <c r="A418" s="1"/>
      <c r="B418" s="1">
        <v>827369</v>
      </c>
      <c r="C418" s="1" t="s">
        <v>1472</v>
      </c>
      <c r="D418" s="1" t="s">
        <v>1473</v>
      </c>
      <c r="E418" s="3" t="s">
        <v>1474</v>
      </c>
      <c r="F418" s="1" t="s">
        <v>1475</v>
      </c>
      <c r="G418" s="1" t="s">
        <v>14</v>
      </c>
      <c r="H418" s="1" t="s">
        <v>14</v>
      </c>
      <c r="I418" s="1" t="s">
        <v>14</v>
      </c>
      <c r="J418" s="1" t="s">
        <v>15</v>
      </c>
      <c r="K418" s="2"/>
      <c r="L418" s="5">
        <f>K418*207.35</f>
        <v>0</v>
      </c>
    </row>
    <row r="419" spans="1:12">
      <c r="A419" s="1"/>
      <c r="B419" s="1">
        <v>827370</v>
      </c>
      <c r="C419" s="1" t="s">
        <v>1476</v>
      </c>
      <c r="D419" s="1" t="s">
        <v>1477</v>
      </c>
      <c r="E419" s="3" t="s">
        <v>1478</v>
      </c>
      <c r="F419" s="1" t="s">
        <v>1479</v>
      </c>
      <c r="G419" s="1" t="s">
        <v>14</v>
      </c>
      <c r="H419" s="1" t="s">
        <v>14</v>
      </c>
      <c r="I419" s="1" t="s">
        <v>14</v>
      </c>
      <c r="J419" s="1" t="s">
        <v>15</v>
      </c>
      <c r="K419" s="2"/>
      <c r="L419" s="5">
        <f>K419*281.51</f>
        <v>0</v>
      </c>
    </row>
    <row r="420" spans="1:12">
      <c r="A420" s="1"/>
      <c r="B420" s="1">
        <v>827371</v>
      </c>
      <c r="C420" s="1" t="s">
        <v>1480</v>
      </c>
      <c r="D420" s="1" t="s">
        <v>1481</v>
      </c>
      <c r="E420" s="3" t="s">
        <v>1482</v>
      </c>
      <c r="F420" s="1" t="s">
        <v>1483</v>
      </c>
      <c r="G420" s="1" t="s">
        <v>14</v>
      </c>
      <c r="H420" s="1" t="s">
        <v>14</v>
      </c>
      <c r="I420" s="1" t="s">
        <v>14</v>
      </c>
      <c r="J420" s="1" t="s">
        <v>15</v>
      </c>
      <c r="K420" s="2"/>
      <c r="L420" s="5">
        <f>K420*189.19</f>
        <v>0</v>
      </c>
    </row>
    <row r="421" spans="1:12">
      <c r="A421" s="1"/>
      <c r="B421" s="1">
        <v>827372</v>
      </c>
      <c r="C421" s="1" t="s">
        <v>1484</v>
      </c>
      <c r="D421" s="1" t="s">
        <v>1485</v>
      </c>
      <c r="E421" s="3" t="s">
        <v>1486</v>
      </c>
      <c r="F421" s="1" t="s">
        <v>1266</v>
      </c>
      <c r="G421" s="1" t="s">
        <v>14</v>
      </c>
      <c r="H421" s="1" t="s">
        <v>14</v>
      </c>
      <c r="I421" s="1" t="s">
        <v>14</v>
      </c>
      <c r="J421" s="1" t="s">
        <v>15</v>
      </c>
      <c r="K421" s="2"/>
      <c r="L421" s="5">
        <f>K421*204.32</f>
        <v>0</v>
      </c>
    </row>
    <row r="422" spans="1:12">
      <c r="A422" s="1"/>
      <c r="B422" s="1">
        <v>827373</v>
      </c>
      <c r="C422" s="1" t="s">
        <v>1487</v>
      </c>
      <c r="D422" s="1" t="s">
        <v>1488</v>
      </c>
      <c r="E422" s="3" t="s">
        <v>1489</v>
      </c>
      <c r="F422" s="1" t="s">
        <v>1490</v>
      </c>
      <c r="G422" s="1" t="s">
        <v>14</v>
      </c>
      <c r="H422" s="1" t="s">
        <v>14</v>
      </c>
      <c r="I422" s="1" t="s">
        <v>14</v>
      </c>
      <c r="J422" s="1" t="s">
        <v>15</v>
      </c>
      <c r="K422" s="2"/>
      <c r="L422" s="5">
        <f>K422*255.78</f>
        <v>0</v>
      </c>
    </row>
    <row r="423" spans="1:12">
      <c r="A423" s="1"/>
      <c r="B423" s="1">
        <v>827374</v>
      </c>
      <c r="C423" s="1" t="s">
        <v>1491</v>
      </c>
      <c r="D423" s="1" t="s">
        <v>1492</v>
      </c>
      <c r="E423" s="3" t="s">
        <v>1493</v>
      </c>
      <c r="F423" s="1" t="s">
        <v>1278</v>
      </c>
      <c r="G423" s="1" t="s">
        <v>14</v>
      </c>
      <c r="H423" s="1" t="s">
        <v>14</v>
      </c>
      <c r="I423" s="1" t="s">
        <v>14</v>
      </c>
      <c r="J423" s="1" t="s">
        <v>15</v>
      </c>
      <c r="K423" s="2"/>
      <c r="L423" s="5">
        <f>K423*219.46</f>
        <v>0</v>
      </c>
    </row>
    <row r="424" spans="1:12">
      <c r="A424" s="1"/>
      <c r="B424" s="1">
        <v>827375</v>
      </c>
      <c r="C424" s="1" t="s">
        <v>1494</v>
      </c>
      <c r="D424" s="1" t="s">
        <v>1495</v>
      </c>
      <c r="E424" s="3" t="s">
        <v>1496</v>
      </c>
      <c r="F424" s="1" t="s">
        <v>1278</v>
      </c>
      <c r="G424" s="1" t="s">
        <v>14</v>
      </c>
      <c r="H424" s="1" t="s">
        <v>14</v>
      </c>
      <c r="I424" s="1" t="s">
        <v>14</v>
      </c>
      <c r="J424" s="1" t="s">
        <v>15</v>
      </c>
      <c r="K424" s="2"/>
      <c r="L424" s="5">
        <f>K424*219.46</f>
        <v>0</v>
      </c>
    </row>
    <row r="425" spans="1:12">
      <c r="A425" s="1"/>
      <c r="B425" s="1">
        <v>827376</v>
      </c>
      <c r="C425" s="1" t="s">
        <v>1497</v>
      </c>
      <c r="D425" s="1" t="s">
        <v>1498</v>
      </c>
      <c r="E425" s="3" t="s">
        <v>1499</v>
      </c>
      <c r="F425" s="1" t="s">
        <v>1500</v>
      </c>
      <c r="G425" s="1" t="s">
        <v>14</v>
      </c>
      <c r="H425" s="1" t="s">
        <v>14</v>
      </c>
      <c r="I425" s="1" t="s">
        <v>14</v>
      </c>
      <c r="J425" s="1" t="s">
        <v>15</v>
      </c>
      <c r="K425" s="2"/>
      <c r="L425" s="5">
        <f>K425*148.32</f>
        <v>0</v>
      </c>
    </row>
    <row r="426" spans="1:12">
      <c r="A426" s="1"/>
      <c r="B426" s="1">
        <v>827377</v>
      </c>
      <c r="C426" s="1" t="s">
        <v>1501</v>
      </c>
      <c r="D426" s="1" t="s">
        <v>1502</v>
      </c>
      <c r="E426" s="3" t="s">
        <v>1503</v>
      </c>
      <c r="F426" s="1" t="s">
        <v>1504</v>
      </c>
      <c r="G426" s="1" t="s">
        <v>14</v>
      </c>
      <c r="H426" s="1" t="s">
        <v>14</v>
      </c>
      <c r="I426" s="1" t="s">
        <v>14</v>
      </c>
      <c r="J426" s="1" t="s">
        <v>15</v>
      </c>
      <c r="K426" s="2"/>
      <c r="L426" s="5">
        <f>K426*220.97</f>
        <v>0</v>
      </c>
    </row>
    <row r="427" spans="1:12">
      <c r="A427" s="1"/>
      <c r="B427" s="1">
        <v>827378</v>
      </c>
      <c r="C427" s="1" t="s">
        <v>1505</v>
      </c>
      <c r="D427" s="1" t="s">
        <v>1506</v>
      </c>
      <c r="E427" s="3" t="s">
        <v>1507</v>
      </c>
      <c r="F427" s="1" t="s">
        <v>1508</v>
      </c>
      <c r="G427" s="1" t="s">
        <v>14</v>
      </c>
      <c r="H427" s="1" t="s">
        <v>14</v>
      </c>
      <c r="I427" s="1" t="s">
        <v>14</v>
      </c>
      <c r="J427" s="1" t="s">
        <v>15</v>
      </c>
      <c r="K427" s="2"/>
      <c r="L427" s="5">
        <f>K427*187.68</f>
        <v>0</v>
      </c>
    </row>
    <row r="428" spans="1:12">
      <c r="A428" s="1"/>
      <c r="B428" s="1">
        <v>827379</v>
      </c>
      <c r="C428" s="1" t="s">
        <v>1509</v>
      </c>
      <c r="D428" s="1" t="s">
        <v>1510</v>
      </c>
      <c r="E428" s="3" t="s">
        <v>1511</v>
      </c>
      <c r="F428" s="1" t="s">
        <v>1512</v>
      </c>
      <c r="G428" s="1" t="s">
        <v>14</v>
      </c>
      <c r="H428" s="1" t="s">
        <v>14</v>
      </c>
      <c r="I428" s="1" t="s">
        <v>14</v>
      </c>
      <c r="J428" s="1" t="s">
        <v>15</v>
      </c>
      <c r="K428" s="2"/>
      <c r="L428" s="5">
        <f>K428*157.41</f>
        <v>0</v>
      </c>
    </row>
    <row r="429" spans="1:12">
      <c r="A429" s="1"/>
      <c r="B429" s="1">
        <v>827380</v>
      </c>
      <c r="C429" s="1" t="s">
        <v>1513</v>
      </c>
      <c r="D429" s="1" t="s">
        <v>1514</v>
      </c>
      <c r="E429" s="3" t="s">
        <v>1515</v>
      </c>
      <c r="F429" s="1" t="s">
        <v>1516</v>
      </c>
      <c r="G429" s="1" t="s">
        <v>14</v>
      </c>
      <c r="H429" s="1" t="s">
        <v>14</v>
      </c>
      <c r="I429" s="1" t="s">
        <v>14</v>
      </c>
      <c r="J429" s="1" t="s">
        <v>15</v>
      </c>
      <c r="K429" s="2"/>
      <c r="L429" s="5">
        <f>K429*149.84</f>
        <v>0</v>
      </c>
    </row>
    <row r="430" spans="1:12">
      <c r="A430" s="1"/>
      <c r="B430" s="1">
        <v>827382</v>
      </c>
      <c r="C430" s="1" t="s">
        <v>1517</v>
      </c>
      <c r="D430" s="1" t="s">
        <v>1518</v>
      </c>
      <c r="E430" s="3" t="s">
        <v>1519</v>
      </c>
      <c r="F430" s="1" t="s">
        <v>1520</v>
      </c>
      <c r="G430" s="1" t="s">
        <v>14</v>
      </c>
      <c r="H430" s="1" t="s">
        <v>14</v>
      </c>
      <c r="I430" s="1" t="s">
        <v>14</v>
      </c>
      <c r="J430" s="1" t="s">
        <v>15</v>
      </c>
      <c r="K430" s="2"/>
      <c r="L430" s="5">
        <f>K430*612.97</f>
        <v>0</v>
      </c>
    </row>
    <row r="431" spans="1:12">
      <c r="A431" s="1"/>
      <c r="B431" s="1">
        <v>827383</v>
      </c>
      <c r="C431" s="1" t="s">
        <v>1521</v>
      </c>
      <c r="D431" s="1" t="s">
        <v>1522</v>
      </c>
      <c r="E431" s="3" t="s">
        <v>1523</v>
      </c>
      <c r="F431" s="1" t="s">
        <v>1520</v>
      </c>
      <c r="G431" s="1" t="s">
        <v>14</v>
      </c>
      <c r="H431" s="1" t="s">
        <v>14</v>
      </c>
      <c r="I431" s="1" t="s">
        <v>14</v>
      </c>
      <c r="J431" s="1" t="s">
        <v>15</v>
      </c>
      <c r="K431" s="2"/>
      <c r="L431" s="5">
        <f>K431*612.97</f>
        <v>0</v>
      </c>
    </row>
    <row r="432" spans="1:12">
      <c r="A432" s="1"/>
      <c r="B432" s="1">
        <v>827384</v>
      </c>
      <c r="C432" s="1" t="s">
        <v>1524</v>
      </c>
      <c r="D432" s="1" t="s">
        <v>1525</v>
      </c>
      <c r="E432" s="3" t="s">
        <v>1526</v>
      </c>
      <c r="F432" s="1" t="s">
        <v>1527</v>
      </c>
      <c r="G432" s="1" t="s">
        <v>14</v>
      </c>
      <c r="H432" s="1" t="s">
        <v>14</v>
      </c>
      <c r="I432" s="1" t="s">
        <v>14</v>
      </c>
      <c r="J432" s="1" t="s">
        <v>15</v>
      </c>
      <c r="K432" s="2"/>
      <c r="L432" s="5">
        <f>K432*635.68</f>
        <v>0</v>
      </c>
    </row>
    <row r="433" spans="1:12">
      <c r="A433" s="1"/>
      <c r="B433" s="1">
        <v>827385</v>
      </c>
      <c r="C433" s="1" t="s">
        <v>1528</v>
      </c>
      <c r="D433" s="1" t="s">
        <v>1529</v>
      </c>
      <c r="E433" s="3" t="s">
        <v>1530</v>
      </c>
      <c r="F433" s="1" t="s">
        <v>1531</v>
      </c>
      <c r="G433" s="1" t="s">
        <v>14</v>
      </c>
      <c r="H433" s="1" t="s">
        <v>14</v>
      </c>
      <c r="I433" s="1" t="s">
        <v>14</v>
      </c>
      <c r="J433" s="1" t="s">
        <v>15</v>
      </c>
      <c r="K433" s="2"/>
      <c r="L433" s="5">
        <f>K433*193.73</f>
        <v>0</v>
      </c>
    </row>
    <row r="434" spans="1:12">
      <c r="A434" s="1"/>
      <c r="B434" s="1">
        <v>827386</v>
      </c>
      <c r="C434" s="1" t="s">
        <v>1532</v>
      </c>
      <c r="D434" s="1" t="s">
        <v>1533</v>
      </c>
      <c r="E434" s="3" t="s">
        <v>1534</v>
      </c>
      <c r="F434" s="1" t="s">
        <v>1274</v>
      </c>
      <c r="G434" s="1" t="s">
        <v>14</v>
      </c>
      <c r="H434" s="1" t="s">
        <v>14</v>
      </c>
      <c r="I434" s="1" t="s">
        <v>14</v>
      </c>
      <c r="J434" s="1" t="s">
        <v>15</v>
      </c>
      <c r="K434" s="2"/>
      <c r="L434" s="5">
        <f>K434*227.03</f>
        <v>0</v>
      </c>
    </row>
    <row r="435" spans="1:12">
      <c r="A435" s="1"/>
      <c r="B435" s="1">
        <v>827387</v>
      </c>
      <c r="C435" s="1" t="s">
        <v>1535</v>
      </c>
      <c r="D435" s="1" t="s">
        <v>1536</v>
      </c>
      <c r="E435" s="3" t="s">
        <v>1537</v>
      </c>
      <c r="F435" s="1" t="s">
        <v>1538</v>
      </c>
      <c r="G435" s="1" t="s">
        <v>14</v>
      </c>
      <c r="H435" s="1" t="s">
        <v>14</v>
      </c>
      <c r="I435" s="1" t="s">
        <v>14</v>
      </c>
      <c r="J435" s="1" t="s">
        <v>15</v>
      </c>
      <c r="K435" s="2"/>
      <c r="L435" s="5">
        <f>K435*284.54</f>
        <v>0</v>
      </c>
    </row>
    <row r="436" spans="1:12">
      <c r="A436" s="1"/>
      <c r="B436" s="1">
        <v>827388</v>
      </c>
      <c r="C436" s="1" t="s">
        <v>1539</v>
      </c>
      <c r="D436" s="1" t="s">
        <v>1540</v>
      </c>
      <c r="E436" s="3" t="s">
        <v>1541</v>
      </c>
      <c r="F436" s="1" t="s">
        <v>1542</v>
      </c>
      <c r="G436" s="1" t="s">
        <v>14</v>
      </c>
      <c r="H436" s="1" t="s">
        <v>14</v>
      </c>
      <c r="I436" s="1" t="s">
        <v>14</v>
      </c>
      <c r="J436" s="1" t="s">
        <v>15</v>
      </c>
      <c r="K436" s="2"/>
      <c r="L436" s="5">
        <f>K436*417.73</f>
        <v>0</v>
      </c>
    </row>
    <row r="437" spans="1:12">
      <c r="A437" s="1"/>
      <c r="B437" s="1">
        <v>827389</v>
      </c>
      <c r="C437" s="1" t="s">
        <v>1543</v>
      </c>
      <c r="D437" s="1" t="s">
        <v>1544</v>
      </c>
      <c r="E437" s="3" t="s">
        <v>1545</v>
      </c>
      <c r="F437" s="1" t="s">
        <v>1311</v>
      </c>
      <c r="G437" s="1" t="s">
        <v>14</v>
      </c>
      <c r="H437" s="1" t="s">
        <v>14</v>
      </c>
      <c r="I437" s="1" t="s">
        <v>14</v>
      </c>
      <c r="J437" s="1" t="s">
        <v>15</v>
      </c>
      <c r="K437" s="2"/>
      <c r="L437" s="5">
        <f>K437*478.27</f>
        <v>0</v>
      </c>
    </row>
    <row r="438" spans="1:12">
      <c r="A438" s="1"/>
      <c r="B438" s="1">
        <v>827390</v>
      </c>
      <c r="C438" s="1" t="s">
        <v>1546</v>
      </c>
      <c r="D438" s="1" t="s">
        <v>1547</v>
      </c>
      <c r="E438" s="3" t="s">
        <v>1548</v>
      </c>
      <c r="F438" s="1" t="s">
        <v>1311</v>
      </c>
      <c r="G438" s="1" t="s">
        <v>14</v>
      </c>
      <c r="H438" s="1" t="s">
        <v>14</v>
      </c>
      <c r="I438" s="1" t="s">
        <v>14</v>
      </c>
      <c r="J438" s="1" t="s">
        <v>15</v>
      </c>
      <c r="K438" s="2"/>
      <c r="L438" s="5">
        <f>K438*478.27</f>
        <v>0</v>
      </c>
    </row>
    <row r="439" spans="1:12">
      <c r="A439" s="1"/>
      <c r="B439" s="1">
        <v>827391</v>
      </c>
      <c r="C439" s="1" t="s">
        <v>1549</v>
      </c>
      <c r="D439" s="1" t="s">
        <v>1550</v>
      </c>
      <c r="E439" s="3" t="s">
        <v>1551</v>
      </c>
      <c r="F439" s="1" t="s">
        <v>1319</v>
      </c>
      <c r="G439" s="1" t="s">
        <v>14</v>
      </c>
      <c r="H439" s="1" t="s">
        <v>14</v>
      </c>
      <c r="I439" s="1" t="s">
        <v>14</v>
      </c>
      <c r="J439" s="1" t="s">
        <v>15</v>
      </c>
      <c r="K439" s="2"/>
      <c r="L439" s="5">
        <f>K439*529.73</f>
        <v>0</v>
      </c>
    </row>
    <row r="440" spans="1:12">
      <c r="A440" s="1"/>
      <c r="B440" s="1">
        <v>827392</v>
      </c>
      <c r="C440" s="1" t="s">
        <v>1552</v>
      </c>
      <c r="D440" s="1" t="s">
        <v>1553</v>
      </c>
      <c r="E440" s="3" t="s">
        <v>1554</v>
      </c>
      <c r="F440" s="1" t="s">
        <v>1392</v>
      </c>
      <c r="G440" s="1" t="s">
        <v>14</v>
      </c>
      <c r="H440" s="1" t="s">
        <v>14</v>
      </c>
      <c r="I440" s="1" t="s">
        <v>14</v>
      </c>
      <c r="J440" s="1" t="s">
        <v>15</v>
      </c>
      <c r="K440" s="2"/>
      <c r="L440" s="5">
        <f>K440*426.81</f>
        <v>0</v>
      </c>
    </row>
    <row r="441" spans="1:12">
      <c r="A441" s="1"/>
      <c r="B441" s="1">
        <v>827393</v>
      </c>
      <c r="C441" s="1" t="s">
        <v>1555</v>
      </c>
      <c r="D441" s="1" t="s">
        <v>1556</v>
      </c>
      <c r="E441" s="3" t="s">
        <v>1557</v>
      </c>
      <c r="F441" s="1" t="s">
        <v>1558</v>
      </c>
      <c r="G441" s="1" t="s">
        <v>14</v>
      </c>
      <c r="H441" s="1" t="s">
        <v>14</v>
      </c>
      <c r="I441" s="1" t="s">
        <v>14</v>
      </c>
      <c r="J441" s="1" t="s">
        <v>15</v>
      </c>
      <c r="K441" s="2"/>
      <c r="L441" s="5">
        <f>K441*488.86</f>
        <v>0</v>
      </c>
    </row>
    <row r="442" spans="1:12">
      <c r="A442" s="1"/>
      <c r="B442" s="1">
        <v>827394</v>
      </c>
      <c r="C442" s="1" t="s">
        <v>1559</v>
      </c>
      <c r="D442" s="1" t="s">
        <v>1560</v>
      </c>
      <c r="E442" s="3" t="s">
        <v>1561</v>
      </c>
      <c r="F442" s="1" t="s">
        <v>1562</v>
      </c>
      <c r="G442" s="1" t="s">
        <v>14</v>
      </c>
      <c r="H442" s="1" t="s">
        <v>14</v>
      </c>
      <c r="I442" s="1" t="s">
        <v>14</v>
      </c>
      <c r="J442" s="1" t="s">
        <v>15</v>
      </c>
      <c r="K442" s="2"/>
      <c r="L442" s="5">
        <f>K442*508.54</f>
        <v>0</v>
      </c>
    </row>
    <row r="443" spans="1:12">
      <c r="A443" s="1"/>
      <c r="B443" s="1">
        <v>827395</v>
      </c>
      <c r="C443" s="1" t="s">
        <v>1563</v>
      </c>
      <c r="D443" s="1" t="s">
        <v>1564</v>
      </c>
      <c r="E443" s="3" t="s">
        <v>1565</v>
      </c>
      <c r="F443" s="1" t="s">
        <v>1319</v>
      </c>
      <c r="G443" s="1" t="s">
        <v>14</v>
      </c>
      <c r="H443" s="1" t="s">
        <v>14</v>
      </c>
      <c r="I443" s="1" t="s">
        <v>14</v>
      </c>
      <c r="J443" s="1" t="s">
        <v>15</v>
      </c>
      <c r="K443" s="2"/>
      <c r="L443" s="5">
        <f>K443*529.73</f>
        <v>0</v>
      </c>
    </row>
    <row r="444" spans="1:12">
      <c r="A444" s="1"/>
      <c r="B444" s="1">
        <v>827396</v>
      </c>
      <c r="C444" s="1" t="s">
        <v>1566</v>
      </c>
      <c r="D444" s="1" t="s">
        <v>1567</v>
      </c>
      <c r="E444" s="3" t="s">
        <v>1568</v>
      </c>
      <c r="F444" s="1" t="s">
        <v>1569</v>
      </c>
      <c r="G444" s="1" t="s">
        <v>14</v>
      </c>
      <c r="H444" s="1" t="s">
        <v>14</v>
      </c>
      <c r="I444" s="1" t="s">
        <v>14</v>
      </c>
      <c r="J444" s="1" t="s">
        <v>15</v>
      </c>
      <c r="K444" s="2"/>
      <c r="L444" s="5">
        <f>K444*599.35</f>
        <v>0</v>
      </c>
    </row>
    <row r="445" spans="1:12">
      <c r="A445" s="1"/>
      <c r="B445" s="1">
        <v>827397</v>
      </c>
      <c r="C445" s="1" t="s">
        <v>1570</v>
      </c>
      <c r="D445" s="1" t="s">
        <v>1571</v>
      </c>
      <c r="E445" s="3" t="s">
        <v>1572</v>
      </c>
      <c r="F445" s="1" t="s">
        <v>1462</v>
      </c>
      <c r="G445" s="1" t="s">
        <v>14</v>
      </c>
      <c r="H445" s="1" t="s">
        <v>14</v>
      </c>
      <c r="I445" s="1" t="s">
        <v>14</v>
      </c>
      <c r="J445" s="1" t="s">
        <v>15</v>
      </c>
      <c r="K445" s="2"/>
      <c r="L445" s="5">
        <f>K445*814.27</f>
        <v>0</v>
      </c>
    </row>
    <row r="446" spans="1:12">
      <c r="A446" s="1"/>
      <c r="B446" s="1">
        <v>827398</v>
      </c>
      <c r="C446" s="1" t="s">
        <v>1573</v>
      </c>
      <c r="D446" s="1" t="s">
        <v>1574</v>
      </c>
      <c r="E446" s="3" t="s">
        <v>1575</v>
      </c>
      <c r="F446" s="1" t="s">
        <v>1576</v>
      </c>
      <c r="G446" s="1" t="s">
        <v>14</v>
      </c>
      <c r="H446" s="1" t="s">
        <v>14</v>
      </c>
      <c r="I446" s="1" t="s">
        <v>14</v>
      </c>
      <c r="J446" s="1" t="s">
        <v>15</v>
      </c>
      <c r="K446" s="2"/>
      <c r="L446" s="5">
        <f>K446*413.19</f>
        <v>0</v>
      </c>
    </row>
    <row r="447" spans="1:12">
      <c r="A447" s="1"/>
      <c r="B447" s="1">
        <v>827399</v>
      </c>
      <c r="C447" s="1" t="s">
        <v>1577</v>
      </c>
      <c r="D447" s="1" t="s">
        <v>1578</v>
      </c>
      <c r="E447" s="3" t="s">
        <v>1579</v>
      </c>
      <c r="F447" s="1" t="s">
        <v>1580</v>
      </c>
      <c r="G447" s="1" t="s">
        <v>14</v>
      </c>
      <c r="H447" s="1" t="s">
        <v>14</v>
      </c>
      <c r="I447" s="1" t="s">
        <v>14</v>
      </c>
      <c r="J447" s="1" t="s">
        <v>15</v>
      </c>
      <c r="K447" s="2"/>
      <c r="L447" s="5">
        <f>K447*522.16</f>
        <v>0</v>
      </c>
    </row>
    <row r="448" spans="1:12">
      <c r="A448" s="1"/>
      <c r="B448" s="1">
        <v>827400</v>
      </c>
      <c r="C448" s="1" t="s">
        <v>1581</v>
      </c>
      <c r="D448" s="1" t="s">
        <v>1582</v>
      </c>
      <c r="E448" s="3" t="s">
        <v>1583</v>
      </c>
      <c r="F448" s="1" t="s">
        <v>1584</v>
      </c>
      <c r="G448" s="1" t="s">
        <v>14</v>
      </c>
      <c r="H448" s="1" t="s">
        <v>14</v>
      </c>
      <c r="I448" s="1" t="s">
        <v>14</v>
      </c>
      <c r="J448" s="1" t="s">
        <v>15</v>
      </c>
      <c r="K448" s="2"/>
      <c r="L448" s="5">
        <f>K448*443.46</f>
        <v>0</v>
      </c>
    </row>
    <row r="449" spans="1:12">
      <c r="A449" s="1"/>
      <c r="B449" s="1">
        <v>827401</v>
      </c>
      <c r="C449" s="1" t="s">
        <v>1585</v>
      </c>
      <c r="D449" s="1" t="s">
        <v>1586</v>
      </c>
      <c r="E449" s="3" t="s">
        <v>1587</v>
      </c>
      <c r="F449" s="1" t="s">
        <v>1588</v>
      </c>
      <c r="G449" s="1" t="s">
        <v>14</v>
      </c>
      <c r="H449" s="1" t="s">
        <v>14</v>
      </c>
      <c r="I449" s="1" t="s">
        <v>14</v>
      </c>
      <c r="J449" s="1" t="s">
        <v>15</v>
      </c>
      <c r="K449" s="2"/>
      <c r="L449" s="5">
        <f>K449*60.54</f>
        <v>0</v>
      </c>
    </row>
    <row r="450" spans="1:12">
      <c r="A450" s="1"/>
      <c r="B450" s="1">
        <v>827402</v>
      </c>
      <c r="C450" s="1" t="s">
        <v>1589</v>
      </c>
      <c r="D450" s="1" t="s">
        <v>1590</v>
      </c>
      <c r="E450" s="3" t="s">
        <v>1591</v>
      </c>
      <c r="F450" s="1" t="s">
        <v>1592</v>
      </c>
      <c r="G450" s="1" t="s">
        <v>14</v>
      </c>
      <c r="H450" s="1" t="s">
        <v>14</v>
      </c>
      <c r="I450" s="1" t="s">
        <v>14</v>
      </c>
      <c r="J450" s="1" t="s">
        <v>15</v>
      </c>
      <c r="K450" s="2"/>
      <c r="L450" s="5">
        <f>K450*56.00</f>
        <v>0</v>
      </c>
    </row>
    <row r="451" spans="1:12">
      <c r="A451" s="1"/>
      <c r="B451" s="1">
        <v>827403</v>
      </c>
      <c r="C451" s="1" t="s">
        <v>1593</v>
      </c>
      <c r="D451" s="1" t="s">
        <v>1594</v>
      </c>
      <c r="E451" s="3" t="s">
        <v>1595</v>
      </c>
      <c r="F451" s="1" t="s">
        <v>1596</v>
      </c>
      <c r="G451" s="1" t="s">
        <v>14</v>
      </c>
      <c r="H451" s="1" t="s">
        <v>14</v>
      </c>
      <c r="I451" s="1" t="s">
        <v>14</v>
      </c>
      <c r="J451" s="1" t="s">
        <v>15</v>
      </c>
      <c r="K451" s="2"/>
      <c r="L451" s="5">
        <f>K451*101.41</f>
        <v>0</v>
      </c>
    </row>
    <row r="452" spans="1:12">
      <c r="A452" s="1"/>
      <c r="B452" s="1">
        <v>827404</v>
      </c>
      <c r="C452" s="1" t="s">
        <v>1597</v>
      </c>
      <c r="D452" s="1" t="s">
        <v>1598</v>
      </c>
      <c r="E452" s="3" t="s">
        <v>1599</v>
      </c>
      <c r="F452" s="1" t="s">
        <v>1600</v>
      </c>
      <c r="G452" s="1" t="s">
        <v>14</v>
      </c>
      <c r="H452" s="1" t="s">
        <v>14</v>
      </c>
      <c r="I452" s="1" t="s">
        <v>14</v>
      </c>
      <c r="J452" s="1" t="s">
        <v>15</v>
      </c>
      <c r="K452" s="2"/>
      <c r="L452" s="5">
        <f>K452*705.30</f>
        <v>0</v>
      </c>
    </row>
    <row r="453" spans="1:12">
      <c r="A453" s="1"/>
      <c r="B453" s="1">
        <v>827405</v>
      </c>
      <c r="C453" s="1" t="s">
        <v>1601</v>
      </c>
      <c r="D453" s="1" t="s">
        <v>1602</v>
      </c>
      <c r="E453" s="3" t="s">
        <v>1603</v>
      </c>
      <c r="F453" s="1" t="s">
        <v>1604</v>
      </c>
      <c r="G453" s="1" t="s">
        <v>14</v>
      </c>
      <c r="H453" s="1" t="s">
        <v>14</v>
      </c>
      <c r="I453" s="1" t="s">
        <v>14</v>
      </c>
      <c r="J453" s="1" t="s">
        <v>15</v>
      </c>
      <c r="K453" s="2"/>
      <c r="L453" s="5">
        <f>K453*52.97</f>
        <v>0</v>
      </c>
    </row>
    <row r="454" spans="1:12">
      <c r="A454" s="1"/>
      <c r="B454" s="1">
        <v>827406</v>
      </c>
      <c r="C454" s="1" t="s">
        <v>1605</v>
      </c>
      <c r="D454" s="1" t="s">
        <v>1606</v>
      </c>
      <c r="E454" s="3" t="s">
        <v>1607</v>
      </c>
      <c r="F454" s="1" t="s">
        <v>1608</v>
      </c>
      <c r="G454" s="1" t="s">
        <v>14</v>
      </c>
      <c r="H454" s="1" t="s">
        <v>14</v>
      </c>
      <c r="I454" s="1" t="s">
        <v>14</v>
      </c>
      <c r="J454" s="1" t="s">
        <v>15</v>
      </c>
      <c r="K454" s="2"/>
      <c r="L454" s="5">
        <f>K454*40.86</f>
        <v>0</v>
      </c>
    </row>
    <row r="455" spans="1:12">
      <c r="A455" s="1"/>
      <c r="B455" s="1">
        <v>827407</v>
      </c>
      <c r="C455" s="1" t="s">
        <v>1609</v>
      </c>
      <c r="D455" s="1" t="s">
        <v>1610</v>
      </c>
      <c r="E455" s="3" t="s">
        <v>1611</v>
      </c>
      <c r="F455" s="1" t="s">
        <v>1612</v>
      </c>
      <c r="G455" s="1" t="s">
        <v>14</v>
      </c>
      <c r="H455" s="1" t="s">
        <v>14</v>
      </c>
      <c r="I455" s="1" t="s">
        <v>14</v>
      </c>
      <c r="J455" s="1" t="s">
        <v>15</v>
      </c>
      <c r="K455" s="2"/>
      <c r="L455" s="5">
        <f>K455*379.89</f>
        <v>0</v>
      </c>
    </row>
    <row r="456" spans="1:12">
      <c r="A456" s="1"/>
      <c r="B456" s="1">
        <v>827408</v>
      </c>
      <c r="C456" s="1" t="s">
        <v>1613</v>
      </c>
      <c r="D456" s="1" t="s">
        <v>1614</v>
      </c>
      <c r="E456" s="3" t="s">
        <v>1615</v>
      </c>
      <c r="F456" s="1" t="s">
        <v>1327</v>
      </c>
      <c r="G456" s="1" t="s">
        <v>14</v>
      </c>
      <c r="H456" s="1" t="s">
        <v>14</v>
      </c>
      <c r="I456" s="1" t="s">
        <v>14</v>
      </c>
      <c r="J456" s="1" t="s">
        <v>15</v>
      </c>
      <c r="K456" s="2"/>
      <c r="L456" s="5">
        <f>K456*570.59</f>
        <v>0</v>
      </c>
    </row>
    <row r="457" spans="1:12">
      <c r="A457" s="1"/>
      <c r="B457" s="1">
        <v>827409</v>
      </c>
      <c r="C457" s="1" t="s">
        <v>1616</v>
      </c>
      <c r="D457" s="1" t="s">
        <v>1617</v>
      </c>
      <c r="E457" s="3" t="s">
        <v>1618</v>
      </c>
      <c r="F457" s="1" t="s">
        <v>1619</v>
      </c>
      <c r="G457" s="1" t="s">
        <v>14</v>
      </c>
      <c r="H457" s="1" t="s">
        <v>14</v>
      </c>
      <c r="I457" s="1" t="s">
        <v>14</v>
      </c>
      <c r="J457" s="1" t="s">
        <v>15</v>
      </c>
      <c r="K457" s="2"/>
      <c r="L457" s="5">
        <f>K457*46.92</f>
        <v>0</v>
      </c>
    </row>
    <row r="458" spans="1:12">
      <c r="A458" s="1"/>
      <c r="B458" s="1">
        <v>827410</v>
      </c>
      <c r="C458" s="1" t="s">
        <v>1620</v>
      </c>
      <c r="D458" s="1" t="s">
        <v>1621</v>
      </c>
      <c r="E458" s="3" t="s">
        <v>1622</v>
      </c>
      <c r="F458" s="1" t="s">
        <v>1619</v>
      </c>
      <c r="G458" s="1" t="s">
        <v>14</v>
      </c>
      <c r="H458" s="1" t="s">
        <v>14</v>
      </c>
      <c r="I458" s="1" t="s">
        <v>14</v>
      </c>
      <c r="J458" s="1" t="s">
        <v>15</v>
      </c>
      <c r="K458" s="2"/>
      <c r="L458" s="5">
        <f>K458*46.92</f>
        <v>0</v>
      </c>
    </row>
    <row r="459" spans="1:12">
      <c r="A459" s="1"/>
      <c r="B459" s="1">
        <v>827411</v>
      </c>
      <c r="C459" s="1" t="s">
        <v>1623</v>
      </c>
      <c r="D459" s="1" t="s">
        <v>1624</v>
      </c>
      <c r="E459" s="3" t="s">
        <v>1625</v>
      </c>
      <c r="F459" s="1" t="s">
        <v>1626</v>
      </c>
      <c r="G459" s="1" t="s">
        <v>14</v>
      </c>
      <c r="H459" s="1" t="s">
        <v>14</v>
      </c>
      <c r="I459" s="1" t="s">
        <v>14</v>
      </c>
      <c r="J459" s="1" t="s">
        <v>15</v>
      </c>
      <c r="K459" s="2"/>
      <c r="L459" s="5">
        <f>K459*384.43</f>
        <v>0</v>
      </c>
    </row>
    <row r="460" spans="1:12">
      <c r="A460" s="1"/>
      <c r="B460" s="1">
        <v>827412</v>
      </c>
      <c r="C460" s="1" t="s">
        <v>1627</v>
      </c>
      <c r="D460" s="1" t="s">
        <v>1628</v>
      </c>
      <c r="E460" s="3" t="s">
        <v>1629</v>
      </c>
      <c r="F460" s="1" t="s">
        <v>1542</v>
      </c>
      <c r="G460" s="1" t="s">
        <v>14</v>
      </c>
      <c r="H460" s="1" t="s">
        <v>14</v>
      </c>
      <c r="I460" s="1" t="s">
        <v>14</v>
      </c>
      <c r="J460" s="1" t="s">
        <v>15</v>
      </c>
      <c r="K460" s="2"/>
      <c r="L460" s="5">
        <f>K460*417.73</f>
        <v>0</v>
      </c>
    </row>
    <row r="461" spans="1:12">
      <c r="A461" s="1"/>
      <c r="B461" s="1">
        <v>827413</v>
      </c>
      <c r="C461" s="1" t="s">
        <v>1630</v>
      </c>
      <c r="D461" s="1" t="s">
        <v>1631</v>
      </c>
      <c r="E461" s="3" t="s">
        <v>1632</v>
      </c>
      <c r="F461" s="1" t="s">
        <v>1633</v>
      </c>
      <c r="G461" s="1" t="s">
        <v>14</v>
      </c>
      <c r="H461" s="1" t="s">
        <v>14</v>
      </c>
      <c r="I461" s="1" t="s">
        <v>14</v>
      </c>
      <c r="J461" s="1" t="s">
        <v>15</v>
      </c>
      <c r="K461" s="2"/>
      <c r="L461" s="5">
        <f>K461*134.70</f>
        <v>0</v>
      </c>
    </row>
    <row r="462" spans="1:12">
      <c r="A462" s="1"/>
      <c r="B462" s="1">
        <v>827414</v>
      </c>
      <c r="C462" s="1" t="s">
        <v>1634</v>
      </c>
      <c r="D462" s="1" t="s">
        <v>1635</v>
      </c>
      <c r="E462" s="3" t="s">
        <v>1636</v>
      </c>
      <c r="F462" s="1" t="s">
        <v>1531</v>
      </c>
      <c r="G462" s="1" t="s">
        <v>14</v>
      </c>
      <c r="H462" s="1" t="s">
        <v>14</v>
      </c>
      <c r="I462" s="1" t="s">
        <v>14</v>
      </c>
      <c r="J462" s="1" t="s">
        <v>15</v>
      </c>
      <c r="K462" s="2"/>
      <c r="L462" s="5">
        <f>K462*193.73</f>
        <v>0</v>
      </c>
    </row>
    <row r="463" spans="1:12">
      <c r="A463" s="1"/>
      <c r="B463" s="1">
        <v>834130</v>
      </c>
      <c r="C463" s="1" t="s">
        <v>1637</v>
      </c>
      <c r="D463" s="1" t="s">
        <v>1638</v>
      </c>
      <c r="E463" s="3" t="s">
        <v>1639</v>
      </c>
      <c r="F463" s="1" t="s">
        <v>1640</v>
      </c>
      <c r="G463" s="1" t="s">
        <v>14</v>
      </c>
      <c r="H463" s="1" t="s">
        <v>14</v>
      </c>
      <c r="I463" s="1" t="s">
        <v>14</v>
      </c>
      <c r="J463" s="1" t="s">
        <v>15</v>
      </c>
      <c r="K463" s="2"/>
      <c r="L463" s="5">
        <f>K463*113.51</f>
        <v>0</v>
      </c>
    </row>
    <row r="464" spans="1:12">
      <c r="A464" s="1"/>
      <c r="B464" s="1">
        <v>834131</v>
      </c>
      <c r="C464" s="1" t="s">
        <v>1641</v>
      </c>
      <c r="D464" s="1" t="s">
        <v>1642</v>
      </c>
      <c r="E464" s="3" t="s">
        <v>1643</v>
      </c>
      <c r="F464" s="1" t="s">
        <v>1640</v>
      </c>
      <c r="G464" s="1" t="s">
        <v>14</v>
      </c>
      <c r="H464" s="1" t="s">
        <v>14</v>
      </c>
      <c r="I464" s="1" t="s">
        <v>14</v>
      </c>
      <c r="J464" s="1" t="s">
        <v>15</v>
      </c>
      <c r="K464" s="2"/>
      <c r="L464" s="5">
        <f>K464*113.51</f>
        <v>0</v>
      </c>
    </row>
    <row r="465" spans="1:12">
      <c r="A465" s="1"/>
      <c r="B465" s="1">
        <v>834132</v>
      </c>
      <c r="C465" s="1" t="s">
        <v>1644</v>
      </c>
      <c r="D465" s="1" t="s">
        <v>1645</v>
      </c>
      <c r="E465" s="3" t="s">
        <v>1646</v>
      </c>
      <c r="F465" s="1" t="s">
        <v>1647</v>
      </c>
      <c r="G465" s="1" t="s">
        <v>14</v>
      </c>
      <c r="H465" s="1" t="s">
        <v>14</v>
      </c>
      <c r="I465" s="1" t="s">
        <v>14</v>
      </c>
      <c r="J465" s="1" t="s">
        <v>15</v>
      </c>
      <c r="K465" s="2"/>
      <c r="L465" s="5">
        <f>K465*393.51</f>
        <v>0</v>
      </c>
    </row>
    <row r="466" spans="1:12">
      <c r="A466" s="1"/>
      <c r="B466" s="1">
        <v>834133</v>
      </c>
      <c r="C466" s="1" t="s">
        <v>1648</v>
      </c>
      <c r="D466" s="1" t="s">
        <v>1649</v>
      </c>
      <c r="E466" s="3" t="s">
        <v>1650</v>
      </c>
      <c r="F466" s="1" t="s">
        <v>1651</v>
      </c>
      <c r="G466" s="1" t="s">
        <v>14</v>
      </c>
      <c r="H466" s="1" t="s">
        <v>14</v>
      </c>
      <c r="I466" s="1" t="s">
        <v>14</v>
      </c>
      <c r="J466" s="1" t="s">
        <v>15</v>
      </c>
      <c r="K466" s="2"/>
      <c r="L466" s="5">
        <f>K466*393.56</f>
        <v>0</v>
      </c>
    </row>
    <row r="467" spans="1:12">
      <c r="A467" s="1"/>
      <c r="B467" s="1">
        <v>834134</v>
      </c>
      <c r="C467" s="1" t="s">
        <v>1652</v>
      </c>
      <c r="D467" s="1" t="s">
        <v>1653</v>
      </c>
      <c r="E467" s="3" t="s">
        <v>1654</v>
      </c>
      <c r="F467" s="1" t="s">
        <v>1651</v>
      </c>
      <c r="G467" s="1" t="s">
        <v>14</v>
      </c>
      <c r="H467" s="1" t="s">
        <v>14</v>
      </c>
      <c r="I467" s="1" t="s">
        <v>14</v>
      </c>
      <c r="J467" s="1" t="s">
        <v>15</v>
      </c>
      <c r="K467" s="2"/>
      <c r="L467" s="5">
        <f>K467*393.56</f>
        <v>0</v>
      </c>
    </row>
    <row r="468" spans="1:12">
      <c r="A468" s="1"/>
      <c r="B468" s="1">
        <v>834135</v>
      </c>
      <c r="C468" s="1" t="s">
        <v>1655</v>
      </c>
      <c r="D468" s="1" t="s">
        <v>1656</v>
      </c>
      <c r="E468" s="3" t="s">
        <v>1657</v>
      </c>
      <c r="F468" s="1" t="s">
        <v>439</v>
      </c>
      <c r="G468" s="1" t="s">
        <v>14</v>
      </c>
      <c r="H468" s="1" t="s">
        <v>14</v>
      </c>
      <c r="I468" s="1" t="s">
        <v>14</v>
      </c>
      <c r="J468" s="1" t="s">
        <v>1658</v>
      </c>
      <c r="K468" s="2"/>
      <c r="L468" s="5">
        <f>K468*0.00</f>
        <v>0</v>
      </c>
    </row>
    <row r="469" spans="1:12">
      <c r="A469" s="1"/>
      <c r="B469" s="1">
        <v>834136</v>
      </c>
      <c r="C469" s="1" t="s">
        <v>1659</v>
      </c>
      <c r="D469" s="1" t="s">
        <v>1660</v>
      </c>
      <c r="E469" s="3" t="s">
        <v>1661</v>
      </c>
      <c r="F469" s="1" t="s">
        <v>1662</v>
      </c>
      <c r="G469" s="1" t="s">
        <v>14</v>
      </c>
      <c r="H469" s="1" t="s">
        <v>14</v>
      </c>
      <c r="I469" s="1" t="s">
        <v>14</v>
      </c>
      <c r="J469" s="1" t="s">
        <v>15</v>
      </c>
      <c r="K469" s="2"/>
      <c r="L469" s="5">
        <f>K469*357.92</f>
        <v>0</v>
      </c>
    </row>
    <row r="470" spans="1:12">
      <c r="A470" s="1"/>
      <c r="B470" s="1">
        <v>834137</v>
      </c>
      <c r="C470" s="1" t="s">
        <v>1663</v>
      </c>
      <c r="D470" s="1" t="s">
        <v>1664</v>
      </c>
      <c r="E470" s="3" t="s">
        <v>1665</v>
      </c>
      <c r="F470" s="1" t="s">
        <v>439</v>
      </c>
      <c r="G470" s="1" t="s">
        <v>14</v>
      </c>
      <c r="H470" s="1" t="s">
        <v>14</v>
      </c>
      <c r="I470" s="1" t="s">
        <v>14</v>
      </c>
      <c r="J470" s="1" t="s">
        <v>15</v>
      </c>
      <c r="K470" s="2"/>
      <c r="L470" s="5">
        <f>K470*0.00</f>
        <v>0</v>
      </c>
    </row>
    <row r="471" spans="1:12">
      <c r="A471" s="1"/>
      <c r="B471" s="1">
        <v>834138</v>
      </c>
      <c r="C471" s="1" t="s">
        <v>1666</v>
      </c>
      <c r="D471" s="1" t="s">
        <v>1667</v>
      </c>
      <c r="E471" s="3" t="s">
        <v>1668</v>
      </c>
      <c r="F471" s="1" t="s">
        <v>1345</v>
      </c>
      <c r="G471" s="1" t="s">
        <v>14</v>
      </c>
      <c r="H471" s="1" t="s">
        <v>14</v>
      </c>
      <c r="I471" s="1" t="s">
        <v>14</v>
      </c>
      <c r="J471" s="1" t="s">
        <v>15</v>
      </c>
      <c r="K471" s="2"/>
      <c r="L471" s="5">
        <f>K471*198.27</f>
        <v>0</v>
      </c>
    </row>
    <row r="472" spans="1:12">
      <c r="A472" s="1"/>
      <c r="B472" s="1">
        <v>834139</v>
      </c>
      <c r="C472" s="1" t="s">
        <v>1669</v>
      </c>
      <c r="D472" s="1" t="s">
        <v>1670</v>
      </c>
      <c r="E472" s="3" t="s">
        <v>1671</v>
      </c>
      <c r="F472" s="1" t="s">
        <v>1672</v>
      </c>
      <c r="G472" s="1" t="s">
        <v>14</v>
      </c>
      <c r="H472" s="1" t="s">
        <v>14</v>
      </c>
      <c r="I472" s="1" t="s">
        <v>14</v>
      </c>
      <c r="J472" s="1" t="s">
        <v>15</v>
      </c>
      <c r="K472" s="2"/>
      <c r="L472" s="5">
        <f>K472*108.97</f>
        <v>0</v>
      </c>
    </row>
    <row r="473" spans="1:12">
      <c r="A473" s="1"/>
      <c r="B473" s="1">
        <v>834140</v>
      </c>
      <c r="C473" s="1" t="s">
        <v>1673</v>
      </c>
      <c r="D473" s="1" t="s">
        <v>1674</v>
      </c>
      <c r="E473" s="3" t="s">
        <v>1675</v>
      </c>
      <c r="F473" s="1" t="s">
        <v>1516</v>
      </c>
      <c r="G473" s="1" t="s">
        <v>14</v>
      </c>
      <c r="H473" s="1" t="s">
        <v>14</v>
      </c>
      <c r="I473" s="1" t="s">
        <v>14</v>
      </c>
      <c r="J473" s="1" t="s">
        <v>15</v>
      </c>
      <c r="K473" s="2"/>
      <c r="L473" s="5">
        <f>K473*149.84</f>
        <v>0</v>
      </c>
    </row>
    <row r="474" spans="1:12">
      <c r="A474" s="1"/>
      <c r="B474" s="1">
        <v>834141</v>
      </c>
      <c r="C474" s="1" t="s">
        <v>1676</v>
      </c>
      <c r="D474" s="1" t="s">
        <v>1677</v>
      </c>
      <c r="E474" s="3" t="s">
        <v>1678</v>
      </c>
      <c r="F474" s="1" t="s">
        <v>1679</v>
      </c>
      <c r="G474" s="1" t="s">
        <v>14</v>
      </c>
      <c r="H474" s="1" t="s">
        <v>14</v>
      </c>
      <c r="I474" s="1" t="s">
        <v>14</v>
      </c>
      <c r="J474" s="1" t="s">
        <v>15</v>
      </c>
      <c r="K474" s="2"/>
      <c r="L474" s="5">
        <f>K474*177.08</f>
        <v>0</v>
      </c>
    </row>
    <row r="475" spans="1:12">
      <c r="A475" s="1"/>
      <c r="B475" s="1">
        <v>834142</v>
      </c>
      <c r="C475" s="1" t="s">
        <v>1680</v>
      </c>
      <c r="D475" s="1" t="s">
        <v>1681</v>
      </c>
      <c r="E475" s="3" t="s">
        <v>1682</v>
      </c>
      <c r="F475" s="1" t="s">
        <v>1683</v>
      </c>
      <c r="G475" s="1" t="s">
        <v>14</v>
      </c>
      <c r="H475" s="1" t="s">
        <v>14</v>
      </c>
      <c r="I475" s="1" t="s">
        <v>14</v>
      </c>
      <c r="J475" s="1" t="s">
        <v>15</v>
      </c>
      <c r="K475" s="2"/>
      <c r="L475" s="5">
        <f>K475*211.89</f>
        <v>0</v>
      </c>
    </row>
    <row r="476" spans="1:12">
      <c r="A476" s="1"/>
      <c r="B476" s="1">
        <v>834143</v>
      </c>
      <c r="C476" s="1" t="s">
        <v>1684</v>
      </c>
      <c r="D476" s="1" t="s">
        <v>1685</v>
      </c>
      <c r="E476" s="3" t="s">
        <v>1686</v>
      </c>
      <c r="F476" s="1" t="s">
        <v>1687</v>
      </c>
      <c r="G476" s="1" t="s">
        <v>14</v>
      </c>
      <c r="H476" s="1" t="s">
        <v>14</v>
      </c>
      <c r="I476" s="1" t="s">
        <v>14</v>
      </c>
      <c r="J476" s="1" t="s">
        <v>15</v>
      </c>
      <c r="K476" s="2"/>
      <c r="L476" s="5">
        <f>K476*151.35</f>
        <v>0</v>
      </c>
    </row>
    <row r="477" spans="1:12">
      <c r="A477" s="1"/>
      <c r="B477" s="1">
        <v>827950</v>
      </c>
      <c r="C477" s="1" t="s">
        <v>1688</v>
      </c>
      <c r="D477" s="1" t="s">
        <v>1689</v>
      </c>
      <c r="E477" s="3" t="s">
        <v>1690</v>
      </c>
      <c r="F477" s="1" t="s">
        <v>1691</v>
      </c>
      <c r="G477" s="1" t="s">
        <v>14</v>
      </c>
      <c r="H477" s="1" t="s">
        <v>14</v>
      </c>
      <c r="I477" s="1" t="s">
        <v>14</v>
      </c>
      <c r="J477" s="1" t="s">
        <v>15</v>
      </c>
      <c r="K477" s="2"/>
      <c r="L477" s="5">
        <f>K477*646.27</f>
        <v>0</v>
      </c>
    </row>
    <row r="478" spans="1:12">
      <c r="A478" s="1"/>
      <c r="B478" s="1">
        <v>827951</v>
      </c>
      <c r="C478" s="1" t="s">
        <v>1692</v>
      </c>
      <c r="D478" s="1" t="s">
        <v>1693</v>
      </c>
      <c r="E478" s="3" t="s">
        <v>1694</v>
      </c>
      <c r="F478" s="1" t="s">
        <v>1695</v>
      </c>
      <c r="G478" s="1" t="s">
        <v>14</v>
      </c>
      <c r="H478" s="1" t="s">
        <v>14</v>
      </c>
      <c r="I478" s="1" t="s">
        <v>14</v>
      </c>
      <c r="J478" s="1" t="s">
        <v>15</v>
      </c>
      <c r="K478" s="2"/>
      <c r="L478" s="5">
        <f>K478*127.14</f>
        <v>0</v>
      </c>
    </row>
    <row r="479" spans="1:12">
      <c r="A479" s="1"/>
      <c r="B479" s="1">
        <v>834144</v>
      </c>
      <c r="C479" s="1" t="s">
        <v>1696</v>
      </c>
      <c r="D479" s="1" t="s">
        <v>1697</v>
      </c>
      <c r="E479" s="3" t="s">
        <v>1698</v>
      </c>
      <c r="F479" s="1" t="s">
        <v>1699</v>
      </c>
      <c r="G479" s="1" t="s">
        <v>14</v>
      </c>
      <c r="H479" s="1" t="s">
        <v>14</v>
      </c>
      <c r="I479" s="1" t="s">
        <v>14</v>
      </c>
      <c r="J479" s="1" t="s">
        <v>15</v>
      </c>
      <c r="K479" s="2"/>
      <c r="L479" s="5">
        <f>K479*581.19</f>
        <v>0</v>
      </c>
    </row>
    <row r="480" spans="1:12">
      <c r="A480" s="1"/>
      <c r="B480" s="1">
        <v>831018</v>
      </c>
      <c r="C480" s="1" t="s">
        <v>1700</v>
      </c>
      <c r="D480" s="1" t="s">
        <v>1701</v>
      </c>
      <c r="E480" s="3" t="s">
        <v>1702</v>
      </c>
      <c r="F480" s="1" t="s">
        <v>1451</v>
      </c>
      <c r="G480" s="1" t="s">
        <v>14</v>
      </c>
      <c r="H480" s="1" t="s">
        <v>14</v>
      </c>
      <c r="I480" s="1" t="s">
        <v>14</v>
      </c>
      <c r="J480" s="1" t="s">
        <v>15</v>
      </c>
      <c r="K480" s="2"/>
      <c r="L480" s="5">
        <f>K480*180.11</f>
        <v>0</v>
      </c>
    </row>
    <row r="481" spans="1:12">
      <c r="A481" s="1"/>
      <c r="B481" s="1">
        <v>827952</v>
      </c>
      <c r="C481" s="1" t="s">
        <v>1703</v>
      </c>
      <c r="D481" s="1" t="s">
        <v>1704</v>
      </c>
      <c r="E481" s="3" t="s">
        <v>1705</v>
      </c>
      <c r="F481" s="1" t="s">
        <v>1706</v>
      </c>
      <c r="G481" s="1" t="s">
        <v>14</v>
      </c>
      <c r="H481" s="1" t="s">
        <v>14</v>
      </c>
      <c r="I481" s="1" t="s">
        <v>14</v>
      </c>
      <c r="J481" s="1" t="s">
        <v>15</v>
      </c>
      <c r="K481" s="2"/>
      <c r="L481" s="5">
        <f>K481*351.13</f>
        <v>0</v>
      </c>
    </row>
    <row r="482" spans="1:12">
      <c r="A482" s="1"/>
      <c r="B482" s="1">
        <v>827955</v>
      </c>
      <c r="C482" s="1" t="s">
        <v>1707</v>
      </c>
      <c r="D482" s="1" t="s">
        <v>1708</v>
      </c>
      <c r="E482" s="3" t="s">
        <v>1709</v>
      </c>
      <c r="F482" s="1" t="s">
        <v>1710</v>
      </c>
      <c r="G482" s="1" t="s">
        <v>14</v>
      </c>
      <c r="H482" s="1" t="s">
        <v>14</v>
      </c>
      <c r="I482" s="1" t="s">
        <v>14</v>
      </c>
      <c r="J482" s="1" t="s">
        <v>15</v>
      </c>
      <c r="K482" s="2"/>
      <c r="L482" s="5">
        <f>K482*178.59</f>
        <v>0</v>
      </c>
    </row>
    <row r="483" spans="1:12">
      <c r="A483" s="1"/>
      <c r="B483" s="1">
        <v>882095</v>
      </c>
      <c r="C483" s="1" t="s">
        <v>1711</v>
      </c>
      <c r="D483" s="1" t="s">
        <v>1712</v>
      </c>
      <c r="E483" s="3" t="s">
        <v>1713</v>
      </c>
      <c r="F483" s="1" t="s">
        <v>1714</v>
      </c>
      <c r="G483" s="1" t="s">
        <v>14</v>
      </c>
      <c r="H483" s="1" t="s">
        <v>14</v>
      </c>
      <c r="I483" s="1" t="s">
        <v>14</v>
      </c>
      <c r="J483" s="1" t="s">
        <v>15</v>
      </c>
      <c r="K483" s="2"/>
      <c r="L483" s="5">
        <f>K483*3167.78</f>
        <v>0</v>
      </c>
    </row>
    <row r="484" spans="1:12">
      <c r="A484" s="1"/>
      <c r="B484" s="1">
        <v>828485</v>
      </c>
      <c r="C484" s="1" t="s">
        <v>1715</v>
      </c>
      <c r="D484" s="1" t="s">
        <v>1716</v>
      </c>
      <c r="E484" s="3" t="s">
        <v>1717</v>
      </c>
      <c r="F484" s="1" t="s">
        <v>1718</v>
      </c>
      <c r="G484" s="1" t="s">
        <v>14</v>
      </c>
      <c r="H484" s="1" t="s">
        <v>14</v>
      </c>
      <c r="I484" s="1" t="s">
        <v>14</v>
      </c>
      <c r="J484" s="1" t="s">
        <v>15</v>
      </c>
      <c r="K484" s="2"/>
      <c r="L484" s="5">
        <f>K484*2694.05</f>
        <v>0</v>
      </c>
    </row>
    <row r="485" spans="1:12">
      <c r="A485" s="1"/>
      <c r="B485" s="1">
        <v>829366</v>
      </c>
      <c r="C485" s="1" t="s">
        <v>1719</v>
      </c>
      <c r="D485" s="1" t="s">
        <v>1720</v>
      </c>
      <c r="E485" s="3" t="s">
        <v>1721</v>
      </c>
      <c r="F485" s="1" t="s">
        <v>1722</v>
      </c>
      <c r="G485" s="1" t="s">
        <v>14</v>
      </c>
      <c r="H485" s="1" t="s">
        <v>14</v>
      </c>
      <c r="I485" s="1" t="s">
        <v>14</v>
      </c>
      <c r="J485" s="1" t="s">
        <v>15</v>
      </c>
      <c r="K485" s="2"/>
      <c r="L485" s="5">
        <f>K485*3658.16</f>
        <v>0</v>
      </c>
    </row>
    <row r="486" spans="1:12">
      <c r="A486" s="1"/>
      <c r="B486" s="1">
        <v>831662</v>
      </c>
      <c r="C486" s="1" t="s">
        <v>1723</v>
      </c>
      <c r="D486" s="1" t="s">
        <v>1724</v>
      </c>
      <c r="E486" s="3" t="s">
        <v>1725</v>
      </c>
      <c r="F486" s="1" t="s">
        <v>439</v>
      </c>
      <c r="G486" s="1" t="s">
        <v>14</v>
      </c>
      <c r="H486" s="1" t="s">
        <v>14</v>
      </c>
      <c r="I486" s="1" t="s">
        <v>14</v>
      </c>
      <c r="J486" s="1" t="s">
        <v>15</v>
      </c>
      <c r="K486" s="2"/>
      <c r="L486" s="5">
        <f>K486*0.00</f>
        <v>0</v>
      </c>
    </row>
    <row r="487" spans="1:12">
      <c r="A487" s="1"/>
      <c r="B487" s="1">
        <v>831661</v>
      </c>
      <c r="C487" s="1" t="s">
        <v>1726</v>
      </c>
      <c r="D487" s="1" t="s">
        <v>1727</v>
      </c>
      <c r="E487" s="3" t="s">
        <v>1728</v>
      </c>
      <c r="F487" s="1" t="s">
        <v>1729</v>
      </c>
      <c r="G487" s="1" t="s">
        <v>14</v>
      </c>
      <c r="H487" s="1" t="s">
        <v>14</v>
      </c>
      <c r="I487" s="1" t="s">
        <v>14</v>
      </c>
      <c r="J487" s="1" t="s">
        <v>15</v>
      </c>
      <c r="K487" s="2"/>
      <c r="L487" s="5">
        <f>K487*4519.35</f>
        <v>0</v>
      </c>
    </row>
    <row r="488" spans="1:12">
      <c r="A488" s="1"/>
      <c r="B488" s="1">
        <v>831663</v>
      </c>
      <c r="C488" s="1" t="s">
        <v>1730</v>
      </c>
      <c r="D488" s="1" t="s">
        <v>1731</v>
      </c>
      <c r="E488" s="3" t="s">
        <v>1732</v>
      </c>
      <c r="F488" s="1" t="s">
        <v>1733</v>
      </c>
      <c r="G488" s="1" t="s">
        <v>14</v>
      </c>
      <c r="H488" s="1" t="s">
        <v>14</v>
      </c>
      <c r="I488" s="1" t="s">
        <v>14</v>
      </c>
      <c r="J488" s="1" t="s">
        <v>15</v>
      </c>
      <c r="K488" s="2"/>
      <c r="L488" s="5">
        <f>K488*308.76</f>
        <v>0</v>
      </c>
    </row>
    <row r="489" spans="1:12">
      <c r="A489" s="1"/>
      <c r="B489" s="1">
        <v>831664</v>
      </c>
      <c r="C489" s="1" t="s">
        <v>1734</v>
      </c>
      <c r="D489" s="1" t="s">
        <v>1735</v>
      </c>
      <c r="E489" s="3" t="s">
        <v>1736</v>
      </c>
      <c r="F489" s="1" t="s">
        <v>1733</v>
      </c>
      <c r="G489" s="1" t="s">
        <v>14</v>
      </c>
      <c r="H489" s="1" t="s">
        <v>14</v>
      </c>
      <c r="I489" s="1" t="s">
        <v>14</v>
      </c>
      <c r="J489" s="1" t="s">
        <v>15</v>
      </c>
      <c r="K489" s="2"/>
      <c r="L489" s="5">
        <f>K489*308.76</f>
        <v>0</v>
      </c>
    </row>
    <row r="490" spans="1:12">
      <c r="A490" s="1"/>
      <c r="B490" s="1">
        <v>831548</v>
      </c>
      <c r="C490" s="1" t="s">
        <v>1737</v>
      </c>
      <c r="D490" s="1" t="s">
        <v>1738</v>
      </c>
      <c r="E490" s="3" t="s">
        <v>1739</v>
      </c>
      <c r="F490" s="1" t="s">
        <v>439</v>
      </c>
      <c r="G490" s="1" t="s">
        <v>14</v>
      </c>
      <c r="H490" s="1" t="s">
        <v>14</v>
      </c>
      <c r="I490" s="1" t="s">
        <v>14</v>
      </c>
      <c r="J490" s="1" t="s">
        <v>15</v>
      </c>
      <c r="K490" s="2"/>
      <c r="L490" s="5">
        <f>K490*0.00</f>
        <v>0</v>
      </c>
    </row>
    <row r="491" spans="1:12">
      <c r="A491" s="1"/>
      <c r="B491" s="1">
        <v>832512</v>
      </c>
      <c r="C491" s="1" t="s">
        <v>1740</v>
      </c>
      <c r="D491" s="1" t="s">
        <v>1741</v>
      </c>
      <c r="E491" s="3" t="s">
        <v>1742</v>
      </c>
      <c r="F491" s="1" t="s">
        <v>1743</v>
      </c>
      <c r="G491" s="1" t="s">
        <v>14</v>
      </c>
      <c r="H491" s="1" t="s">
        <v>14</v>
      </c>
      <c r="I491" s="1" t="s">
        <v>14</v>
      </c>
      <c r="J491" s="1" t="s">
        <v>15</v>
      </c>
      <c r="K491" s="2"/>
      <c r="L491" s="5">
        <f>K491*9570.20</f>
        <v>0</v>
      </c>
    </row>
    <row r="492" spans="1:12">
      <c r="A492" s="1"/>
      <c r="B492" s="1">
        <v>834693</v>
      </c>
      <c r="C492" s="1" t="s">
        <v>1744</v>
      </c>
      <c r="D492" s="1" t="s">
        <v>1745</v>
      </c>
      <c r="E492" s="3" t="s">
        <v>1746</v>
      </c>
      <c r="F492" s="1" t="s">
        <v>1747</v>
      </c>
      <c r="G492" s="1" t="s">
        <v>14</v>
      </c>
      <c r="H492" s="1" t="s">
        <v>14</v>
      </c>
      <c r="I492" s="1" t="s">
        <v>14</v>
      </c>
      <c r="J492" s="1" t="s">
        <v>15</v>
      </c>
      <c r="K492" s="2"/>
      <c r="L492" s="5">
        <f>K492*3664.04</f>
        <v>0</v>
      </c>
    </row>
    <row r="493" spans="1:12">
      <c r="A493" s="1"/>
      <c r="B493" s="1">
        <v>834697</v>
      </c>
      <c r="C493" s="1" t="s">
        <v>1748</v>
      </c>
      <c r="D493" s="1" t="s">
        <v>1749</v>
      </c>
      <c r="E493" s="3" t="s">
        <v>1750</v>
      </c>
      <c r="F493" s="1" t="s">
        <v>1751</v>
      </c>
      <c r="G493" s="1" t="s">
        <v>14</v>
      </c>
      <c r="H493" s="1" t="s">
        <v>14</v>
      </c>
      <c r="I493" s="1" t="s">
        <v>14</v>
      </c>
      <c r="J493" s="1" t="s">
        <v>15</v>
      </c>
      <c r="K493" s="2"/>
      <c r="L493" s="5">
        <f>K493*4537.51</f>
        <v>0</v>
      </c>
    </row>
    <row r="494" spans="1:12">
      <c r="A494" s="1"/>
      <c r="B494" s="1">
        <v>834698</v>
      </c>
      <c r="C494" s="1" t="s">
        <v>1752</v>
      </c>
      <c r="D494" s="1" t="s">
        <v>1753</v>
      </c>
      <c r="E494" s="3" t="s">
        <v>1754</v>
      </c>
      <c r="F494" s="1" t="s">
        <v>1755</v>
      </c>
      <c r="G494" s="1" t="s">
        <v>14</v>
      </c>
      <c r="H494" s="1" t="s">
        <v>14</v>
      </c>
      <c r="I494" s="1" t="s">
        <v>14</v>
      </c>
      <c r="J494" s="1" t="s">
        <v>15</v>
      </c>
      <c r="K494" s="2"/>
      <c r="L494" s="5">
        <f>K494*5775.56</f>
        <v>0</v>
      </c>
    </row>
    <row r="495" spans="1:12">
      <c r="A495" s="1"/>
      <c r="B495" s="1">
        <v>834694</v>
      </c>
      <c r="C495" s="1" t="s">
        <v>1756</v>
      </c>
      <c r="D495" s="1" t="s">
        <v>1757</v>
      </c>
      <c r="E495" s="3" t="s">
        <v>1758</v>
      </c>
      <c r="F495" s="1" t="s">
        <v>1759</v>
      </c>
      <c r="G495" s="1" t="s">
        <v>14</v>
      </c>
      <c r="H495" s="1" t="s">
        <v>14</v>
      </c>
      <c r="I495" s="1" t="s">
        <v>14</v>
      </c>
      <c r="J495" s="1" t="s">
        <v>15</v>
      </c>
      <c r="K495" s="2"/>
      <c r="L495" s="5">
        <f>K495*738.59</f>
        <v>0</v>
      </c>
    </row>
    <row r="496" spans="1:12">
      <c r="A496" s="1"/>
      <c r="B496" s="1">
        <v>834695</v>
      </c>
      <c r="C496" s="1" t="s">
        <v>1760</v>
      </c>
      <c r="D496" s="1" t="s">
        <v>1761</v>
      </c>
      <c r="E496" s="3" t="s">
        <v>1762</v>
      </c>
      <c r="F496" s="1" t="s">
        <v>1759</v>
      </c>
      <c r="G496" s="1" t="s">
        <v>14</v>
      </c>
      <c r="H496" s="1" t="s">
        <v>14</v>
      </c>
      <c r="I496" s="1" t="s">
        <v>14</v>
      </c>
      <c r="J496" s="1" t="s">
        <v>15</v>
      </c>
      <c r="K496" s="2"/>
      <c r="L496" s="5">
        <f>K496*738.59</f>
        <v>0</v>
      </c>
    </row>
    <row r="497" spans="1:12">
      <c r="A497" s="1"/>
      <c r="B497" s="1">
        <v>834696</v>
      </c>
      <c r="C497" s="1" t="s">
        <v>1763</v>
      </c>
      <c r="D497" s="1" t="s">
        <v>1764</v>
      </c>
      <c r="E497" s="3" t="s">
        <v>1765</v>
      </c>
      <c r="F497" s="1" t="s">
        <v>1759</v>
      </c>
      <c r="G497" s="1" t="s">
        <v>14</v>
      </c>
      <c r="H497" s="1" t="s">
        <v>14</v>
      </c>
      <c r="I497" s="1" t="s">
        <v>14</v>
      </c>
      <c r="J497" s="1" t="s">
        <v>15</v>
      </c>
      <c r="K497" s="2"/>
      <c r="L497" s="5">
        <f>K497*738.59</f>
        <v>0</v>
      </c>
    </row>
    <row r="498" spans="1:12">
      <c r="A498" s="1"/>
      <c r="B498" s="1">
        <v>858645</v>
      </c>
      <c r="C498" s="1" t="s">
        <v>1766</v>
      </c>
      <c r="D498" s="1" t="s">
        <v>1767</v>
      </c>
      <c r="E498" s="3" t="s">
        <v>1768</v>
      </c>
      <c r="F498" s="1" t="s">
        <v>562</v>
      </c>
      <c r="G498" s="1" t="s">
        <v>14</v>
      </c>
      <c r="H498" s="1" t="s">
        <v>14</v>
      </c>
      <c r="I498" s="1" t="s">
        <v>14</v>
      </c>
      <c r="J498" s="1" t="s">
        <v>15</v>
      </c>
      <c r="K498" s="2"/>
      <c r="L498" s="5">
        <f>K498*1008.00</f>
        <v>0</v>
      </c>
    </row>
    <row r="499" spans="1:12">
      <c r="A499" s="1"/>
      <c r="B499" s="1">
        <v>858646</v>
      </c>
      <c r="C499" s="1" t="s">
        <v>1769</v>
      </c>
      <c r="D499" s="1" t="s">
        <v>1770</v>
      </c>
      <c r="E499" s="3" t="s">
        <v>1771</v>
      </c>
      <c r="F499" s="1" t="s">
        <v>1759</v>
      </c>
      <c r="G499" s="1" t="s">
        <v>14</v>
      </c>
      <c r="H499" s="1" t="s">
        <v>14</v>
      </c>
      <c r="I499" s="1" t="s">
        <v>14</v>
      </c>
      <c r="J499" s="1" t="s">
        <v>15</v>
      </c>
      <c r="K499" s="2"/>
      <c r="L499" s="5">
        <f>K499*738.59</f>
        <v>0</v>
      </c>
    </row>
    <row r="500" spans="1:12">
      <c r="A500" s="1"/>
      <c r="B500" s="1">
        <v>858647</v>
      </c>
      <c r="C500" s="1" t="s">
        <v>1772</v>
      </c>
      <c r="D500" s="1" t="s">
        <v>1773</v>
      </c>
      <c r="E500" s="3" t="s">
        <v>1774</v>
      </c>
      <c r="F500" s="1" t="s">
        <v>1759</v>
      </c>
      <c r="G500" s="1" t="s">
        <v>14</v>
      </c>
      <c r="H500" s="1" t="s">
        <v>14</v>
      </c>
      <c r="I500" s="1" t="s">
        <v>14</v>
      </c>
      <c r="J500" s="1" t="s">
        <v>15</v>
      </c>
      <c r="K500" s="2"/>
      <c r="L500" s="5">
        <f>K500*738.59</f>
        <v>0</v>
      </c>
    </row>
    <row r="501" spans="1:12">
      <c r="A501" s="1"/>
      <c r="B501" s="1">
        <v>858648</v>
      </c>
      <c r="C501" s="1" t="s">
        <v>1775</v>
      </c>
      <c r="D501" s="1" t="s">
        <v>1776</v>
      </c>
      <c r="E501" s="3" t="s">
        <v>1777</v>
      </c>
      <c r="F501" s="1" t="s">
        <v>1778</v>
      </c>
      <c r="G501" s="1" t="s">
        <v>14</v>
      </c>
      <c r="H501" s="1" t="s">
        <v>14</v>
      </c>
      <c r="I501" s="1" t="s">
        <v>14</v>
      </c>
      <c r="J501" s="1" t="s">
        <v>15</v>
      </c>
      <c r="K501" s="2"/>
      <c r="L501" s="5">
        <f>K501*4243.89</f>
        <v>0</v>
      </c>
    </row>
    <row r="502" spans="1:12">
      <c r="A502" s="1"/>
      <c r="B502" s="1">
        <v>858649</v>
      </c>
      <c r="C502" s="1" t="s">
        <v>1779</v>
      </c>
      <c r="D502" s="1" t="s">
        <v>1780</v>
      </c>
      <c r="E502" s="3" t="s">
        <v>1781</v>
      </c>
      <c r="F502" s="1" t="s">
        <v>1782</v>
      </c>
      <c r="G502" s="1" t="s">
        <v>14</v>
      </c>
      <c r="H502" s="1" t="s">
        <v>14</v>
      </c>
      <c r="I502" s="1" t="s">
        <v>14</v>
      </c>
      <c r="J502" s="1" t="s">
        <v>15</v>
      </c>
      <c r="K502" s="2"/>
      <c r="L502" s="5">
        <f>K502*4240.86</f>
        <v>0</v>
      </c>
    </row>
    <row r="503" spans="1:12">
      <c r="A503" s="1"/>
      <c r="B503" s="1">
        <v>858650</v>
      </c>
      <c r="C503" s="1" t="s">
        <v>1783</v>
      </c>
      <c r="D503" s="1" t="s">
        <v>1784</v>
      </c>
      <c r="E503" s="3" t="s">
        <v>1785</v>
      </c>
      <c r="F503" s="1" t="s">
        <v>439</v>
      </c>
      <c r="G503" s="1" t="s">
        <v>14</v>
      </c>
      <c r="H503" s="1" t="s">
        <v>14</v>
      </c>
      <c r="I503" s="1" t="s">
        <v>14</v>
      </c>
      <c r="J503" s="1" t="s">
        <v>15</v>
      </c>
      <c r="K503" s="2"/>
      <c r="L503" s="5">
        <f>K503*0.00</f>
        <v>0</v>
      </c>
    </row>
    <row r="504" spans="1:12">
      <c r="A504" s="1"/>
      <c r="B504" s="1">
        <v>858651</v>
      </c>
      <c r="C504" s="1" t="s">
        <v>1786</v>
      </c>
      <c r="D504" s="1" t="s">
        <v>1787</v>
      </c>
      <c r="E504" s="3" t="s">
        <v>1788</v>
      </c>
      <c r="F504" s="1" t="s">
        <v>1789</v>
      </c>
      <c r="G504" s="1" t="s">
        <v>14</v>
      </c>
      <c r="H504" s="1" t="s">
        <v>14</v>
      </c>
      <c r="I504" s="1" t="s">
        <v>14</v>
      </c>
      <c r="J504" s="1" t="s">
        <v>15</v>
      </c>
      <c r="K504" s="2"/>
      <c r="L504" s="5">
        <f>K504*2005.40</f>
        <v>0</v>
      </c>
    </row>
    <row r="505" spans="1:12">
      <c r="A505" s="1"/>
      <c r="B505" s="1">
        <v>859050</v>
      </c>
      <c r="C505" s="1" t="s">
        <v>1790</v>
      </c>
      <c r="D505" s="1" t="s">
        <v>1791</v>
      </c>
      <c r="E505" s="3" t="s">
        <v>1792</v>
      </c>
      <c r="F505" s="1" t="s">
        <v>1793</v>
      </c>
      <c r="G505" s="1" t="s">
        <v>14</v>
      </c>
      <c r="H505" s="1" t="s">
        <v>14</v>
      </c>
      <c r="I505" s="1" t="s">
        <v>14</v>
      </c>
      <c r="J505" s="1" t="s">
        <v>15</v>
      </c>
      <c r="K505" s="2"/>
      <c r="L505" s="5">
        <f>K505*3405.40</f>
        <v>0</v>
      </c>
    </row>
    <row r="506" spans="1:12">
      <c r="A506" s="1"/>
      <c r="B506" s="1">
        <v>859051</v>
      </c>
      <c r="C506" s="1" t="s">
        <v>1794</v>
      </c>
      <c r="D506" s="1" t="s">
        <v>1795</v>
      </c>
      <c r="E506" s="3" t="s">
        <v>1796</v>
      </c>
      <c r="F506" s="1" t="s">
        <v>1793</v>
      </c>
      <c r="G506" s="1" t="s">
        <v>14</v>
      </c>
      <c r="H506" s="1" t="s">
        <v>14</v>
      </c>
      <c r="I506" s="1" t="s">
        <v>14</v>
      </c>
      <c r="J506" s="1" t="s">
        <v>15</v>
      </c>
      <c r="K506" s="2"/>
      <c r="L506" s="5">
        <f>K506*3405.40</f>
        <v>0</v>
      </c>
    </row>
    <row r="507" spans="1:12">
      <c r="A507" s="1"/>
      <c r="B507" s="1">
        <v>859052</v>
      </c>
      <c r="C507" s="1" t="s">
        <v>1797</v>
      </c>
      <c r="D507" s="1" t="s">
        <v>1798</v>
      </c>
      <c r="E507" s="3" t="s">
        <v>1799</v>
      </c>
      <c r="F507" s="1" t="s">
        <v>439</v>
      </c>
      <c r="G507" s="1" t="s">
        <v>14</v>
      </c>
      <c r="H507" s="1" t="s">
        <v>14</v>
      </c>
      <c r="I507" s="1" t="s">
        <v>14</v>
      </c>
      <c r="J507" s="1" t="s">
        <v>15</v>
      </c>
      <c r="K507" s="2"/>
      <c r="L507" s="5">
        <f>K507*0.00</f>
        <v>0</v>
      </c>
    </row>
    <row r="508" spans="1:12">
      <c r="A508" s="1"/>
      <c r="B508" s="1">
        <v>835559</v>
      </c>
      <c r="C508" s="1" t="s">
        <v>1800</v>
      </c>
      <c r="D508" s="1" t="s">
        <v>1801</v>
      </c>
      <c r="E508" s="3" t="s">
        <v>1802</v>
      </c>
      <c r="F508" s="1" t="s">
        <v>1803</v>
      </c>
      <c r="G508" s="1" t="s">
        <v>14</v>
      </c>
      <c r="H508" s="1" t="s">
        <v>14</v>
      </c>
      <c r="I508" s="1" t="s">
        <v>14</v>
      </c>
      <c r="J508" s="1" t="s">
        <v>15</v>
      </c>
      <c r="K508" s="2"/>
      <c r="L508" s="5">
        <f>K508*4189.40</f>
        <v>0</v>
      </c>
    </row>
    <row r="509" spans="1:12">
      <c r="A509" s="1"/>
      <c r="B509" s="1">
        <v>868614</v>
      </c>
      <c r="C509" s="1" t="s">
        <v>1804</v>
      </c>
      <c r="D509" s="1" t="s">
        <v>1805</v>
      </c>
      <c r="E509" s="3" t="s">
        <v>1806</v>
      </c>
      <c r="F509" s="1" t="s">
        <v>1807</v>
      </c>
      <c r="G509" s="1" t="s">
        <v>14</v>
      </c>
      <c r="H509" s="1" t="s">
        <v>14</v>
      </c>
      <c r="I509" s="1" t="s">
        <v>14</v>
      </c>
      <c r="J509" s="1" t="s">
        <v>15</v>
      </c>
      <c r="K509" s="2"/>
      <c r="L509" s="5">
        <f>K509*2553.29</f>
        <v>0</v>
      </c>
    </row>
    <row r="510" spans="1:12">
      <c r="A510" s="1"/>
      <c r="B510" s="1">
        <v>868615</v>
      </c>
      <c r="C510" s="1" t="s">
        <v>1808</v>
      </c>
      <c r="D510" s="1" t="s">
        <v>1809</v>
      </c>
      <c r="E510" s="3" t="s">
        <v>1810</v>
      </c>
      <c r="F510" s="1" t="s">
        <v>1811</v>
      </c>
      <c r="G510" s="1" t="s">
        <v>14</v>
      </c>
      <c r="H510" s="1" t="s">
        <v>14</v>
      </c>
      <c r="I510" s="1" t="s">
        <v>14</v>
      </c>
      <c r="J510" s="1" t="s">
        <v>15</v>
      </c>
      <c r="K510" s="2"/>
      <c r="L510" s="5">
        <f>K510*5077.83</f>
        <v>0</v>
      </c>
    </row>
    <row r="511" spans="1:12">
      <c r="A511" s="1"/>
      <c r="B511" s="1">
        <v>871587</v>
      </c>
      <c r="C511" s="1" t="s">
        <v>1812</v>
      </c>
      <c r="D511" s="1" t="s">
        <v>1813</v>
      </c>
      <c r="E511" s="3" t="s">
        <v>1814</v>
      </c>
      <c r="F511" s="1" t="s">
        <v>1815</v>
      </c>
      <c r="G511" s="1" t="s">
        <v>14</v>
      </c>
      <c r="H511" s="1" t="s">
        <v>14</v>
      </c>
      <c r="I511" s="1" t="s">
        <v>14</v>
      </c>
      <c r="J511" s="1" t="s">
        <v>15</v>
      </c>
      <c r="K511" s="2"/>
      <c r="L511" s="5">
        <f>K511*4331.67</f>
        <v>0</v>
      </c>
    </row>
    <row r="512" spans="1:12">
      <c r="A512" s="1"/>
      <c r="B512" s="1">
        <v>878035</v>
      </c>
      <c r="C512" s="1" t="s">
        <v>1816</v>
      </c>
      <c r="D512" s="1" t="s">
        <v>1817</v>
      </c>
      <c r="E512" s="3" t="s">
        <v>1818</v>
      </c>
      <c r="F512" s="1" t="s">
        <v>1819</v>
      </c>
      <c r="G512" s="1" t="s">
        <v>14</v>
      </c>
      <c r="H512" s="1" t="s">
        <v>14</v>
      </c>
      <c r="I512" s="1" t="s">
        <v>14</v>
      </c>
      <c r="J512" s="1" t="s">
        <v>15</v>
      </c>
      <c r="K512" s="2"/>
      <c r="L512" s="5">
        <f>K512*4652.54</f>
        <v>0</v>
      </c>
    </row>
    <row r="513" spans="1:12">
      <c r="A513" s="1"/>
      <c r="B513" s="1">
        <v>878036</v>
      </c>
      <c r="C513" s="1" t="s">
        <v>1820</v>
      </c>
      <c r="D513" s="1" t="s">
        <v>1821</v>
      </c>
      <c r="E513" s="3" t="s">
        <v>1822</v>
      </c>
      <c r="F513" s="1" t="s">
        <v>1823</v>
      </c>
      <c r="G513" s="1" t="s">
        <v>14</v>
      </c>
      <c r="H513" s="1" t="s">
        <v>14</v>
      </c>
      <c r="I513" s="1" t="s">
        <v>14</v>
      </c>
      <c r="J513" s="1" t="s">
        <v>15</v>
      </c>
      <c r="K513" s="2"/>
      <c r="L513" s="5">
        <f>K513*5036.98</f>
        <v>0</v>
      </c>
    </row>
    <row r="514" spans="1:12">
      <c r="A514" s="1"/>
      <c r="B514" s="1">
        <v>878037</v>
      </c>
      <c r="C514" s="1" t="s">
        <v>1824</v>
      </c>
      <c r="D514" s="1" t="s">
        <v>1825</v>
      </c>
      <c r="E514" s="3" t="s">
        <v>1826</v>
      </c>
      <c r="F514" s="1" t="s">
        <v>1827</v>
      </c>
      <c r="G514" s="1" t="s">
        <v>14</v>
      </c>
      <c r="H514" s="1" t="s">
        <v>14</v>
      </c>
      <c r="I514" s="1" t="s">
        <v>14</v>
      </c>
      <c r="J514" s="1" t="s">
        <v>15</v>
      </c>
      <c r="K514" s="2"/>
      <c r="L514" s="5">
        <f>K514*3163.24</f>
        <v>0</v>
      </c>
    </row>
    <row r="515" spans="1:12">
      <c r="A515" s="1"/>
      <c r="B515" s="1">
        <v>878038</v>
      </c>
      <c r="C515" s="1" t="s">
        <v>1828</v>
      </c>
      <c r="D515" s="1" t="s">
        <v>1829</v>
      </c>
      <c r="E515" s="3" t="s">
        <v>1830</v>
      </c>
      <c r="F515" s="1" t="s">
        <v>1831</v>
      </c>
      <c r="G515" s="1" t="s">
        <v>14</v>
      </c>
      <c r="H515" s="1" t="s">
        <v>14</v>
      </c>
      <c r="I515" s="1" t="s">
        <v>14</v>
      </c>
      <c r="J515" s="1" t="s">
        <v>15</v>
      </c>
      <c r="K515" s="2"/>
      <c r="L515" s="5">
        <f>K515*3373.45</f>
        <v>0</v>
      </c>
    </row>
    <row r="516" spans="1:12">
      <c r="A516" s="1"/>
      <c r="B516" s="1">
        <v>878039</v>
      </c>
      <c r="C516" s="1" t="s">
        <v>1832</v>
      </c>
      <c r="D516" s="1" t="s">
        <v>1833</v>
      </c>
      <c r="E516" s="3" t="s">
        <v>1834</v>
      </c>
      <c r="F516" s="1" t="s">
        <v>1831</v>
      </c>
      <c r="G516" s="1" t="s">
        <v>14</v>
      </c>
      <c r="H516" s="1" t="s">
        <v>14</v>
      </c>
      <c r="I516" s="1" t="s">
        <v>14</v>
      </c>
      <c r="J516" s="1" t="s">
        <v>15</v>
      </c>
      <c r="K516" s="2"/>
      <c r="L516" s="5">
        <f>K516*3373.45</f>
        <v>0</v>
      </c>
    </row>
    <row r="517" spans="1:12">
      <c r="A517" s="1"/>
      <c r="B517" s="1">
        <v>880091</v>
      </c>
      <c r="C517" s="1" t="s">
        <v>1835</v>
      </c>
      <c r="D517" s="1" t="s">
        <v>1836</v>
      </c>
      <c r="E517" s="3" t="s">
        <v>1837</v>
      </c>
      <c r="F517" s="1" t="s">
        <v>664</v>
      </c>
      <c r="G517" s="1" t="s">
        <v>14</v>
      </c>
      <c r="H517" s="1" t="s">
        <v>14</v>
      </c>
      <c r="I517" s="1" t="s">
        <v>14</v>
      </c>
      <c r="J517" s="1" t="s">
        <v>15</v>
      </c>
      <c r="K517" s="2"/>
      <c r="L517" s="5">
        <f>K517*2342.92</f>
        <v>0</v>
      </c>
    </row>
    <row r="518" spans="1:12">
      <c r="A518" s="1"/>
      <c r="B518" s="1">
        <v>883318</v>
      </c>
      <c r="C518" s="1" t="s">
        <v>1838</v>
      </c>
      <c r="D518" s="1" t="s">
        <v>1839</v>
      </c>
      <c r="E518" s="3" t="s">
        <v>1840</v>
      </c>
      <c r="F518" s="1" t="s">
        <v>1841</v>
      </c>
      <c r="G518" s="1" t="s">
        <v>14</v>
      </c>
      <c r="H518" s="1" t="s">
        <v>14</v>
      </c>
      <c r="I518" s="1" t="s">
        <v>14</v>
      </c>
      <c r="J518" s="1" t="s">
        <v>15</v>
      </c>
      <c r="K518" s="2"/>
      <c r="L518" s="5">
        <f>K518*3985.08</f>
        <v>0</v>
      </c>
    </row>
    <row r="519" spans="1:12">
      <c r="A519" s="1"/>
      <c r="B519" s="1">
        <v>883319</v>
      </c>
      <c r="C519" s="1" t="s">
        <v>1842</v>
      </c>
      <c r="D519" s="1" t="s">
        <v>1843</v>
      </c>
      <c r="E519" s="3" t="s">
        <v>1844</v>
      </c>
      <c r="F519" s="1" t="s">
        <v>1845</v>
      </c>
      <c r="G519" s="1" t="s">
        <v>14</v>
      </c>
      <c r="H519" s="1" t="s">
        <v>14</v>
      </c>
      <c r="I519" s="1" t="s">
        <v>14</v>
      </c>
      <c r="J519" s="1" t="s">
        <v>15</v>
      </c>
      <c r="K519" s="2"/>
      <c r="L519" s="5">
        <f>K519*4265.08</f>
        <v>0</v>
      </c>
    </row>
    <row r="520" spans="1:12">
      <c r="A520" s="1"/>
      <c r="B520" s="1">
        <v>883320</v>
      </c>
      <c r="C520" s="1" t="s">
        <v>1846</v>
      </c>
      <c r="D520" s="1" t="s">
        <v>1847</v>
      </c>
      <c r="E520" s="3" t="s">
        <v>1848</v>
      </c>
      <c r="F520" s="1" t="s">
        <v>1849</v>
      </c>
      <c r="G520" s="1" t="s">
        <v>14</v>
      </c>
      <c r="H520" s="1" t="s">
        <v>14</v>
      </c>
      <c r="I520" s="1" t="s">
        <v>14</v>
      </c>
      <c r="J520" s="1" t="s">
        <v>15</v>
      </c>
      <c r="K520" s="2"/>
      <c r="L520" s="5">
        <f>K520*6034.37</f>
        <v>0</v>
      </c>
    </row>
    <row r="521" spans="1:12">
      <c r="A521" s="1"/>
      <c r="B521" s="1">
        <v>883321</v>
      </c>
      <c r="C521" s="1" t="s">
        <v>1850</v>
      </c>
      <c r="D521" s="1" t="s">
        <v>1851</v>
      </c>
      <c r="E521" s="3" t="s">
        <v>1852</v>
      </c>
      <c r="F521" s="1" t="s">
        <v>1853</v>
      </c>
      <c r="G521" s="1" t="s">
        <v>14</v>
      </c>
      <c r="H521" s="1" t="s">
        <v>14</v>
      </c>
      <c r="I521" s="1" t="s">
        <v>14</v>
      </c>
      <c r="J521" s="1" t="s">
        <v>15</v>
      </c>
      <c r="K521" s="2"/>
      <c r="L521" s="5">
        <f>K521*3455.35</f>
        <v>0</v>
      </c>
    </row>
    <row r="522" spans="1:12">
      <c r="A522" s="1"/>
      <c r="B522" s="1">
        <v>883322</v>
      </c>
      <c r="C522" s="1" t="s">
        <v>1854</v>
      </c>
      <c r="D522" s="1" t="s">
        <v>1855</v>
      </c>
      <c r="E522" s="3" t="s">
        <v>1852</v>
      </c>
      <c r="F522" s="1" t="s">
        <v>1853</v>
      </c>
      <c r="G522" s="1" t="s">
        <v>14</v>
      </c>
      <c r="H522" s="1" t="s">
        <v>14</v>
      </c>
      <c r="I522" s="1" t="s">
        <v>14</v>
      </c>
      <c r="J522" s="1" t="s">
        <v>15</v>
      </c>
      <c r="K522" s="2"/>
      <c r="L522" s="5">
        <f>K522*3455.35</f>
        <v>0</v>
      </c>
    </row>
    <row r="523" spans="1:12">
      <c r="A523" s="1"/>
      <c r="B523" s="1">
        <v>883323</v>
      </c>
      <c r="C523" s="1" t="s">
        <v>1856</v>
      </c>
      <c r="D523" s="1" t="s">
        <v>1857</v>
      </c>
      <c r="E523" s="3" t="s">
        <v>1858</v>
      </c>
      <c r="F523" s="1" t="s">
        <v>1859</v>
      </c>
      <c r="G523" s="1" t="s">
        <v>14</v>
      </c>
      <c r="H523" s="1" t="s">
        <v>14</v>
      </c>
      <c r="I523" s="1" t="s">
        <v>14</v>
      </c>
      <c r="J523" s="1" t="s">
        <v>15</v>
      </c>
      <c r="K523" s="2"/>
      <c r="L523" s="5">
        <f>K523*4619.24</f>
        <v>0</v>
      </c>
    </row>
    <row r="524" spans="1:12">
      <c r="A524" s="1"/>
      <c r="B524" s="1">
        <v>883324</v>
      </c>
      <c r="C524" s="1" t="s">
        <v>1860</v>
      </c>
      <c r="D524" s="1" t="s">
        <v>1861</v>
      </c>
      <c r="E524" s="3" t="s">
        <v>1862</v>
      </c>
      <c r="F524" s="1" t="s">
        <v>1863</v>
      </c>
      <c r="G524" s="1" t="s">
        <v>14</v>
      </c>
      <c r="H524" s="1" t="s">
        <v>14</v>
      </c>
      <c r="I524" s="1" t="s">
        <v>14</v>
      </c>
      <c r="J524" s="1" t="s">
        <v>15</v>
      </c>
      <c r="K524" s="2"/>
      <c r="L524" s="5">
        <f>K524*5132.32</f>
        <v>0</v>
      </c>
    </row>
    <row r="525" spans="1:12">
      <c r="A525" s="1"/>
      <c r="B525" s="1">
        <v>883325</v>
      </c>
      <c r="C525" s="1" t="s">
        <v>1864</v>
      </c>
      <c r="D525" s="1" t="s">
        <v>1865</v>
      </c>
      <c r="E525" s="3" t="s">
        <v>1866</v>
      </c>
      <c r="F525" s="1" t="s">
        <v>1867</v>
      </c>
      <c r="G525" s="1" t="s">
        <v>14</v>
      </c>
      <c r="H525" s="1" t="s">
        <v>14</v>
      </c>
      <c r="I525" s="1" t="s">
        <v>14</v>
      </c>
      <c r="J525" s="1" t="s">
        <v>15</v>
      </c>
      <c r="K525" s="2"/>
      <c r="L525" s="5">
        <f>K525*270.32</f>
        <v>0</v>
      </c>
    </row>
    <row r="526" spans="1:12">
      <c r="A526" s="1"/>
      <c r="B526" s="1">
        <v>883326</v>
      </c>
      <c r="C526" s="1" t="s">
        <v>1868</v>
      </c>
      <c r="D526" s="1" t="s">
        <v>1869</v>
      </c>
      <c r="E526" s="3" t="s">
        <v>1870</v>
      </c>
      <c r="F526" s="1" t="s">
        <v>1871</v>
      </c>
      <c r="G526" s="1" t="s">
        <v>14</v>
      </c>
      <c r="H526" s="1" t="s">
        <v>14</v>
      </c>
      <c r="I526" s="1" t="s">
        <v>14</v>
      </c>
      <c r="J526" s="1" t="s">
        <v>15</v>
      </c>
      <c r="K526" s="2"/>
      <c r="L526" s="5">
        <f>K526*51.46</f>
        <v>0</v>
      </c>
    </row>
    <row r="527" spans="1:12">
      <c r="A527" s="1"/>
      <c r="B527" s="1">
        <v>883356</v>
      </c>
      <c r="C527" s="1" t="s">
        <v>1872</v>
      </c>
      <c r="D527" s="1" t="s">
        <v>1873</v>
      </c>
      <c r="E527" s="3" t="s">
        <v>1874</v>
      </c>
      <c r="F527" s="1" t="s">
        <v>1789</v>
      </c>
      <c r="G527" s="1" t="s">
        <v>14</v>
      </c>
      <c r="H527" s="1" t="s">
        <v>14</v>
      </c>
      <c r="I527" s="1" t="s">
        <v>14</v>
      </c>
      <c r="J527" s="1" t="s">
        <v>15</v>
      </c>
      <c r="K527" s="2"/>
      <c r="L527" s="5">
        <f>K527*2005.40</f>
        <v>0</v>
      </c>
    </row>
    <row r="528" spans="1:12">
      <c r="A528" s="1"/>
      <c r="B528" s="1">
        <v>883892</v>
      </c>
      <c r="C528" s="1" t="s">
        <v>1875</v>
      </c>
      <c r="D528" s="1" t="s">
        <v>1876</v>
      </c>
      <c r="E528" s="3" t="s">
        <v>1877</v>
      </c>
      <c r="F528" s="1" t="s">
        <v>1878</v>
      </c>
      <c r="G528" s="1" t="s">
        <v>14</v>
      </c>
      <c r="H528" s="1" t="s">
        <v>14</v>
      </c>
      <c r="I528" s="1" t="s">
        <v>14</v>
      </c>
      <c r="J528" s="1" t="s">
        <v>15</v>
      </c>
      <c r="K528" s="2"/>
      <c r="L528" s="5">
        <f>K528*5543.24</f>
        <v>0</v>
      </c>
    </row>
    <row r="529" spans="1:12">
      <c r="A529" s="1"/>
      <c r="B529" s="1">
        <v>883893</v>
      </c>
      <c r="C529" s="1" t="s">
        <v>1879</v>
      </c>
      <c r="D529" s="1" t="s">
        <v>1880</v>
      </c>
      <c r="E529" s="3" t="s">
        <v>1881</v>
      </c>
      <c r="F529" s="1" t="s">
        <v>1882</v>
      </c>
      <c r="G529" s="1" t="s">
        <v>14</v>
      </c>
      <c r="H529" s="1" t="s">
        <v>14</v>
      </c>
      <c r="I529" s="1" t="s">
        <v>14</v>
      </c>
      <c r="J529" s="1" t="s">
        <v>15</v>
      </c>
      <c r="K529" s="2"/>
      <c r="L529" s="5">
        <f>K529*6096.93</f>
        <v>0</v>
      </c>
    </row>
    <row r="530" spans="1:12">
      <c r="A530" s="1"/>
      <c r="B530" s="1">
        <v>885197</v>
      </c>
      <c r="C530" s="1" t="s">
        <v>1883</v>
      </c>
      <c r="D530" s="1" t="s">
        <v>1884</v>
      </c>
      <c r="E530" s="3" t="s">
        <v>1885</v>
      </c>
      <c r="F530" s="1" t="s">
        <v>1845</v>
      </c>
      <c r="G530" s="1" t="s">
        <v>14</v>
      </c>
      <c r="H530" s="1" t="s">
        <v>14</v>
      </c>
      <c r="I530" s="1" t="s">
        <v>14</v>
      </c>
      <c r="J530" s="1" t="s">
        <v>15</v>
      </c>
      <c r="K530" s="2"/>
      <c r="L530" s="5">
        <f>K530*4265.08</f>
        <v>0</v>
      </c>
    </row>
    <row r="531" spans="1:12">
      <c r="A531" s="1"/>
      <c r="B531" s="1">
        <v>885198</v>
      </c>
      <c r="C531" s="1" t="s">
        <v>1886</v>
      </c>
      <c r="D531" s="1" t="s">
        <v>1887</v>
      </c>
      <c r="E531" s="3" t="s">
        <v>1888</v>
      </c>
      <c r="F531" s="1" t="s">
        <v>1849</v>
      </c>
      <c r="G531" s="1" t="s">
        <v>14</v>
      </c>
      <c r="H531" s="1" t="s">
        <v>14</v>
      </c>
      <c r="I531" s="1" t="s">
        <v>14</v>
      </c>
      <c r="J531" s="1" t="s">
        <v>15</v>
      </c>
      <c r="K531" s="2"/>
      <c r="L531" s="5">
        <f>K531*6034.37</f>
        <v>0</v>
      </c>
    </row>
    <row r="532" spans="1:12">
      <c r="A532" s="1"/>
      <c r="B532" s="1">
        <v>885199</v>
      </c>
      <c r="C532" s="1" t="s">
        <v>1889</v>
      </c>
      <c r="D532" s="1" t="s">
        <v>1890</v>
      </c>
      <c r="E532" s="3" t="s">
        <v>1891</v>
      </c>
      <c r="F532" s="1" t="s">
        <v>1892</v>
      </c>
      <c r="G532" s="1" t="s">
        <v>14</v>
      </c>
      <c r="H532" s="1" t="s">
        <v>14</v>
      </c>
      <c r="I532" s="1" t="s">
        <v>14</v>
      </c>
      <c r="J532" s="1" t="s">
        <v>15</v>
      </c>
      <c r="K532" s="2"/>
      <c r="L532" s="5">
        <f>K532*12549.37</f>
        <v>0</v>
      </c>
    </row>
    <row r="533" spans="1:12">
      <c r="A533" s="1"/>
      <c r="B533" s="1">
        <v>885200</v>
      </c>
      <c r="C533" s="1" t="s">
        <v>1893</v>
      </c>
      <c r="D533" s="1" t="s">
        <v>1894</v>
      </c>
      <c r="E533" s="3" t="s">
        <v>1895</v>
      </c>
      <c r="F533" s="1" t="s">
        <v>1896</v>
      </c>
      <c r="G533" s="1" t="s">
        <v>14</v>
      </c>
      <c r="H533" s="1" t="s">
        <v>14</v>
      </c>
      <c r="I533" s="1" t="s">
        <v>14</v>
      </c>
      <c r="J533" s="1" t="s">
        <v>15</v>
      </c>
      <c r="K533" s="2"/>
      <c r="L533" s="5">
        <f>K533*5259.45</f>
        <v>0</v>
      </c>
    </row>
    <row r="534" spans="1:12">
      <c r="A534" s="1"/>
      <c r="B534" s="1">
        <v>885201</v>
      </c>
      <c r="C534" s="1" t="s">
        <v>1897</v>
      </c>
      <c r="D534" s="1" t="s">
        <v>1898</v>
      </c>
      <c r="E534" s="3" t="s">
        <v>1899</v>
      </c>
      <c r="F534" s="1" t="s">
        <v>1900</v>
      </c>
      <c r="G534" s="1" t="s">
        <v>14</v>
      </c>
      <c r="H534" s="1" t="s">
        <v>14</v>
      </c>
      <c r="I534" s="1" t="s">
        <v>14</v>
      </c>
      <c r="J534" s="1" t="s">
        <v>15</v>
      </c>
      <c r="K534" s="2"/>
      <c r="L534" s="5">
        <f>K534*5471.35</f>
        <v>0</v>
      </c>
    </row>
    <row r="535" spans="1:12">
      <c r="A535" s="1"/>
      <c r="B535" s="1">
        <v>885449</v>
      </c>
      <c r="C535" s="1" t="s">
        <v>1901</v>
      </c>
      <c r="D535" s="1" t="s">
        <v>1902</v>
      </c>
      <c r="E535" s="3" t="s">
        <v>1903</v>
      </c>
      <c r="F535" s="1" t="s">
        <v>1904</v>
      </c>
      <c r="G535" s="1" t="s">
        <v>14</v>
      </c>
      <c r="H535" s="1" t="s">
        <v>14</v>
      </c>
      <c r="I535" s="1" t="s">
        <v>14</v>
      </c>
      <c r="J535" s="1" t="s">
        <v>15</v>
      </c>
      <c r="K535" s="2"/>
      <c r="L535" s="5">
        <f>K535*10474.55</f>
        <v>0</v>
      </c>
    </row>
    <row r="536" spans="1:12">
      <c r="A536" s="1"/>
      <c r="B536" s="1">
        <v>827849</v>
      </c>
      <c r="C536" s="1" t="s">
        <v>1905</v>
      </c>
      <c r="D536" s="1" t="s">
        <v>1906</v>
      </c>
      <c r="E536" s="3" t="s">
        <v>1907</v>
      </c>
      <c r="F536" s="1" t="s">
        <v>1908</v>
      </c>
      <c r="G536" s="1" t="s">
        <v>14</v>
      </c>
      <c r="H536" s="1" t="s">
        <v>14</v>
      </c>
      <c r="I536" s="1" t="s">
        <v>14</v>
      </c>
      <c r="J536" s="1" t="s">
        <v>15</v>
      </c>
      <c r="K536" s="2"/>
      <c r="L536" s="5">
        <f>K536*1505.94</f>
        <v>0</v>
      </c>
    </row>
    <row r="537" spans="1:12">
      <c r="A537" s="1"/>
      <c r="B537" s="1">
        <v>827850</v>
      </c>
      <c r="C537" s="1" t="s">
        <v>1909</v>
      </c>
      <c r="D537" s="1" t="s">
        <v>1910</v>
      </c>
      <c r="E537" s="3" t="s">
        <v>1911</v>
      </c>
      <c r="F537" s="1" t="s">
        <v>1912</v>
      </c>
      <c r="G537" s="1" t="s">
        <v>14</v>
      </c>
      <c r="H537" s="1" t="s">
        <v>14</v>
      </c>
      <c r="I537" s="1" t="s">
        <v>14</v>
      </c>
      <c r="J537" s="1" t="s">
        <v>15</v>
      </c>
      <c r="K537" s="2"/>
      <c r="L537" s="5">
        <f>K537*1949.40</f>
        <v>0</v>
      </c>
    </row>
    <row r="538" spans="1:12">
      <c r="A538" s="1"/>
      <c r="B538" s="1">
        <v>827851</v>
      </c>
      <c r="C538" s="1" t="s">
        <v>1913</v>
      </c>
      <c r="D538" s="1" t="s">
        <v>1914</v>
      </c>
      <c r="E538" s="3" t="s">
        <v>1915</v>
      </c>
      <c r="F538" s="1" t="s">
        <v>1916</v>
      </c>
      <c r="G538" s="1" t="s">
        <v>14</v>
      </c>
      <c r="H538" s="1" t="s">
        <v>14</v>
      </c>
      <c r="I538" s="1" t="s">
        <v>14</v>
      </c>
      <c r="J538" s="1" t="s">
        <v>15</v>
      </c>
      <c r="K538" s="2"/>
      <c r="L538" s="5">
        <f>K538*2577.51</f>
        <v>0</v>
      </c>
    </row>
    <row r="539" spans="1:12">
      <c r="A539" s="1"/>
      <c r="B539" s="1">
        <v>827852</v>
      </c>
      <c r="C539" s="1" t="s">
        <v>1917</v>
      </c>
      <c r="D539" s="1" t="s">
        <v>1918</v>
      </c>
      <c r="E539" s="3" t="s">
        <v>1919</v>
      </c>
      <c r="F539" s="1" t="s">
        <v>1920</v>
      </c>
      <c r="G539" s="1" t="s">
        <v>14</v>
      </c>
      <c r="H539" s="1" t="s">
        <v>14</v>
      </c>
      <c r="I539" s="1" t="s">
        <v>14</v>
      </c>
      <c r="J539" s="1" t="s">
        <v>15</v>
      </c>
      <c r="K539" s="2"/>
      <c r="L539" s="5">
        <f>K539*2589.62</f>
        <v>0</v>
      </c>
    </row>
    <row r="540" spans="1:12">
      <c r="A540" s="1"/>
      <c r="B540" s="1">
        <v>827853</v>
      </c>
      <c r="C540" s="1" t="s">
        <v>1921</v>
      </c>
      <c r="D540" s="1" t="s">
        <v>1922</v>
      </c>
      <c r="E540" s="3" t="s">
        <v>1923</v>
      </c>
      <c r="F540" s="1" t="s">
        <v>1924</v>
      </c>
      <c r="G540" s="1" t="s">
        <v>14</v>
      </c>
      <c r="H540" s="1" t="s">
        <v>14</v>
      </c>
      <c r="I540" s="1" t="s">
        <v>14</v>
      </c>
      <c r="J540" s="1" t="s">
        <v>15</v>
      </c>
      <c r="K540" s="2"/>
      <c r="L540" s="5">
        <f>K540*2176.43</f>
        <v>0</v>
      </c>
    </row>
    <row r="541" spans="1:12">
      <c r="A541" s="1"/>
      <c r="B541" s="1">
        <v>827855</v>
      </c>
      <c r="C541" s="1" t="s">
        <v>1925</v>
      </c>
      <c r="D541" s="1" t="s">
        <v>1926</v>
      </c>
      <c r="E541" s="3" t="s">
        <v>1927</v>
      </c>
      <c r="F541" s="1" t="s">
        <v>1928</v>
      </c>
      <c r="G541" s="1" t="s">
        <v>14</v>
      </c>
      <c r="H541" s="1" t="s">
        <v>14</v>
      </c>
      <c r="I541" s="1" t="s">
        <v>14</v>
      </c>
      <c r="J541" s="1" t="s">
        <v>15</v>
      </c>
      <c r="K541" s="2"/>
      <c r="L541" s="5">
        <f>K541*2420.11</f>
        <v>0</v>
      </c>
    </row>
    <row r="542" spans="1:12">
      <c r="A542" s="1"/>
      <c r="B542" s="1">
        <v>827856</v>
      </c>
      <c r="C542" s="1" t="s">
        <v>1929</v>
      </c>
      <c r="D542" s="1" t="s">
        <v>1930</v>
      </c>
      <c r="E542" s="3" t="s">
        <v>1931</v>
      </c>
      <c r="F542" s="1" t="s">
        <v>1932</v>
      </c>
      <c r="G542" s="1" t="s">
        <v>14</v>
      </c>
      <c r="H542" s="1" t="s">
        <v>14</v>
      </c>
      <c r="I542" s="1" t="s">
        <v>14</v>
      </c>
      <c r="J542" s="1" t="s">
        <v>15</v>
      </c>
      <c r="K542" s="2"/>
      <c r="L542" s="5">
        <f>K542*3909.40</f>
        <v>0</v>
      </c>
    </row>
    <row r="543" spans="1:12">
      <c r="A543" s="1"/>
      <c r="B543" s="1">
        <v>827857</v>
      </c>
      <c r="C543" s="1" t="s">
        <v>1933</v>
      </c>
      <c r="D543" s="1" t="s">
        <v>1934</v>
      </c>
      <c r="E543" s="3" t="s">
        <v>1935</v>
      </c>
      <c r="F543" s="1" t="s">
        <v>439</v>
      </c>
      <c r="G543" s="1" t="s">
        <v>14</v>
      </c>
      <c r="H543" s="1" t="s">
        <v>14</v>
      </c>
      <c r="I543" s="1" t="s">
        <v>14</v>
      </c>
      <c r="J543" s="1" t="s">
        <v>15</v>
      </c>
      <c r="K543" s="2"/>
      <c r="L543" s="5">
        <f>K543*0.00</f>
        <v>0</v>
      </c>
    </row>
    <row r="544" spans="1:12">
      <c r="A544" s="1"/>
      <c r="B544" s="1">
        <v>827862</v>
      </c>
      <c r="C544" s="1" t="s">
        <v>1936</v>
      </c>
      <c r="D544" s="1" t="s">
        <v>1937</v>
      </c>
      <c r="E544" s="3" t="s">
        <v>1938</v>
      </c>
      <c r="F544" s="1" t="s">
        <v>1939</v>
      </c>
      <c r="G544" s="1" t="s">
        <v>14</v>
      </c>
      <c r="H544" s="1" t="s">
        <v>14</v>
      </c>
      <c r="I544" s="1" t="s">
        <v>14</v>
      </c>
      <c r="J544" s="1" t="s">
        <v>15</v>
      </c>
      <c r="K544" s="2"/>
      <c r="L544" s="5">
        <f>K544*1590.70</f>
        <v>0</v>
      </c>
    </row>
    <row r="545" spans="1:12">
      <c r="A545" s="1"/>
      <c r="B545" s="1">
        <v>827863</v>
      </c>
      <c r="C545" s="1" t="s">
        <v>1940</v>
      </c>
      <c r="D545" s="1" t="s">
        <v>1941</v>
      </c>
      <c r="E545" s="3" t="s">
        <v>1942</v>
      </c>
      <c r="F545" s="1" t="s">
        <v>1943</v>
      </c>
      <c r="G545" s="1" t="s">
        <v>14</v>
      </c>
      <c r="H545" s="1" t="s">
        <v>14</v>
      </c>
      <c r="I545" s="1" t="s">
        <v>14</v>
      </c>
      <c r="J545" s="1" t="s">
        <v>15</v>
      </c>
      <c r="K545" s="2"/>
      <c r="L545" s="5">
        <f>K545*2713.73</f>
        <v>0</v>
      </c>
    </row>
    <row r="546" spans="1:12">
      <c r="A546" s="1"/>
      <c r="B546" s="1">
        <v>827864</v>
      </c>
      <c r="C546" s="1" t="s">
        <v>1944</v>
      </c>
      <c r="D546" s="1" t="s">
        <v>1945</v>
      </c>
      <c r="E546" s="3" t="s">
        <v>1946</v>
      </c>
      <c r="F546" s="1" t="s">
        <v>1947</v>
      </c>
      <c r="G546" s="1" t="s">
        <v>14</v>
      </c>
      <c r="H546" s="1" t="s">
        <v>14</v>
      </c>
      <c r="I546" s="1" t="s">
        <v>14</v>
      </c>
      <c r="J546" s="1" t="s">
        <v>15</v>
      </c>
      <c r="K546" s="2"/>
      <c r="L546" s="5">
        <f>K546*1896.43</f>
        <v>0</v>
      </c>
    </row>
    <row r="547" spans="1:12">
      <c r="A547" s="1"/>
      <c r="B547" s="1">
        <v>827865</v>
      </c>
      <c r="C547" s="1" t="s">
        <v>1948</v>
      </c>
      <c r="D547" s="1" t="s">
        <v>1949</v>
      </c>
      <c r="E547" s="3" t="s">
        <v>1950</v>
      </c>
      <c r="F547" s="1" t="s">
        <v>1951</v>
      </c>
      <c r="G547" s="1" t="s">
        <v>14</v>
      </c>
      <c r="H547" s="1" t="s">
        <v>14</v>
      </c>
      <c r="I547" s="1" t="s">
        <v>14</v>
      </c>
      <c r="J547" s="1" t="s">
        <v>15</v>
      </c>
      <c r="K547" s="2"/>
      <c r="L547" s="5">
        <f>K547*2898.38</f>
        <v>0</v>
      </c>
    </row>
    <row r="548" spans="1:12">
      <c r="A548" s="1"/>
      <c r="B548" s="1">
        <v>827866</v>
      </c>
      <c r="C548" s="1" t="s">
        <v>1952</v>
      </c>
      <c r="D548" s="1" t="s">
        <v>1953</v>
      </c>
      <c r="E548" s="3" t="s">
        <v>1954</v>
      </c>
      <c r="F548" s="1" t="s">
        <v>1227</v>
      </c>
      <c r="G548" s="1" t="s">
        <v>14</v>
      </c>
      <c r="H548" s="1" t="s">
        <v>14</v>
      </c>
      <c r="I548" s="1" t="s">
        <v>14</v>
      </c>
      <c r="J548" s="1" t="s">
        <v>15</v>
      </c>
      <c r="K548" s="2"/>
      <c r="L548" s="5">
        <f>K548*3008.86</f>
        <v>0</v>
      </c>
    </row>
    <row r="549" spans="1:12">
      <c r="A549" s="1"/>
      <c r="B549" s="1">
        <v>827867</v>
      </c>
      <c r="C549" s="1" t="s">
        <v>1955</v>
      </c>
      <c r="D549" s="1" t="s">
        <v>1956</v>
      </c>
      <c r="E549" s="3" t="s">
        <v>1957</v>
      </c>
      <c r="F549" s="1" t="s">
        <v>1958</v>
      </c>
      <c r="G549" s="1" t="s">
        <v>14</v>
      </c>
      <c r="H549" s="1" t="s">
        <v>14</v>
      </c>
      <c r="I549" s="1" t="s">
        <v>14</v>
      </c>
      <c r="J549" s="1" t="s">
        <v>15</v>
      </c>
      <c r="K549" s="2"/>
      <c r="L549" s="5">
        <f>K549*1272.86</f>
        <v>0</v>
      </c>
    </row>
    <row r="550" spans="1:12">
      <c r="A550" s="1"/>
      <c r="B550" s="1">
        <v>827868</v>
      </c>
      <c r="C550" s="1" t="s">
        <v>1959</v>
      </c>
      <c r="D550" s="1" t="s">
        <v>1960</v>
      </c>
      <c r="E550" s="3" t="s">
        <v>1961</v>
      </c>
      <c r="F550" s="1" t="s">
        <v>1912</v>
      </c>
      <c r="G550" s="1" t="s">
        <v>14</v>
      </c>
      <c r="H550" s="1" t="s">
        <v>14</v>
      </c>
      <c r="I550" s="1" t="s">
        <v>14</v>
      </c>
      <c r="J550" s="1" t="s">
        <v>15</v>
      </c>
      <c r="K550" s="2"/>
      <c r="L550" s="5">
        <f>K550*1949.40</f>
        <v>0</v>
      </c>
    </row>
    <row r="551" spans="1:12">
      <c r="A551" s="1"/>
      <c r="B551" s="1">
        <v>827869</v>
      </c>
      <c r="C551" s="1" t="s">
        <v>1962</v>
      </c>
      <c r="D551" s="1" t="s">
        <v>1963</v>
      </c>
      <c r="E551" s="3" t="s">
        <v>1964</v>
      </c>
      <c r="F551" s="1" t="s">
        <v>1965</v>
      </c>
      <c r="G551" s="1" t="s">
        <v>14</v>
      </c>
      <c r="H551" s="1" t="s">
        <v>14</v>
      </c>
      <c r="I551" s="1" t="s">
        <v>14</v>
      </c>
      <c r="J551" s="1" t="s">
        <v>15</v>
      </c>
      <c r="K551" s="2"/>
      <c r="L551" s="5">
        <f>K551*2409.51</f>
        <v>0</v>
      </c>
    </row>
    <row r="552" spans="1:12">
      <c r="A552" s="1"/>
      <c r="B552" s="1">
        <v>827870</v>
      </c>
      <c r="C552" s="1" t="s">
        <v>1966</v>
      </c>
      <c r="D552" s="1" t="s">
        <v>1967</v>
      </c>
      <c r="E552" s="3" t="s">
        <v>1968</v>
      </c>
      <c r="F552" s="1" t="s">
        <v>1969</v>
      </c>
      <c r="G552" s="1" t="s">
        <v>14</v>
      </c>
      <c r="H552" s="1" t="s">
        <v>14</v>
      </c>
      <c r="I552" s="1" t="s">
        <v>14</v>
      </c>
      <c r="J552" s="1" t="s">
        <v>15</v>
      </c>
      <c r="K552" s="2"/>
      <c r="L552" s="5">
        <f>K552*7550.91</f>
        <v>0</v>
      </c>
    </row>
    <row r="553" spans="1:12">
      <c r="A553" s="1"/>
      <c r="B553" s="1">
        <v>827871</v>
      </c>
      <c r="C553" s="1" t="s">
        <v>1970</v>
      </c>
      <c r="D553" s="1" t="s">
        <v>1971</v>
      </c>
      <c r="E553" s="3" t="s">
        <v>1972</v>
      </c>
      <c r="F553" s="1" t="s">
        <v>1973</v>
      </c>
      <c r="G553" s="1" t="s">
        <v>14</v>
      </c>
      <c r="H553" s="1" t="s">
        <v>14</v>
      </c>
      <c r="I553" s="1" t="s">
        <v>14</v>
      </c>
      <c r="J553" s="1" t="s">
        <v>15</v>
      </c>
      <c r="K553" s="2"/>
      <c r="L553" s="5">
        <f>K553*2323.24</f>
        <v>0</v>
      </c>
    </row>
    <row r="554" spans="1:12">
      <c r="A554" s="1"/>
      <c r="B554" s="1">
        <v>827872</v>
      </c>
      <c r="C554" s="1" t="s">
        <v>1974</v>
      </c>
      <c r="D554" s="1" t="s">
        <v>1975</v>
      </c>
      <c r="E554" s="3" t="s">
        <v>1976</v>
      </c>
      <c r="F554" s="1" t="s">
        <v>1977</v>
      </c>
      <c r="G554" s="1" t="s">
        <v>14</v>
      </c>
      <c r="H554" s="1" t="s">
        <v>14</v>
      </c>
      <c r="I554" s="1" t="s">
        <v>14</v>
      </c>
      <c r="J554" s="1" t="s">
        <v>15</v>
      </c>
      <c r="K554" s="2"/>
      <c r="L554" s="5">
        <f>K554*2607.78</f>
        <v>0</v>
      </c>
    </row>
    <row r="555" spans="1:12">
      <c r="A555" s="1"/>
      <c r="B555" s="1">
        <v>827873</v>
      </c>
      <c r="C555" s="1" t="s">
        <v>1978</v>
      </c>
      <c r="D555" s="1" t="s">
        <v>1979</v>
      </c>
      <c r="E555" s="3" t="s">
        <v>1980</v>
      </c>
      <c r="F555" s="1" t="s">
        <v>1981</v>
      </c>
      <c r="G555" s="1" t="s">
        <v>14</v>
      </c>
      <c r="H555" s="1" t="s">
        <v>14</v>
      </c>
      <c r="I555" s="1" t="s">
        <v>14</v>
      </c>
      <c r="J555" s="1" t="s">
        <v>15</v>
      </c>
      <c r="K555" s="2"/>
      <c r="L555" s="5">
        <f>K555*4302.91</f>
        <v>0</v>
      </c>
    </row>
    <row r="556" spans="1:12">
      <c r="A556" s="1"/>
      <c r="B556" s="1">
        <v>827874</v>
      </c>
      <c r="C556" s="1" t="s">
        <v>1982</v>
      </c>
      <c r="D556" s="1" t="s">
        <v>1983</v>
      </c>
      <c r="E556" s="3" t="s">
        <v>1984</v>
      </c>
      <c r="F556" s="1" t="s">
        <v>1985</v>
      </c>
      <c r="G556" s="1" t="s">
        <v>14</v>
      </c>
      <c r="H556" s="1" t="s">
        <v>14</v>
      </c>
      <c r="I556" s="1" t="s">
        <v>14</v>
      </c>
      <c r="J556" s="1" t="s">
        <v>15</v>
      </c>
      <c r="K556" s="2"/>
      <c r="L556" s="5">
        <f>K556*5583.35</f>
        <v>0</v>
      </c>
    </row>
    <row r="557" spans="1:12">
      <c r="A557" s="1"/>
      <c r="B557" s="1">
        <v>827875</v>
      </c>
      <c r="C557" s="1" t="s">
        <v>1986</v>
      </c>
      <c r="D557" s="1" t="s">
        <v>1987</v>
      </c>
      <c r="E557" s="3" t="s">
        <v>1988</v>
      </c>
      <c r="F557" s="1" t="s">
        <v>1989</v>
      </c>
      <c r="G557" s="1" t="s">
        <v>14</v>
      </c>
      <c r="H557" s="1" t="s">
        <v>14</v>
      </c>
      <c r="I557" s="1" t="s">
        <v>14</v>
      </c>
      <c r="J557" s="1" t="s">
        <v>15</v>
      </c>
      <c r="K557" s="2"/>
      <c r="L557" s="5">
        <f>K557*9081.07</f>
        <v>0</v>
      </c>
    </row>
    <row r="558" spans="1:12">
      <c r="A558" s="1"/>
      <c r="B558" s="1">
        <v>827876</v>
      </c>
      <c r="C558" s="1" t="s">
        <v>1990</v>
      </c>
      <c r="D558" s="1" t="s">
        <v>1991</v>
      </c>
      <c r="E558" s="3" t="s">
        <v>1992</v>
      </c>
      <c r="F558" s="1" t="s">
        <v>1145</v>
      </c>
      <c r="G558" s="1" t="s">
        <v>14</v>
      </c>
      <c r="H558" s="1" t="s">
        <v>14</v>
      </c>
      <c r="I558" s="1" t="s">
        <v>14</v>
      </c>
      <c r="J558" s="1" t="s">
        <v>15</v>
      </c>
      <c r="K558" s="2"/>
      <c r="L558" s="5">
        <f>K558*3417.51</f>
        <v>0</v>
      </c>
    </row>
    <row r="559" spans="1:12">
      <c r="A559" s="1"/>
      <c r="B559" s="1">
        <v>827877</v>
      </c>
      <c r="C559" s="1" t="s">
        <v>1993</v>
      </c>
      <c r="D559" s="1" t="s">
        <v>1994</v>
      </c>
      <c r="E559" s="3" t="s">
        <v>1995</v>
      </c>
      <c r="F559" s="1" t="s">
        <v>1996</v>
      </c>
      <c r="G559" s="1" t="s">
        <v>14</v>
      </c>
      <c r="H559" s="1" t="s">
        <v>14</v>
      </c>
      <c r="I559" s="1" t="s">
        <v>14</v>
      </c>
      <c r="J559" s="1" t="s">
        <v>15</v>
      </c>
      <c r="K559" s="2"/>
      <c r="L559" s="5">
        <f>K559*3320.65</f>
        <v>0</v>
      </c>
    </row>
    <row r="560" spans="1:12">
      <c r="A560" s="1"/>
      <c r="B560" s="1">
        <v>827878</v>
      </c>
      <c r="C560" s="1" t="s">
        <v>1997</v>
      </c>
      <c r="D560" s="1" t="s">
        <v>1998</v>
      </c>
      <c r="E560" s="3" t="s">
        <v>1999</v>
      </c>
      <c r="F560" s="1" t="s">
        <v>1996</v>
      </c>
      <c r="G560" s="1" t="s">
        <v>14</v>
      </c>
      <c r="H560" s="1" t="s">
        <v>14</v>
      </c>
      <c r="I560" s="1" t="s">
        <v>14</v>
      </c>
      <c r="J560" s="1" t="s">
        <v>15</v>
      </c>
      <c r="K560" s="2"/>
      <c r="L560" s="5">
        <f>K560*3320.65</f>
        <v>0</v>
      </c>
    </row>
    <row r="561" spans="1:12">
      <c r="A561" s="1"/>
      <c r="B561" s="1">
        <v>827879</v>
      </c>
      <c r="C561" s="1" t="s">
        <v>2000</v>
      </c>
      <c r="D561" s="1" t="s">
        <v>2001</v>
      </c>
      <c r="E561" s="3" t="s">
        <v>2002</v>
      </c>
      <c r="F561" s="1" t="s">
        <v>2003</v>
      </c>
      <c r="G561" s="1" t="s">
        <v>14</v>
      </c>
      <c r="H561" s="1" t="s">
        <v>14</v>
      </c>
      <c r="I561" s="1" t="s">
        <v>14</v>
      </c>
      <c r="J561" s="1" t="s">
        <v>15</v>
      </c>
      <c r="K561" s="2"/>
      <c r="L561" s="5">
        <f>K561*3830.70</f>
        <v>0</v>
      </c>
    </row>
    <row r="562" spans="1:12">
      <c r="A562" s="1"/>
      <c r="B562" s="1">
        <v>827880</v>
      </c>
      <c r="C562" s="1" t="s">
        <v>2004</v>
      </c>
      <c r="D562" s="1" t="s">
        <v>2005</v>
      </c>
      <c r="E562" s="3" t="s">
        <v>2006</v>
      </c>
      <c r="F562" s="1" t="s">
        <v>2003</v>
      </c>
      <c r="G562" s="1" t="s">
        <v>14</v>
      </c>
      <c r="H562" s="1" t="s">
        <v>14</v>
      </c>
      <c r="I562" s="1" t="s">
        <v>14</v>
      </c>
      <c r="J562" s="1" t="s">
        <v>15</v>
      </c>
      <c r="K562" s="2"/>
      <c r="L562" s="5">
        <f>K562*3830.70</f>
        <v>0</v>
      </c>
    </row>
    <row r="563" spans="1:12">
      <c r="A563" s="1"/>
      <c r="B563" s="1">
        <v>827881</v>
      </c>
      <c r="C563" s="1" t="s">
        <v>2007</v>
      </c>
      <c r="D563" s="1" t="s">
        <v>2008</v>
      </c>
      <c r="E563" s="3" t="s">
        <v>2009</v>
      </c>
      <c r="F563" s="1" t="s">
        <v>2010</v>
      </c>
      <c r="G563" s="1" t="s">
        <v>14</v>
      </c>
      <c r="H563" s="1" t="s">
        <v>14</v>
      </c>
      <c r="I563" s="1" t="s">
        <v>14</v>
      </c>
      <c r="J563" s="1" t="s">
        <v>15</v>
      </c>
      <c r="K563" s="2"/>
      <c r="L563" s="5">
        <f>K563*5908.75</f>
        <v>0</v>
      </c>
    </row>
    <row r="564" spans="1:12">
      <c r="A564" s="1"/>
      <c r="B564" s="1">
        <v>827882</v>
      </c>
      <c r="C564" s="1" t="s">
        <v>2011</v>
      </c>
      <c r="D564" s="1" t="s">
        <v>2012</v>
      </c>
      <c r="E564" s="3" t="s">
        <v>2013</v>
      </c>
      <c r="F564" s="1" t="s">
        <v>2014</v>
      </c>
      <c r="G564" s="1" t="s">
        <v>14</v>
      </c>
      <c r="H564" s="1" t="s">
        <v>14</v>
      </c>
      <c r="I564" s="1" t="s">
        <v>14</v>
      </c>
      <c r="J564" s="1" t="s">
        <v>15</v>
      </c>
      <c r="K564" s="2"/>
      <c r="L564" s="5">
        <f>K564*1996.32</f>
        <v>0</v>
      </c>
    </row>
    <row r="565" spans="1:12">
      <c r="A565" s="1"/>
      <c r="B565" s="1">
        <v>827883</v>
      </c>
      <c r="C565" s="1" t="s">
        <v>2015</v>
      </c>
      <c r="D565" s="1" t="s">
        <v>2016</v>
      </c>
      <c r="E565" s="3" t="s">
        <v>2017</v>
      </c>
      <c r="F565" s="1" t="s">
        <v>2018</v>
      </c>
      <c r="G565" s="1" t="s">
        <v>14</v>
      </c>
      <c r="H565" s="1" t="s">
        <v>14</v>
      </c>
      <c r="I565" s="1" t="s">
        <v>14</v>
      </c>
      <c r="J565" s="1" t="s">
        <v>15</v>
      </c>
      <c r="K565" s="2"/>
      <c r="L565" s="5">
        <f>K565*1589.19</f>
        <v>0</v>
      </c>
    </row>
    <row r="566" spans="1:12">
      <c r="A566" s="1"/>
      <c r="B566" s="1">
        <v>827884</v>
      </c>
      <c r="C566" s="1" t="s">
        <v>2019</v>
      </c>
      <c r="D566" s="1" t="s">
        <v>2020</v>
      </c>
      <c r="E566" s="3" t="s">
        <v>2021</v>
      </c>
      <c r="F566" s="1" t="s">
        <v>2022</v>
      </c>
      <c r="G566" s="1" t="s">
        <v>14</v>
      </c>
      <c r="H566" s="1" t="s">
        <v>14</v>
      </c>
      <c r="I566" s="1" t="s">
        <v>14</v>
      </c>
      <c r="J566" s="1" t="s">
        <v>15</v>
      </c>
      <c r="K566" s="2"/>
      <c r="L566" s="5">
        <f>K566*1879.78</f>
        <v>0</v>
      </c>
    </row>
    <row r="567" spans="1:12">
      <c r="A567" s="1"/>
      <c r="B567" s="1">
        <v>827885</v>
      </c>
      <c r="C567" s="1" t="s">
        <v>2023</v>
      </c>
      <c r="D567" s="1" t="s">
        <v>2024</v>
      </c>
      <c r="E567" s="3" t="s">
        <v>2025</v>
      </c>
      <c r="F567" s="1" t="s">
        <v>2026</v>
      </c>
      <c r="G567" s="1" t="s">
        <v>14</v>
      </c>
      <c r="H567" s="1" t="s">
        <v>14</v>
      </c>
      <c r="I567" s="1" t="s">
        <v>14</v>
      </c>
      <c r="J567" s="1" t="s">
        <v>15</v>
      </c>
      <c r="K567" s="2"/>
      <c r="L567" s="5">
        <f>K567*2638.05</f>
        <v>0</v>
      </c>
    </row>
    <row r="568" spans="1:12">
      <c r="A568" s="1"/>
      <c r="B568" s="1">
        <v>827886</v>
      </c>
      <c r="C568" s="1" t="s">
        <v>2027</v>
      </c>
      <c r="D568" s="1" t="s">
        <v>2028</v>
      </c>
      <c r="E568" s="3" t="s">
        <v>2029</v>
      </c>
      <c r="F568" s="1" t="s">
        <v>2030</v>
      </c>
      <c r="G568" s="1" t="s">
        <v>14</v>
      </c>
      <c r="H568" s="1" t="s">
        <v>14</v>
      </c>
      <c r="I568" s="1" t="s">
        <v>14</v>
      </c>
      <c r="J568" s="1" t="s">
        <v>15</v>
      </c>
      <c r="K568" s="2"/>
      <c r="L568" s="5">
        <f>K568*3526.48</f>
        <v>0</v>
      </c>
    </row>
    <row r="569" spans="1:12">
      <c r="A569" s="1"/>
      <c r="B569" s="1">
        <v>827887</v>
      </c>
      <c r="C569" s="1" t="s">
        <v>2031</v>
      </c>
      <c r="D569" s="1" t="s">
        <v>2032</v>
      </c>
      <c r="E569" s="3" t="s">
        <v>2033</v>
      </c>
      <c r="F569" s="1" t="s">
        <v>2034</v>
      </c>
      <c r="G569" s="1" t="s">
        <v>14</v>
      </c>
      <c r="H569" s="1" t="s">
        <v>14</v>
      </c>
      <c r="I569" s="1" t="s">
        <v>14</v>
      </c>
      <c r="J569" s="1" t="s">
        <v>15</v>
      </c>
      <c r="K569" s="2"/>
      <c r="L569" s="5">
        <f>K569*3158.70</f>
        <v>0</v>
      </c>
    </row>
    <row r="570" spans="1:12">
      <c r="A570" s="1"/>
      <c r="B570" s="1">
        <v>834699</v>
      </c>
      <c r="C570" s="1" t="s">
        <v>2035</v>
      </c>
      <c r="D570" s="1" t="s">
        <v>2036</v>
      </c>
      <c r="E570" s="3" t="s">
        <v>2037</v>
      </c>
      <c r="F570" s="1" t="s">
        <v>2038</v>
      </c>
      <c r="G570" s="1" t="s">
        <v>14</v>
      </c>
      <c r="H570" s="1" t="s">
        <v>14</v>
      </c>
      <c r="I570" s="1" t="s">
        <v>14</v>
      </c>
      <c r="J570" s="1" t="s">
        <v>15</v>
      </c>
      <c r="K570" s="2"/>
      <c r="L570" s="5">
        <f>K570*3976.00</f>
        <v>0</v>
      </c>
    </row>
    <row r="571" spans="1:12">
      <c r="A571" s="1"/>
      <c r="B571" s="1">
        <v>826017</v>
      </c>
      <c r="C571" s="1" t="s">
        <v>2039</v>
      </c>
      <c r="D571" s="1" t="s">
        <v>2040</v>
      </c>
      <c r="E571" s="3" t="s">
        <v>2041</v>
      </c>
      <c r="F571" s="1" t="s">
        <v>2042</v>
      </c>
      <c r="G571" s="1" t="s">
        <v>14</v>
      </c>
      <c r="H571" s="1" t="s">
        <v>14</v>
      </c>
      <c r="I571" s="1" t="s">
        <v>14</v>
      </c>
      <c r="J571" s="1" t="s">
        <v>15</v>
      </c>
      <c r="K571" s="2"/>
      <c r="L571" s="5">
        <f>K571*2777.70</f>
        <v>0</v>
      </c>
    </row>
    <row r="572" spans="1:12">
      <c r="A572" s="1"/>
      <c r="B572" s="1">
        <v>826018</v>
      </c>
      <c r="C572" s="1" t="s">
        <v>2043</v>
      </c>
      <c r="D572" s="1" t="s">
        <v>2044</v>
      </c>
      <c r="E572" s="3" t="s">
        <v>2045</v>
      </c>
      <c r="F572" s="1" t="s">
        <v>2046</v>
      </c>
      <c r="G572" s="1" t="s">
        <v>14</v>
      </c>
      <c r="H572" s="1" t="s">
        <v>14</v>
      </c>
      <c r="I572" s="1" t="s">
        <v>14</v>
      </c>
      <c r="J572" s="1" t="s">
        <v>15</v>
      </c>
      <c r="K572" s="2"/>
      <c r="L572" s="5">
        <f>K572*2682.62</f>
        <v>0</v>
      </c>
    </row>
    <row r="573" spans="1:12">
      <c r="A573" s="1"/>
      <c r="B573" s="1">
        <v>826019</v>
      </c>
      <c r="C573" s="1" t="s">
        <v>2047</v>
      </c>
      <c r="D573" s="1" t="s">
        <v>2048</v>
      </c>
      <c r="E573" s="3" t="s">
        <v>2045</v>
      </c>
      <c r="F573" s="1" t="s">
        <v>2049</v>
      </c>
      <c r="G573" s="1" t="s">
        <v>14</v>
      </c>
      <c r="H573" s="1" t="s">
        <v>14</v>
      </c>
      <c r="I573" s="1" t="s">
        <v>14</v>
      </c>
      <c r="J573" s="1" t="s">
        <v>15</v>
      </c>
      <c r="K573" s="2"/>
      <c r="L573" s="5">
        <f>K573*2684.21</f>
        <v>0</v>
      </c>
    </row>
    <row r="574" spans="1:12">
      <c r="A574" s="1"/>
      <c r="B574" s="1">
        <v>826020</v>
      </c>
      <c r="C574" s="1" t="s">
        <v>2050</v>
      </c>
      <c r="D574" s="1" t="s">
        <v>2051</v>
      </c>
      <c r="E574" s="3" t="s">
        <v>2045</v>
      </c>
      <c r="F574" s="1" t="s">
        <v>2052</v>
      </c>
      <c r="G574" s="1" t="s">
        <v>14</v>
      </c>
      <c r="H574" s="1" t="s">
        <v>14</v>
      </c>
      <c r="I574" s="1" t="s">
        <v>14</v>
      </c>
      <c r="J574" s="1" t="s">
        <v>15</v>
      </c>
      <c r="K574" s="2"/>
      <c r="L574" s="5">
        <f>K574*3403.02</f>
        <v>0</v>
      </c>
    </row>
    <row r="575" spans="1:12">
      <c r="A575" s="1"/>
      <c r="B575" s="1">
        <v>826021</v>
      </c>
      <c r="C575" s="1" t="s">
        <v>2053</v>
      </c>
      <c r="D575" s="1" t="s">
        <v>2054</v>
      </c>
      <c r="E575" s="3" t="s">
        <v>2041</v>
      </c>
      <c r="F575" s="1" t="s">
        <v>2055</v>
      </c>
      <c r="G575" s="1" t="s">
        <v>14</v>
      </c>
      <c r="H575" s="1" t="s">
        <v>14</v>
      </c>
      <c r="I575" s="1" t="s">
        <v>14</v>
      </c>
      <c r="J575" s="1" t="s">
        <v>15</v>
      </c>
      <c r="K575" s="2"/>
      <c r="L575" s="5">
        <f>K575*2353.18</f>
        <v>0</v>
      </c>
    </row>
    <row r="576" spans="1:12">
      <c r="A576" s="1"/>
      <c r="B576" s="1">
        <v>826022</v>
      </c>
      <c r="C576" s="1" t="s">
        <v>2056</v>
      </c>
      <c r="D576" s="1" t="s">
        <v>2057</v>
      </c>
      <c r="E576" s="3" t="s">
        <v>2045</v>
      </c>
      <c r="F576" s="1" t="s">
        <v>2058</v>
      </c>
      <c r="G576" s="1" t="s">
        <v>14</v>
      </c>
      <c r="H576" s="1" t="s">
        <v>14</v>
      </c>
      <c r="I576" s="1" t="s">
        <v>14</v>
      </c>
      <c r="J576" s="1" t="s">
        <v>15</v>
      </c>
      <c r="K576" s="2"/>
      <c r="L576" s="5">
        <f>K576*3620.23</f>
        <v>0</v>
      </c>
    </row>
    <row r="577" spans="1:12">
      <c r="A577" s="1"/>
      <c r="B577" s="1">
        <v>826023</v>
      </c>
      <c r="C577" s="1" t="s">
        <v>2059</v>
      </c>
      <c r="D577" s="1" t="s">
        <v>2060</v>
      </c>
      <c r="E577" s="3" t="s">
        <v>2041</v>
      </c>
      <c r="F577" s="1" t="s">
        <v>2061</v>
      </c>
      <c r="G577" s="1" t="s">
        <v>14</v>
      </c>
      <c r="H577" s="1" t="s">
        <v>14</v>
      </c>
      <c r="I577" s="1" t="s">
        <v>14</v>
      </c>
      <c r="J577" s="1" t="s">
        <v>15</v>
      </c>
      <c r="K577" s="2"/>
      <c r="L577" s="5">
        <f>K577*2485.16</f>
        <v>0</v>
      </c>
    </row>
    <row r="578" spans="1:12">
      <c r="A578" s="1"/>
      <c r="B578" s="1">
        <v>826024</v>
      </c>
      <c r="C578" s="1" t="s">
        <v>2062</v>
      </c>
      <c r="D578" s="1" t="s">
        <v>2063</v>
      </c>
      <c r="E578" s="3" t="s">
        <v>2045</v>
      </c>
      <c r="F578" s="1" t="s">
        <v>2064</v>
      </c>
      <c r="G578" s="1" t="s">
        <v>14</v>
      </c>
      <c r="H578" s="1" t="s">
        <v>14</v>
      </c>
      <c r="I578" s="1" t="s">
        <v>14</v>
      </c>
      <c r="J578" s="1" t="s">
        <v>15</v>
      </c>
      <c r="K578" s="2"/>
      <c r="L578" s="5">
        <f>K578*2967.95</f>
        <v>0</v>
      </c>
    </row>
    <row r="579" spans="1:12">
      <c r="A579" s="1"/>
      <c r="B579" s="1">
        <v>826025</v>
      </c>
      <c r="C579" s="1" t="s">
        <v>2065</v>
      </c>
      <c r="D579" s="1" t="s">
        <v>2066</v>
      </c>
      <c r="E579" s="3" t="s">
        <v>2041</v>
      </c>
      <c r="F579" s="1" t="s">
        <v>2067</v>
      </c>
      <c r="G579" s="1" t="s">
        <v>14</v>
      </c>
      <c r="H579" s="1" t="s">
        <v>14</v>
      </c>
      <c r="I579" s="1" t="s">
        <v>14</v>
      </c>
      <c r="J579" s="1" t="s">
        <v>15</v>
      </c>
      <c r="K579" s="2"/>
      <c r="L579" s="5">
        <f>K579*2113.63</f>
        <v>0</v>
      </c>
    </row>
    <row r="580" spans="1:12">
      <c r="A580" s="1"/>
      <c r="B580" s="1">
        <v>826026</v>
      </c>
      <c r="C580" s="1" t="s">
        <v>2068</v>
      </c>
      <c r="D580" s="1" t="s">
        <v>2069</v>
      </c>
      <c r="E580" s="3" t="s">
        <v>2045</v>
      </c>
      <c r="F580" s="1" t="s">
        <v>2070</v>
      </c>
      <c r="G580" s="1" t="s">
        <v>14</v>
      </c>
      <c r="H580" s="1" t="s">
        <v>14</v>
      </c>
      <c r="I580" s="1" t="s">
        <v>14</v>
      </c>
      <c r="J580" s="1" t="s">
        <v>15</v>
      </c>
      <c r="K580" s="2"/>
      <c r="L580" s="5">
        <f>K580*2730.89</f>
        <v>0</v>
      </c>
    </row>
    <row r="581" spans="1:12">
      <c r="A581" s="1"/>
      <c r="B581" s="1">
        <v>826027</v>
      </c>
      <c r="C581" s="1" t="s">
        <v>2071</v>
      </c>
      <c r="D581" s="1" t="s">
        <v>2072</v>
      </c>
      <c r="E581" s="3" t="s">
        <v>2045</v>
      </c>
      <c r="F581" s="1" t="s">
        <v>2073</v>
      </c>
      <c r="G581" s="1" t="s">
        <v>14</v>
      </c>
      <c r="H581" s="1" t="s">
        <v>14</v>
      </c>
      <c r="I581" s="1" t="s">
        <v>14</v>
      </c>
      <c r="J581" s="1" t="s">
        <v>15</v>
      </c>
      <c r="K581" s="2"/>
      <c r="L581" s="5">
        <f>K581*3052.69</f>
        <v>0</v>
      </c>
    </row>
    <row r="582" spans="1:12">
      <c r="A582" s="1"/>
      <c r="B582" s="1">
        <v>826028</v>
      </c>
      <c r="C582" s="1" t="s">
        <v>2074</v>
      </c>
      <c r="D582" s="1" t="s">
        <v>2075</v>
      </c>
      <c r="E582" s="3" t="s">
        <v>2041</v>
      </c>
      <c r="F582" s="1" t="s">
        <v>2076</v>
      </c>
      <c r="G582" s="1" t="s">
        <v>14</v>
      </c>
      <c r="H582" s="1" t="s">
        <v>14</v>
      </c>
      <c r="I582" s="1" t="s">
        <v>14</v>
      </c>
      <c r="J582" s="1" t="s">
        <v>15</v>
      </c>
      <c r="K582" s="2"/>
      <c r="L582" s="5">
        <f>K582*2587.55</f>
        <v>0</v>
      </c>
    </row>
    <row r="583" spans="1:12">
      <c r="A583" s="1"/>
      <c r="B583" s="1">
        <v>826029</v>
      </c>
      <c r="C583" s="1" t="s">
        <v>2077</v>
      </c>
      <c r="D583" s="1" t="s">
        <v>2078</v>
      </c>
      <c r="E583" s="3" t="s">
        <v>2079</v>
      </c>
      <c r="F583" s="1" t="s">
        <v>2080</v>
      </c>
      <c r="G583" s="1" t="s">
        <v>14</v>
      </c>
      <c r="H583" s="1" t="s">
        <v>14</v>
      </c>
      <c r="I583" s="1" t="s">
        <v>14</v>
      </c>
      <c r="J583" s="1" t="s">
        <v>15</v>
      </c>
      <c r="K583" s="2"/>
      <c r="L583" s="5">
        <f>K583*3114.13</f>
        <v>0</v>
      </c>
    </row>
    <row r="584" spans="1:12">
      <c r="A584" s="1"/>
      <c r="B584" s="1">
        <v>826030</v>
      </c>
      <c r="C584" s="1" t="s">
        <v>2081</v>
      </c>
      <c r="D584" s="1" t="s">
        <v>2082</v>
      </c>
      <c r="E584" s="3" t="s">
        <v>2045</v>
      </c>
      <c r="F584" s="1" t="s">
        <v>2083</v>
      </c>
      <c r="G584" s="1" t="s">
        <v>14</v>
      </c>
      <c r="H584" s="1" t="s">
        <v>14</v>
      </c>
      <c r="I584" s="1" t="s">
        <v>14</v>
      </c>
      <c r="J584" s="1" t="s">
        <v>15</v>
      </c>
      <c r="K584" s="2"/>
      <c r="L584" s="5">
        <f>K584*2706.03</f>
        <v>0</v>
      </c>
    </row>
    <row r="585" spans="1:12">
      <c r="A585" s="1"/>
      <c r="B585" s="1">
        <v>826031</v>
      </c>
      <c r="C585" s="1" t="s">
        <v>2084</v>
      </c>
      <c r="D585" s="1" t="s">
        <v>2085</v>
      </c>
      <c r="E585" s="3" t="s">
        <v>2041</v>
      </c>
      <c r="F585" s="1" t="s">
        <v>263</v>
      </c>
      <c r="G585" s="1" t="s">
        <v>14</v>
      </c>
      <c r="H585" s="1" t="s">
        <v>14</v>
      </c>
      <c r="I585" s="1" t="s">
        <v>14</v>
      </c>
      <c r="J585" s="1" t="s">
        <v>15</v>
      </c>
      <c r="K585" s="2"/>
      <c r="L585" s="5">
        <f>K585*2104.85</f>
        <v>0</v>
      </c>
    </row>
    <row r="586" spans="1:12">
      <c r="A586" s="1"/>
      <c r="B586" s="1">
        <v>826032</v>
      </c>
      <c r="C586" s="1" t="s">
        <v>2086</v>
      </c>
      <c r="D586" s="1" t="s">
        <v>2087</v>
      </c>
      <c r="E586" s="3" t="s">
        <v>2045</v>
      </c>
      <c r="F586" s="1" t="s">
        <v>2088</v>
      </c>
      <c r="G586" s="1" t="s">
        <v>14</v>
      </c>
      <c r="H586" s="1" t="s">
        <v>14</v>
      </c>
      <c r="I586" s="1" t="s">
        <v>14</v>
      </c>
      <c r="J586" s="1" t="s">
        <v>15</v>
      </c>
      <c r="K586" s="2"/>
      <c r="L586" s="5">
        <f>K586*3217.65</f>
        <v>0</v>
      </c>
    </row>
    <row r="587" spans="1:12">
      <c r="A587" s="1"/>
      <c r="B587" s="1">
        <v>826033</v>
      </c>
      <c r="C587" s="1" t="s">
        <v>2089</v>
      </c>
      <c r="D587" s="1" t="s">
        <v>2090</v>
      </c>
      <c r="E587" s="3" t="s">
        <v>2041</v>
      </c>
      <c r="F587" s="1" t="s">
        <v>2091</v>
      </c>
      <c r="G587" s="1" t="s">
        <v>14</v>
      </c>
      <c r="H587" s="1" t="s">
        <v>14</v>
      </c>
      <c r="I587" s="1" t="s">
        <v>14</v>
      </c>
      <c r="J587" s="1" t="s">
        <v>15</v>
      </c>
      <c r="K587" s="2"/>
      <c r="L587" s="5">
        <f>K587*2682.32</f>
        <v>0</v>
      </c>
    </row>
    <row r="588" spans="1:12">
      <c r="A588" s="1"/>
      <c r="B588" s="1">
        <v>826034</v>
      </c>
      <c r="C588" s="1" t="s">
        <v>2092</v>
      </c>
      <c r="D588" s="1" t="s">
        <v>2093</v>
      </c>
      <c r="E588" s="3" t="s">
        <v>2094</v>
      </c>
      <c r="F588" s="1" t="s">
        <v>2095</v>
      </c>
      <c r="G588" s="1" t="s">
        <v>14</v>
      </c>
      <c r="H588" s="1" t="s">
        <v>14</v>
      </c>
      <c r="I588" s="1" t="s">
        <v>14</v>
      </c>
      <c r="J588" s="1" t="s">
        <v>15</v>
      </c>
      <c r="K588" s="2"/>
      <c r="L588" s="5">
        <f>K588*4089.68</f>
        <v>0</v>
      </c>
    </row>
    <row r="589" spans="1:12">
      <c r="A589" s="1"/>
      <c r="B589" s="1">
        <v>826035</v>
      </c>
      <c r="C589" s="1" t="s">
        <v>2096</v>
      </c>
      <c r="D589" s="1" t="s">
        <v>2097</v>
      </c>
      <c r="E589" s="3" t="s">
        <v>2045</v>
      </c>
      <c r="F589" s="1" t="s">
        <v>2098</v>
      </c>
      <c r="G589" s="1" t="s">
        <v>14</v>
      </c>
      <c r="H589" s="1" t="s">
        <v>14</v>
      </c>
      <c r="I589" s="1" t="s">
        <v>14</v>
      </c>
      <c r="J589" s="1" t="s">
        <v>15</v>
      </c>
      <c r="K589" s="2"/>
      <c r="L589" s="5">
        <f>K589*3194.95</f>
        <v>0</v>
      </c>
    </row>
    <row r="590" spans="1:12">
      <c r="A590" s="1"/>
      <c r="B590" s="1">
        <v>826036</v>
      </c>
      <c r="C590" s="1" t="s">
        <v>2099</v>
      </c>
      <c r="D590" s="1" t="s">
        <v>2100</v>
      </c>
      <c r="E590" s="3" t="s">
        <v>2045</v>
      </c>
      <c r="F590" s="1" t="s">
        <v>2101</v>
      </c>
      <c r="G590" s="1" t="s">
        <v>14</v>
      </c>
      <c r="H590" s="1" t="s">
        <v>14</v>
      </c>
      <c r="I590" s="1" t="s">
        <v>14</v>
      </c>
      <c r="J590" s="1" t="s">
        <v>15</v>
      </c>
      <c r="K590" s="2"/>
      <c r="L590" s="5">
        <f>K590*3076.10</f>
        <v>0</v>
      </c>
    </row>
    <row r="591" spans="1:12">
      <c r="A591" s="1"/>
      <c r="B591" s="1">
        <v>826037</v>
      </c>
      <c r="C591" s="1" t="s">
        <v>2102</v>
      </c>
      <c r="D591" s="1" t="s">
        <v>2103</v>
      </c>
      <c r="E591" s="3" t="s">
        <v>2041</v>
      </c>
      <c r="F591" s="1" t="s">
        <v>2104</v>
      </c>
      <c r="G591" s="1" t="s">
        <v>14</v>
      </c>
      <c r="H591" s="1" t="s">
        <v>14</v>
      </c>
      <c r="I591" s="1" t="s">
        <v>14</v>
      </c>
      <c r="J591" s="1" t="s">
        <v>15</v>
      </c>
      <c r="K591" s="2"/>
      <c r="L591" s="5">
        <f>K591*3868.89</f>
        <v>0</v>
      </c>
    </row>
    <row r="592" spans="1:12">
      <c r="A592" s="1"/>
      <c r="B592" s="1">
        <v>826038</v>
      </c>
      <c r="C592" s="1" t="s">
        <v>2105</v>
      </c>
      <c r="D592" s="1" t="s">
        <v>2106</v>
      </c>
      <c r="E592" s="3" t="s">
        <v>2079</v>
      </c>
      <c r="F592" s="1" t="s">
        <v>2080</v>
      </c>
      <c r="G592" s="1" t="s">
        <v>14</v>
      </c>
      <c r="H592" s="1" t="s">
        <v>14</v>
      </c>
      <c r="I592" s="1" t="s">
        <v>14</v>
      </c>
      <c r="J592" s="1" t="s">
        <v>15</v>
      </c>
      <c r="K592" s="2"/>
      <c r="L592" s="5">
        <f>K592*3114.13</f>
        <v>0</v>
      </c>
    </row>
    <row r="593" spans="1:12">
      <c r="A593" s="1"/>
      <c r="B593" s="1">
        <v>826039</v>
      </c>
      <c r="C593" s="1" t="s">
        <v>2107</v>
      </c>
      <c r="D593" s="1" t="s">
        <v>2108</v>
      </c>
      <c r="E593" s="3" t="s">
        <v>2041</v>
      </c>
      <c r="F593" s="1" t="s">
        <v>2109</v>
      </c>
      <c r="G593" s="1" t="s">
        <v>14</v>
      </c>
      <c r="H593" s="1" t="s">
        <v>14</v>
      </c>
      <c r="I593" s="1" t="s">
        <v>14</v>
      </c>
      <c r="J593" s="1" t="s">
        <v>15</v>
      </c>
      <c r="K593" s="2"/>
      <c r="L593" s="5">
        <f>K593*3556.25</f>
        <v>0</v>
      </c>
    </row>
    <row r="594" spans="1:12">
      <c r="A594" s="1"/>
      <c r="B594" s="1">
        <v>826040</v>
      </c>
      <c r="C594" s="1" t="s">
        <v>2110</v>
      </c>
      <c r="D594" s="1" t="s">
        <v>2111</v>
      </c>
      <c r="E594" s="3" t="s">
        <v>2079</v>
      </c>
      <c r="F594" s="1" t="s">
        <v>2112</v>
      </c>
      <c r="G594" s="1" t="s">
        <v>14</v>
      </c>
      <c r="H594" s="1" t="s">
        <v>14</v>
      </c>
      <c r="I594" s="1" t="s">
        <v>14</v>
      </c>
      <c r="J594" s="1" t="s">
        <v>15</v>
      </c>
      <c r="K594" s="2"/>
      <c r="L594" s="5">
        <f>K594*2769.33</f>
        <v>0</v>
      </c>
    </row>
    <row r="595" spans="1:12">
      <c r="A595" s="1"/>
      <c r="B595" s="1">
        <v>826041</v>
      </c>
      <c r="C595" s="1" t="s">
        <v>2113</v>
      </c>
      <c r="D595" s="1" t="s">
        <v>2114</v>
      </c>
      <c r="E595" s="3" t="s">
        <v>2115</v>
      </c>
      <c r="F595" s="1" t="s">
        <v>2116</v>
      </c>
      <c r="G595" s="1" t="s">
        <v>14</v>
      </c>
      <c r="H595" s="1" t="s">
        <v>14</v>
      </c>
      <c r="I595" s="1" t="s">
        <v>14</v>
      </c>
      <c r="J595" s="1" t="s">
        <v>15</v>
      </c>
      <c r="K595" s="2"/>
      <c r="L595" s="5">
        <f>K595*3140.46</f>
        <v>0</v>
      </c>
    </row>
    <row r="596" spans="1:12">
      <c r="A596" s="1"/>
      <c r="B596" s="1">
        <v>826042</v>
      </c>
      <c r="C596" s="1" t="s">
        <v>2117</v>
      </c>
      <c r="D596" s="1" t="s">
        <v>2118</v>
      </c>
      <c r="E596" s="3" t="s">
        <v>2119</v>
      </c>
      <c r="F596" s="1" t="s">
        <v>2120</v>
      </c>
      <c r="G596" s="1" t="s">
        <v>14</v>
      </c>
      <c r="H596" s="1" t="s">
        <v>14</v>
      </c>
      <c r="I596" s="1" t="s">
        <v>14</v>
      </c>
      <c r="J596" s="1" t="s">
        <v>15</v>
      </c>
      <c r="K596" s="2"/>
      <c r="L596" s="5">
        <f>K596*3510.52</f>
        <v>0</v>
      </c>
    </row>
    <row r="597" spans="1:12">
      <c r="A597" s="1"/>
      <c r="B597" s="1">
        <v>826043</v>
      </c>
      <c r="C597" s="1" t="s">
        <v>2121</v>
      </c>
      <c r="D597" s="1" t="s">
        <v>2122</v>
      </c>
      <c r="E597" s="3" t="s">
        <v>2115</v>
      </c>
      <c r="F597" s="1" t="s">
        <v>2123</v>
      </c>
      <c r="G597" s="1" t="s">
        <v>14</v>
      </c>
      <c r="H597" s="1" t="s">
        <v>14</v>
      </c>
      <c r="I597" s="1" t="s">
        <v>14</v>
      </c>
      <c r="J597" s="1" t="s">
        <v>15</v>
      </c>
      <c r="K597" s="2"/>
      <c r="L597" s="5">
        <f>K597*3402.28</f>
        <v>0</v>
      </c>
    </row>
    <row r="598" spans="1:12">
      <c r="A598" s="1"/>
      <c r="B598" s="1">
        <v>826044</v>
      </c>
      <c r="C598" s="1" t="s">
        <v>2124</v>
      </c>
      <c r="D598" s="1" t="s">
        <v>2125</v>
      </c>
      <c r="E598" s="3" t="s">
        <v>2115</v>
      </c>
      <c r="F598" s="1" t="s">
        <v>2126</v>
      </c>
      <c r="G598" s="1" t="s">
        <v>14</v>
      </c>
      <c r="H598" s="1" t="s">
        <v>14</v>
      </c>
      <c r="I598" s="1" t="s">
        <v>14</v>
      </c>
      <c r="J598" s="1" t="s">
        <v>15</v>
      </c>
      <c r="K598" s="2"/>
      <c r="L598" s="5">
        <f>K598*3000.03</f>
        <v>0</v>
      </c>
    </row>
    <row r="599" spans="1:12">
      <c r="A599" s="1"/>
      <c r="B599" s="1">
        <v>826045</v>
      </c>
      <c r="C599" s="1" t="s">
        <v>2127</v>
      </c>
      <c r="D599" s="1" t="s">
        <v>2128</v>
      </c>
      <c r="E599" s="3" t="s">
        <v>2115</v>
      </c>
      <c r="F599" s="1" t="s">
        <v>2129</v>
      </c>
      <c r="G599" s="1" t="s">
        <v>14</v>
      </c>
      <c r="H599" s="1" t="s">
        <v>14</v>
      </c>
      <c r="I599" s="1" t="s">
        <v>14</v>
      </c>
      <c r="J599" s="1" t="s">
        <v>15</v>
      </c>
      <c r="K599" s="2"/>
      <c r="L599" s="5">
        <f>K599*3046.84</f>
        <v>0</v>
      </c>
    </row>
    <row r="600" spans="1:12">
      <c r="A600" s="1"/>
      <c r="B600" s="1">
        <v>826046</v>
      </c>
      <c r="C600" s="1" t="s">
        <v>2130</v>
      </c>
      <c r="D600" s="1" t="s">
        <v>2131</v>
      </c>
      <c r="E600" s="3" t="s">
        <v>2132</v>
      </c>
      <c r="F600" s="1" t="s">
        <v>2133</v>
      </c>
      <c r="G600" s="1" t="s">
        <v>14</v>
      </c>
      <c r="H600" s="1" t="s">
        <v>14</v>
      </c>
      <c r="I600" s="1" t="s">
        <v>14</v>
      </c>
      <c r="J600" s="1" t="s">
        <v>15</v>
      </c>
      <c r="K600" s="2"/>
      <c r="L600" s="5">
        <f>K600*3519.30</f>
        <v>0</v>
      </c>
    </row>
    <row r="601" spans="1:12">
      <c r="A601" s="1"/>
      <c r="B601" s="1">
        <v>826047</v>
      </c>
      <c r="C601" s="1" t="s">
        <v>2134</v>
      </c>
      <c r="D601" s="1" t="s">
        <v>2135</v>
      </c>
      <c r="E601" s="3" t="s">
        <v>2132</v>
      </c>
      <c r="F601" s="1" t="s">
        <v>2136</v>
      </c>
      <c r="G601" s="1" t="s">
        <v>14</v>
      </c>
      <c r="H601" s="1" t="s">
        <v>14</v>
      </c>
      <c r="I601" s="1" t="s">
        <v>14</v>
      </c>
      <c r="J601" s="1" t="s">
        <v>15</v>
      </c>
      <c r="K601" s="2"/>
      <c r="L601" s="5">
        <f>K601*3800.14</f>
        <v>0</v>
      </c>
    </row>
    <row r="602" spans="1:12">
      <c r="A602" s="1"/>
      <c r="B602" s="1">
        <v>826048</v>
      </c>
      <c r="C602" s="1" t="s">
        <v>2137</v>
      </c>
      <c r="D602" s="1" t="s">
        <v>2138</v>
      </c>
      <c r="E602" s="3" t="s">
        <v>2139</v>
      </c>
      <c r="F602" s="1" t="s">
        <v>2133</v>
      </c>
      <c r="G602" s="1" t="s">
        <v>14</v>
      </c>
      <c r="H602" s="1" t="s">
        <v>14</v>
      </c>
      <c r="I602" s="1" t="s">
        <v>14</v>
      </c>
      <c r="J602" s="1" t="s">
        <v>15</v>
      </c>
      <c r="K602" s="2"/>
      <c r="L602" s="5">
        <f>K602*3519.30</f>
        <v>0</v>
      </c>
    </row>
    <row r="603" spans="1:12">
      <c r="A603" s="1"/>
      <c r="B603" s="1">
        <v>826049</v>
      </c>
      <c r="C603" s="1" t="s">
        <v>2140</v>
      </c>
      <c r="D603" s="1" t="s">
        <v>2141</v>
      </c>
      <c r="E603" s="3" t="s">
        <v>2139</v>
      </c>
      <c r="F603" s="1" t="s">
        <v>2142</v>
      </c>
      <c r="G603" s="1" t="s">
        <v>14</v>
      </c>
      <c r="H603" s="1" t="s">
        <v>14</v>
      </c>
      <c r="I603" s="1" t="s">
        <v>14</v>
      </c>
      <c r="J603" s="1" t="s">
        <v>15</v>
      </c>
      <c r="K603" s="2"/>
      <c r="L603" s="5">
        <f>K603*4060.51</f>
        <v>0</v>
      </c>
    </row>
    <row r="604" spans="1:12">
      <c r="A604" s="1"/>
      <c r="B604" s="1">
        <v>826050</v>
      </c>
      <c r="C604" s="1" t="s">
        <v>2143</v>
      </c>
      <c r="D604" s="1" t="s">
        <v>2144</v>
      </c>
      <c r="E604" s="3" t="s">
        <v>2145</v>
      </c>
      <c r="F604" s="1" t="s">
        <v>2133</v>
      </c>
      <c r="G604" s="1" t="s">
        <v>14</v>
      </c>
      <c r="H604" s="1" t="s">
        <v>14</v>
      </c>
      <c r="I604" s="1" t="s">
        <v>14</v>
      </c>
      <c r="J604" s="1" t="s">
        <v>15</v>
      </c>
      <c r="K604" s="2"/>
      <c r="L604" s="5">
        <f>K604*3519.30</f>
        <v>0</v>
      </c>
    </row>
    <row r="605" spans="1:12">
      <c r="A605" s="1"/>
      <c r="B605" s="1">
        <v>826051</v>
      </c>
      <c r="C605" s="1" t="s">
        <v>2146</v>
      </c>
      <c r="D605" s="1" t="s">
        <v>2147</v>
      </c>
      <c r="E605" s="3" t="s">
        <v>2145</v>
      </c>
      <c r="F605" s="1" t="s">
        <v>2148</v>
      </c>
      <c r="G605" s="1" t="s">
        <v>14</v>
      </c>
      <c r="H605" s="1" t="s">
        <v>14</v>
      </c>
      <c r="I605" s="1" t="s">
        <v>14</v>
      </c>
      <c r="J605" s="1" t="s">
        <v>15</v>
      </c>
      <c r="K605" s="2"/>
      <c r="L605" s="5">
        <f>K605*3939.10</f>
        <v>0</v>
      </c>
    </row>
    <row r="606" spans="1:12">
      <c r="A606" s="1"/>
      <c r="B606" s="1">
        <v>826052</v>
      </c>
      <c r="C606" s="1" t="s">
        <v>2149</v>
      </c>
      <c r="D606" s="1" t="s">
        <v>2150</v>
      </c>
      <c r="E606" s="3" t="s">
        <v>2151</v>
      </c>
      <c r="F606" s="1" t="s">
        <v>2152</v>
      </c>
      <c r="G606" s="1" t="s">
        <v>14</v>
      </c>
      <c r="H606" s="1" t="s">
        <v>14</v>
      </c>
      <c r="I606" s="1" t="s">
        <v>14</v>
      </c>
      <c r="J606" s="1" t="s">
        <v>15</v>
      </c>
      <c r="K606" s="2"/>
      <c r="L606" s="5">
        <f>K606*6045.41</f>
        <v>0</v>
      </c>
    </row>
    <row r="607" spans="1:12">
      <c r="A607" s="1"/>
      <c r="B607" s="1">
        <v>826053</v>
      </c>
      <c r="C607" s="1" t="s">
        <v>2153</v>
      </c>
      <c r="D607" s="1" t="s">
        <v>2154</v>
      </c>
      <c r="E607" s="3" t="s">
        <v>2155</v>
      </c>
      <c r="F607" s="1" t="s">
        <v>2152</v>
      </c>
      <c r="G607" s="1" t="s">
        <v>14</v>
      </c>
      <c r="H607" s="1" t="s">
        <v>14</v>
      </c>
      <c r="I607" s="1" t="s">
        <v>14</v>
      </c>
      <c r="J607" s="1" t="s">
        <v>15</v>
      </c>
      <c r="K607" s="2"/>
      <c r="L607" s="5">
        <f>K607*6045.41</f>
        <v>0</v>
      </c>
    </row>
    <row r="608" spans="1:12">
      <c r="A608" s="1"/>
      <c r="B608" s="1">
        <v>826054</v>
      </c>
      <c r="C608" s="1" t="s">
        <v>2156</v>
      </c>
      <c r="D608" s="1" t="s">
        <v>2157</v>
      </c>
      <c r="E608" s="3" t="s">
        <v>2158</v>
      </c>
      <c r="F608" s="1" t="s">
        <v>2159</v>
      </c>
      <c r="G608" s="1" t="s">
        <v>14</v>
      </c>
      <c r="H608" s="1" t="s">
        <v>14</v>
      </c>
      <c r="I608" s="1" t="s">
        <v>14</v>
      </c>
      <c r="J608" s="1" t="s">
        <v>15</v>
      </c>
      <c r="K608" s="2"/>
      <c r="L608" s="5">
        <f>K608*4778.70</f>
        <v>0</v>
      </c>
    </row>
    <row r="609" spans="1:12">
      <c r="A609" s="1"/>
      <c r="B609" s="1">
        <v>826055</v>
      </c>
      <c r="C609" s="1" t="s">
        <v>2160</v>
      </c>
      <c r="D609" s="1" t="s">
        <v>2161</v>
      </c>
      <c r="E609" s="3" t="s">
        <v>2162</v>
      </c>
      <c r="F609" s="1" t="s">
        <v>2159</v>
      </c>
      <c r="G609" s="1" t="s">
        <v>14</v>
      </c>
      <c r="H609" s="1" t="s">
        <v>14</v>
      </c>
      <c r="I609" s="1" t="s">
        <v>14</v>
      </c>
      <c r="J609" s="1" t="s">
        <v>15</v>
      </c>
      <c r="K609" s="2"/>
      <c r="L609" s="5">
        <f>K609*4778.70</f>
        <v>0</v>
      </c>
    </row>
    <row r="610" spans="1:12">
      <c r="A610" s="1"/>
      <c r="B610" s="1">
        <v>826056</v>
      </c>
      <c r="C610" s="1" t="s">
        <v>2163</v>
      </c>
      <c r="D610" s="1" t="s">
        <v>2164</v>
      </c>
      <c r="E610" s="3" t="s">
        <v>2165</v>
      </c>
      <c r="F610" s="1" t="s">
        <v>2159</v>
      </c>
      <c r="G610" s="1" t="s">
        <v>14</v>
      </c>
      <c r="H610" s="1" t="s">
        <v>14</v>
      </c>
      <c r="I610" s="1" t="s">
        <v>14</v>
      </c>
      <c r="J610" s="1" t="s">
        <v>15</v>
      </c>
      <c r="K610" s="2"/>
      <c r="L610" s="5">
        <f>K610*4778.70</f>
        <v>0</v>
      </c>
    </row>
    <row r="611" spans="1:12">
      <c r="A611" s="1"/>
      <c r="B611" s="1">
        <v>826057</v>
      </c>
      <c r="C611" s="1" t="s">
        <v>2166</v>
      </c>
      <c r="D611" s="1" t="s">
        <v>2167</v>
      </c>
      <c r="E611" s="3" t="s">
        <v>2168</v>
      </c>
      <c r="F611" s="1" t="s">
        <v>2169</v>
      </c>
      <c r="G611" s="1" t="s">
        <v>14</v>
      </c>
      <c r="H611" s="1" t="s">
        <v>14</v>
      </c>
      <c r="I611" s="1" t="s">
        <v>14</v>
      </c>
      <c r="J611" s="1" t="s">
        <v>15</v>
      </c>
      <c r="K611" s="2"/>
      <c r="L611" s="5">
        <f>K611*5249.69</f>
        <v>0</v>
      </c>
    </row>
    <row r="612" spans="1:12">
      <c r="A612" s="1"/>
      <c r="B612" s="1">
        <v>826058</v>
      </c>
      <c r="C612" s="1" t="s">
        <v>2170</v>
      </c>
      <c r="D612" s="1" t="s">
        <v>2171</v>
      </c>
      <c r="E612" s="3" t="s">
        <v>2162</v>
      </c>
      <c r="F612" s="1" t="s">
        <v>2172</v>
      </c>
      <c r="G612" s="1" t="s">
        <v>14</v>
      </c>
      <c r="H612" s="1" t="s">
        <v>14</v>
      </c>
      <c r="I612" s="1" t="s">
        <v>14</v>
      </c>
      <c r="J612" s="1" t="s">
        <v>15</v>
      </c>
      <c r="K612" s="2"/>
      <c r="L612" s="5">
        <f>K612*5371.10</f>
        <v>0</v>
      </c>
    </row>
    <row r="613" spans="1:12">
      <c r="A613" s="1"/>
      <c r="B613" s="1">
        <v>826059</v>
      </c>
      <c r="C613" s="1" t="s">
        <v>2173</v>
      </c>
      <c r="D613" s="1" t="s">
        <v>2174</v>
      </c>
      <c r="E613" s="3" t="s">
        <v>2158</v>
      </c>
      <c r="F613" s="1" t="s">
        <v>428</v>
      </c>
      <c r="G613" s="1" t="s">
        <v>14</v>
      </c>
      <c r="H613" s="1" t="s">
        <v>14</v>
      </c>
      <c r="I613" s="1" t="s">
        <v>14</v>
      </c>
      <c r="J613" s="1" t="s">
        <v>15</v>
      </c>
      <c r="K613" s="2"/>
      <c r="L613" s="5">
        <f>K613*5211.66</f>
        <v>0</v>
      </c>
    </row>
    <row r="614" spans="1:12">
      <c r="A614" s="1"/>
      <c r="B614" s="1">
        <v>826060</v>
      </c>
      <c r="C614" s="1" t="s">
        <v>2175</v>
      </c>
      <c r="D614" s="1" t="s">
        <v>2176</v>
      </c>
      <c r="E614" s="3" t="s">
        <v>2155</v>
      </c>
      <c r="F614" s="1" t="s">
        <v>2172</v>
      </c>
      <c r="G614" s="1" t="s">
        <v>14</v>
      </c>
      <c r="H614" s="1" t="s">
        <v>14</v>
      </c>
      <c r="I614" s="1" t="s">
        <v>14</v>
      </c>
      <c r="J614" s="1" t="s">
        <v>15</v>
      </c>
      <c r="K614" s="2"/>
      <c r="L614" s="5">
        <f>K614*5371.10</f>
        <v>0</v>
      </c>
    </row>
    <row r="615" spans="1:12">
      <c r="A615" s="1"/>
      <c r="B615" s="1">
        <v>826061</v>
      </c>
      <c r="C615" s="1" t="s">
        <v>2177</v>
      </c>
      <c r="D615" s="1" t="s">
        <v>2178</v>
      </c>
      <c r="E615" s="3" t="s">
        <v>2179</v>
      </c>
      <c r="F615" s="1" t="s">
        <v>2180</v>
      </c>
      <c r="G615" s="1" t="s">
        <v>14</v>
      </c>
      <c r="H615" s="1" t="s">
        <v>14</v>
      </c>
      <c r="I615" s="1" t="s">
        <v>14</v>
      </c>
      <c r="J615" s="1" t="s">
        <v>15</v>
      </c>
      <c r="K615" s="2"/>
      <c r="L615" s="5">
        <f>K615*5931.32</f>
        <v>0</v>
      </c>
    </row>
    <row r="616" spans="1:12">
      <c r="A616" s="1"/>
      <c r="B616" s="1">
        <v>826062</v>
      </c>
      <c r="C616" s="1" t="s">
        <v>2181</v>
      </c>
      <c r="D616" s="1" t="s">
        <v>2182</v>
      </c>
      <c r="E616" s="3" t="s">
        <v>2158</v>
      </c>
      <c r="F616" s="1" t="s">
        <v>2183</v>
      </c>
      <c r="G616" s="1" t="s">
        <v>14</v>
      </c>
      <c r="H616" s="1" t="s">
        <v>14</v>
      </c>
      <c r="I616" s="1" t="s">
        <v>14</v>
      </c>
      <c r="J616" s="1" t="s">
        <v>15</v>
      </c>
      <c r="K616" s="2"/>
      <c r="L616" s="5">
        <f>K616*5237.99</f>
        <v>0</v>
      </c>
    </row>
    <row r="617" spans="1:12">
      <c r="A617" s="1"/>
      <c r="B617" s="1">
        <v>826063</v>
      </c>
      <c r="C617" s="1" t="s">
        <v>2184</v>
      </c>
      <c r="D617" s="1" t="s">
        <v>2185</v>
      </c>
      <c r="E617" s="3" t="s">
        <v>2186</v>
      </c>
      <c r="F617" s="1" t="s">
        <v>2187</v>
      </c>
      <c r="G617" s="1" t="s">
        <v>14</v>
      </c>
      <c r="H617" s="1" t="s">
        <v>14</v>
      </c>
      <c r="I617" s="1" t="s">
        <v>14</v>
      </c>
      <c r="J617" s="1" t="s">
        <v>15</v>
      </c>
      <c r="K617" s="2"/>
      <c r="L617" s="5">
        <f>K617*10088.01</f>
        <v>0</v>
      </c>
    </row>
    <row r="618" spans="1:12">
      <c r="A618" s="1"/>
      <c r="B618" s="1">
        <v>826064</v>
      </c>
      <c r="C618" s="1" t="s">
        <v>2188</v>
      </c>
      <c r="D618" s="1" t="s">
        <v>2189</v>
      </c>
      <c r="E618" s="3" t="s">
        <v>2190</v>
      </c>
      <c r="F618" s="1" t="s">
        <v>114</v>
      </c>
      <c r="G618" s="1" t="s">
        <v>14</v>
      </c>
      <c r="H618" s="1" t="s">
        <v>14</v>
      </c>
      <c r="I618" s="1" t="s">
        <v>14</v>
      </c>
      <c r="J618" s="1" t="s">
        <v>15</v>
      </c>
      <c r="K618" s="2"/>
      <c r="L618" s="5">
        <f>K618*5896.22</f>
        <v>0</v>
      </c>
    </row>
    <row r="619" spans="1:12">
      <c r="A619" s="1"/>
      <c r="B619" s="1">
        <v>826065</v>
      </c>
      <c r="C619" s="1" t="s">
        <v>2191</v>
      </c>
      <c r="D619" s="1" t="s">
        <v>2192</v>
      </c>
      <c r="E619" s="3" t="s">
        <v>2190</v>
      </c>
      <c r="F619" s="1" t="s">
        <v>2193</v>
      </c>
      <c r="G619" s="1" t="s">
        <v>14</v>
      </c>
      <c r="H619" s="1" t="s">
        <v>14</v>
      </c>
      <c r="I619" s="1" t="s">
        <v>14</v>
      </c>
      <c r="J619" s="1" t="s">
        <v>15</v>
      </c>
      <c r="K619" s="2"/>
      <c r="L619" s="5">
        <f>K619*5738.24</f>
        <v>0</v>
      </c>
    </row>
    <row r="620" spans="1:12">
      <c r="A620" s="1"/>
      <c r="B620" s="1">
        <v>826066</v>
      </c>
      <c r="C620" s="1" t="s">
        <v>2194</v>
      </c>
      <c r="D620" s="1" t="s">
        <v>2195</v>
      </c>
      <c r="E620" s="3" t="s">
        <v>2186</v>
      </c>
      <c r="F620" s="1" t="s">
        <v>2193</v>
      </c>
      <c r="G620" s="1" t="s">
        <v>14</v>
      </c>
      <c r="H620" s="1" t="s">
        <v>14</v>
      </c>
      <c r="I620" s="1" t="s">
        <v>14</v>
      </c>
      <c r="J620" s="1" t="s">
        <v>15</v>
      </c>
      <c r="K620" s="2"/>
      <c r="L620" s="5">
        <f>K620*5738.24</f>
        <v>0</v>
      </c>
    </row>
    <row r="621" spans="1:12">
      <c r="A621" s="1"/>
      <c r="B621" s="1">
        <v>826067</v>
      </c>
      <c r="C621" s="1" t="s">
        <v>2196</v>
      </c>
      <c r="D621" s="1" t="s">
        <v>2197</v>
      </c>
      <c r="E621" s="3" t="s">
        <v>2190</v>
      </c>
      <c r="F621" s="1" t="s">
        <v>2198</v>
      </c>
      <c r="G621" s="1" t="s">
        <v>14</v>
      </c>
      <c r="H621" s="1" t="s">
        <v>14</v>
      </c>
      <c r="I621" s="1" t="s">
        <v>14</v>
      </c>
      <c r="J621" s="1" t="s">
        <v>15</v>
      </c>
      <c r="K621" s="2"/>
      <c r="L621" s="5">
        <f>K621*8648.49</f>
        <v>0</v>
      </c>
    </row>
    <row r="622" spans="1:12">
      <c r="A622" s="1"/>
      <c r="B622" s="1">
        <v>826068</v>
      </c>
      <c r="C622" s="1" t="s">
        <v>2199</v>
      </c>
      <c r="D622" s="1" t="s">
        <v>2200</v>
      </c>
      <c r="E622" s="3" t="s">
        <v>2186</v>
      </c>
      <c r="F622" s="1" t="s">
        <v>2201</v>
      </c>
      <c r="G622" s="1" t="s">
        <v>14</v>
      </c>
      <c r="H622" s="1" t="s">
        <v>14</v>
      </c>
      <c r="I622" s="1" t="s">
        <v>14</v>
      </c>
      <c r="J622" s="1" t="s">
        <v>15</v>
      </c>
      <c r="K622" s="2"/>
      <c r="L622" s="5">
        <f>K622*8650.38</f>
        <v>0</v>
      </c>
    </row>
    <row r="623" spans="1:12">
      <c r="A623" s="1"/>
      <c r="B623" s="1">
        <v>826069</v>
      </c>
      <c r="C623" s="1" t="s">
        <v>2202</v>
      </c>
      <c r="D623" s="1" t="s">
        <v>2203</v>
      </c>
      <c r="E623" s="3" t="s">
        <v>2204</v>
      </c>
      <c r="F623" s="1" t="s">
        <v>2205</v>
      </c>
      <c r="G623" s="1" t="s">
        <v>14</v>
      </c>
      <c r="H623" s="1" t="s">
        <v>14</v>
      </c>
      <c r="I623" s="1" t="s">
        <v>14</v>
      </c>
      <c r="J623" s="1" t="s">
        <v>15</v>
      </c>
      <c r="K623" s="2"/>
      <c r="L623" s="5">
        <f>K623*6962.54</f>
        <v>0</v>
      </c>
    </row>
    <row r="624" spans="1:12">
      <c r="A624" s="1"/>
      <c r="B624" s="1">
        <v>826070</v>
      </c>
      <c r="C624" s="1" t="s">
        <v>2206</v>
      </c>
      <c r="D624" s="1" t="s">
        <v>2207</v>
      </c>
      <c r="E624" s="3" t="s">
        <v>2190</v>
      </c>
      <c r="F624" s="1" t="s">
        <v>2205</v>
      </c>
      <c r="G624" s="1" t="s">
        <v>14</v>
      </c>
      <c r="H624" s="1" t="s">
        <v>14</v>
      </c>
      <c r="I624" s="1" t="s">
        <v>14</v>
      </c>
      <c r="J624" s="1" t="s">
        <v>15</v>
      </c>
      <c r="K624" s="2"/>
      <c r="L624" s="5">
        <f>K624*6962.54</f>
        <v>0</v>
      </c>
    </row>
    <row r="625" spans="1:12">
      <c r="A625" s="1"/>
      <c r="B625" s="1">
        <v>831394</v>
      </c>
      <c r="C625" s="1" t="s">
        <v>2208</v>
      </c>
      <c r="D625" s="1" t="s">
        <v>2209</v>
      </c>
      <c r="E625" s="3" t="s">
        <v>2210</v>
      </c>
      <c r="F625" s="1" t="s">
        <v>2211</v>
      </c>
      <c r="G625" s="1" t="s">
        <v>14</v>
      </c>
      <c r="H625" s="1" t="s">
        <v>14</v>
      </c>
      <c r="I625" s="1" t="s">
        <v>14</v>
      </c>
      <c r="J625" s="1" t="s">
        <v>15</v>
      </c>
      <c r="K625" s="2"/>
      <c r="L625" s="5">
        <f>K625*3757.72</f>
        <v>0</v>
      </c>
    </row>
    <row r="626" spans="1:12">
      <c r="A626" s="1"/>
      <c r="B626" s="1">
        <v>831413</v>
      </c>
      <c r="C626" s="1" t="s">
        <v>2212</v>
      </c>
      <c r="D626" s="1" t="s">
        <v>2213</v>
      </c>
      <c r="E626" s="3" t="s">
        <v>2214</v>
      </c>
      <c r="F626" s="1" t="s">
        <v>2215</v>
      </c>
      <c r="G626" s="1" t="s">
        <v>14</v>
      </c>
      <c r="H626" s="1" t="s">
        <v>14</v>
      </c>
      <c r="I626" s="1" t="s">
        <v>14</v>
      </c>
      <c r="J626" s="1" t="s">
        <v>15</v>
      </c>
      <c r="K626" s="2"/>
      <c r="L626" s="5">
        <f>K626*3741.63</f>
        <v>0</v>
      </c>
    </row>
    <row r="627" spans="1:12">
      <c r="A627" s="1"/>
      <c r="B627" s="1">
        <v>831429</v>
      </c>
      <c r="C627" s="1" t="s">
        <v>2216</v>
      </c>
      <c r="D627" s="1" t="s">
        <v>2217</v>
      </c>
      <c r="E627" s="3" t="s">
        <v>2218</v>
      </c>
      <c r="F627" s="1" t="s">
        <v>2219</v>
      </c>
      <c r="G627" s="1" t="s">
        <v>14</v>
      </c>
      <c r="H627" s="1" t="s">
        <v>14</v>
      </c>
      <c r="I627" s="1" t="s">
        <v>14</v>
      </c>
      <c r="J627" s="1" t="s">
        <v>15</v>
      </c>
      <c r="K627" s="2"/>
      <c r="L627" s="5">
        <f>K627*5891.83</f>
        <v>0</v>
      </c>
    </row>
    <row r="628" spans="1:12">
      <c r="A628" s="1"/>
      <c r="B628" s="1">
        <v>831432</v>
      </c>
      <c r="C628" s="1" t="s">
        <v>2220</v>
      </c>
      <c r="D628" s="1" t="s">
        <v>2221</v>
      </c>
      <c r="E628" s="3" t="s">
        <v>2218</v>
      </c>
      <c r="F628" s="1" t="s">
        <v>2222</v>
      </c>
      <c r="G628" s="1" t="s">
        <v>14</v>
      </c>
      <c r="H628" s="1" t="s">
        <v>14</v>
      </c>
      <c r="I628" s="1" t="s">
        <v>14</v>
      </c>
      <c r="J628" s="1" t="s">
        <v>15</v>
      </c>
      <c r="K628" s="2"/>
      <c r="L628" s="5">
        <f>K628*6266.28</f>
        <v>0</v>
      </c>
    </row>
    <row r="629" spans="1:12">
      <c r="A629" s="1"/>
      <c r="B629" s="1">
        <v>831437</v>
      </c>
      <c r="C629" s="1" t="s">
        <v>2223</v>
      </c>
      <c r="D629" s="1" t="s">
        <v>2224</v>
      </c>
      <c r="E629" s="3" t="s">
        <v>2218</v>
      </c>
      <c r="F629" s="1" t="s">
        <v>2180</v>
      </c>
      <c r="G629" s="1" t="s">
        <v>14</v>
      </c>
      <c r="H629" s="1" t="s">
        <v>14</v>
      </c>
      <c r="I629" s="1" t="s">
        <v>14</v>
      </c>
      <c r="J629" s="1" t="s">
        <v>15</v>
      </c>
      <c r="K629" s="2"/>
      <c r="L629" s="5">
        <f>K629*5931.32</f>
        <v>0</v>
      </c>
    </row>
    <row r="630" spans="1:12">
      <c r="A630" s="1"/>
      <c r="B630" s="1">
        <v>831441</v>
      </c>
      <c r="C630" s="1" t="s">
        <v>2225</v>
      </c>
      <c r="D630" s="1" t="s">
        <v>2226</v>
      </c>
      <c r="E630" s="3" t="s">
        <v>2218</v>
      </c>
      <c r="F630" s="1" t="s">
        <v>2227</v>
      </c>
      <c r="G630" s="1" t="s">
        <v>14</v>
      </c>
      <c r="H630" s="1" t="s">
        <v>14</v>
      </c>
      <c r="I630" s="1" t="s">
        <v>14</v>
      </c>
      <c r="J630" s="1" t="s">
        <v>15</v>
      </c>
      <c r="K630" s="2"/>
      <c r="L630" s="5">
        <f>K630*5710.45</f>
        <v>0</v>
      </c>
    </row>
    <row r="631" spans="1:12">
      <c r="A631" s="1"/>
      <c r="B631" s="1">
        <v>831446</v>
      </c>
      <c r="C631" s="1" t="s">
        <v>2228</v>
      </c>
      <c r="D631" s="1" t="s">
        <v>2229</v>
      </c>
      <c r="E631" s="3" t="s">
        <v>2230</v>
      </c>
      <c r="F631" s="1" t="s">
        <v>2231</v>
      </c>
      <c r="G631" s="1" t="s">
        <v>14</v>
      </c>
      <c r="H631" s="1" t="s">
        <v>14</v>
      </c>
      <c r="I631" s="1" t="s">
        <v>14</v>
      </c>
      <c r="J631" s="1" t="s">
        <v>15</v>
      </c>
      <c r="K631" s="2"/>
      <c r="L631" s="5">
        <f>K631*6210.70</f>
        <v>0</v>
      </c>
    </row>
    <row r="632" spans="1:12">
      <c r="A632" s="1"/>
      <c r="B632" s="1">
        <v>831503</v>
      </c>
      <c r="C632" s="1" t="s">
        <v>2232</v>
      </c>
      <c r="D632" s="1" t="s">
        <v>2233</v>
      </c>
      <c r="E632" s="3" t="s">
        <v>2234</v>
      </c>
      <c r="F632" s="1" t="s">
        <v>2235</v>
      </c>
      <c r="G632" s="1" t="s">
        <v>14</v>
      </c>
      <c r="H632" s="1" t="s">
        <v>14</v>
      </c>
      <c r="I632" s="1" t="s">
        <v>14</v>
      </c>
      <c r="J632" s="1" t="s">
        <v>15</v>
      </c>
      <c r="K632" s="2"/>
      <c r="L632" s="5">
        <f>K632*2059.51</f>
        <v>0</v>
      </c>
    </row>
    <row r="633" spans="1:12">
      <c r="A633" s="1"/>
      <c r="B633" s="1">
        <v>831504</v>
      </c>
      <c r="C633" s="1" t="s">
        <v>2236</v>
      </c>
      <c r="D633" s="1" t="s">
        <v>2237</v>
      </c>
      <c r="E633" s="3" t="s">
        <v>2234</v>
      </c>
      <c r="F633" s="1" t="s">
        <v>2238</v>
      </c>
      <c r="G633" s="1" t="s">
        <v>14</v>
      </c>
      <c r="H633" s="1" t="s">
        <v>14</v>
      </c>
      <c r="I633" s="1" t="s">
        <v>14</v>
      </c>
      <c r="J633" s="1" t="s">
        <v>15</v>
      </c>
      <c r="K633" s="2"/>
      <c r="L633" s="5">
        <f>K633*3073.88</f>
        <v>0</v>
      </c>
    </row>
    <row r="634" spans="1:12">
      <c r="A634" s="1"/>
      <c r="B634" s="1">
        <v>831505</v>
      </c>
      <c r="C634" s="1" t="s">
        <v>2239</v>
      </c>
      <c r="D634" s="1" t="s">
        <v>2240</v>
      </c>
      <c r="E634" s="3" t="s">
        <v>2234</v>
      </c>
      <c r="F634" s="1" t="s">
        <v>2238</v>
      </c>
      <c r="G634" s="1" t="s">
        <v>14</v>
      </c>
      <c r="H634" s="1" t="s">
        <v>14</v>
      </c>
      <c r="I634" s="1" t="s">
        <v>14</v>
      </c>
      <c r="J634" s="1" t="s">
        <v>15</v>
      </c>
      <c r="K634" s="2"/>
      <c r="L634" s="5">
        <f>K634*3073.88</f>
        <v>0</v>
      </c>
    </row>
    <row r="635" spans="1:12">
      <c r="A635" s="1"/>
      <c r="B635" s="1">
        <v>831506</v>
      </c>
      <c r="C635" s="1" t="s">
        <v>2241</v>
      </c>
      <c r="D635" s="1" t="s">
        <v>2242</v>
      </c>
      <c r="E635" s="3" t="s">
        <v>2234</v>
      </c>
      <c r="F635" s="1" t="s">
        <v>2238</v>
      </c>
      <c r="G635" s="1" t="s">
        <v>14</v>
      </c>
      <c r="H635" s="1" t="s">
        <v>14</v>
      </c>
      <c r="I635" s="1" t="s">
        <v>14</v>
      </c>
      <c r="J635" s="1" t="s">
        <v>15</v>
      </c>
      <c r="K635" s="2"/>
      <c r="L635" s="5">
        <f>K635*3073.88</f>
        <v>0</v>
      </c>
    </row>
    <row r="636" spans="1:12">
      <c r="A636" s="1"/>
      <c r="B636" s="1">
        <v>831509</v>
      </c>
      <c r="C636" s="1" t="s">
        <v>2243</v>
      </c>
      <c r="D636" s="1" t="s">
        <v>2244</v>
      </c>
      <c r="E636" s="3" t="s">
        <v>2234</v>
      </c>
      <c r="F636" s="1" t="s">
        <v>2238</v>
      </c>
      <c r="G636" s="1" t="s">
        <v>14</v>
      </c>
      <c r="H636" s="1" t="s">
        <v>14</v>
      </c>
      <c r="I636" s="1" t="s">
        <v>14</v>
      </c>
      <c r="J636" s="1" t="s">
        <v>15</v>
      </c>
      <c r="K636" s="2"/>
      <c r="L636" s="5">
        <f>K636*3073.88</f>
        <v>0</v>
      </c>
    </row>
    <row r="637" spans="1:12">
      <c r="A637" s="1"/>
      <c r="B637" s="1">
        <v>831511</v>
      </c>
      <c r="C637" s="1" t="s">
        <v>2245</v>
      </c>
      <c r="D637" s="1" t="s">
        <v>2246</v>
      </c>
      <c r="E637" s="3" t="s">
        <v>2234</v>
      </c>
      <c r="F637" s="1" t="s">
        <v>2247</v>
      </c>
      <c r="G637" s="1" t="s">
        <v>14</v>
      </c>
      <c r="H637" s="1" t="s">
        <v>14</v>
      </c>
      <c r="I637" s="1" t="s">
        <v>14</v>
      </c>
      <c r="J637" s="1" t="s">
        <v>15</v>
      </c>
      <c r="K637" s="2"/>
      <c r="L637" s="5">
        <f>K637*3245.77</f>
        <v>0</v>
      </c>
    </row>
    <row r="638" spans="1:12">
      <c r="A638" s="1"/>
      <c r="B638" s="1">
        <v>831512</v>
      </c>
      <c r="C638" s="1" t="s">
        <v>2248</v>
      </c>
      <c r="D638" s="1" t="s">
        <v>2249</v>
      </c>
      <c r="E638" s="3" t="s">
        <v>2234</v>
      </c>
      <c r="F638" s="1" t="s">
        <v>2247</v>
      </c>
      <c r="G638" s="1" t="s">
        <v>14</v>
      </c>
      <c r="H638" s="1" t="s">
        <v>14</v>
      </c>
      <c r="I638" s="1" t="s">
        <v>14</v>
      </c>
      <c r="J638" s="1" t="s">
        <v>15</v>
      </c>
      <c r="K638" s="2"/>
      <c r="L638" s="5">
        <f>K638*3245.77</f>
        <v>0</v>
      </c>
    </row>
    <row r="639" spans="1:12">
      <c r="A639" s="1"/>
      <c r="B639" s="1">
        <v>831513</v>
      </c>
      <c r="C639" s="1" t="s">
        <v>2250</v>
      </c>
      <c r="D639" s="1" t="s">
        <v>2251</v>
      </c>
      <c r="E639" s="3" t="s">
        <v>2234</v>
      </c>
      <c r="F639" s="1" t="s">
        <v>2247</v>
      </c>
      <c r="G639" s="1" t="s">
        <v>14</v>
      </c>
      <c r="H639" s="1" t="s">
        <v>14</v>
      </c>
      <c r="I639" s="1" t="s">
        <v>14</v>
      </c>
      <c r="J639" s="1" t="s">
        <v>15</v>
      </c>
      <c r="K639" s="2"/>
      <c r="L639" s="5">
        <f>K639*3245.77</f>
        <v>0</v>
      </c>
    </row>
    <row r="640" spans="1:12">
      <c r="A640" s="1"/>
      <c r="B640" s="1">
        <v>831516</v>
      </c>
      <c r="C640" s="1" t="s">
        <v>2252</v>
      </c>
      <c r="D640" s="1" t="s">
        <v>2253</v>
      </c>
      <c r="E640" s="3" t="s">
        <v>2234</v>
      </c>
      <c r="F640" s="1" t="s">
        <v>278</v>
      </c>
      <c r="G640" s="1" t="s">
        <v>14</v>
      </c>
      <c r="H640" s="1" t="s">
        <v>14</v>
      </c>
      <c r="I640" s="1" t="s">
        <v>14</v>
      </c>
      <c r="J640" s="1" t="s">
        <v>15</v>
      </c>
      <c r="K640" s="2"/>
      <c r="L640" s="5">
        <f>K640*3191.65</f>
        <v>0</v>
      </c>
    </row>
    <row r="641" spans="1:12">
      <c r="A641" s="1"/>
      <c r="B641" s="1">
        <v>831520</v>
      </c>
      <c r="C641" s="1" t="s">
        <v>2254</v>
      </c>
      <c r="D641" s="1" t="s">
        <v>2255</v>
      </c>
      <c r="E641" s="3" t="s">
        <v>2234</v>
      </c>
      <c r="F641" s="1" t="s">
        <v>2256</v>
      </c>
      <c r="G641" s="1" t="s">
        <v>14</v>
      </c>
      <c r="H641" s="1" t="s">
        <v>14</v>
      </c>
      <c r="I641" s="1" t="s">
        <v>14</v>
      </c>
      <c r="J641" s="1" t="s">
        <v>15</v>
      </c>
      <c r="K641" s="2"/>
      <c r="L641" s="5">
        <f>K641*4812.34</f>
        <v>0</v>
      </c>
    </row>
    <row r="642" spans="1:12">
      <c r="A642" s="1"/>
      <c r="B642" s="1">
        <v>831524</v>
      </c>
      <c r="C642" s="1" t="s">
        <v>2257</v>
      </c>
      <c r="D642" s="1" t="s">
        <v>2258</v>
      </c>
      <c r="E642" s="3" t="s">
        <v>2234</v>
      </c>
      <c r="F642" s="1" t="s">
        <v>2259</v>
      </c>
      <c r="G642" s="1" t="s">
        <v>14</v>
      </c>
      <c r="H642" s="1" t="s">
        <v>14</v>
      </c>
      <c r="I642" s="1" t="s">
        <v>14</v>
      </c>
      <c r="J642" s="1" t="s">
        <v>15</v>
      </c>
      <c r="K642" s="2"/>
      <c r="L642" s="5">
        <f>K642*5649.02</f>
        <v>0</v>
      </c>
    </row>
    <row r="643" spans="1:12">
      <c r="A643" s="1"/>
      <c r="B643" s="1">
        <v>827888</v>
      </c>
      <c r="C643" s="1" t="s">
        <v>2260</v>
      </c>
      <c r="D643" s="1" t="s">
        <v>2261</v>
      </c>
      <c r="E643" s="3" t="s">
        <v>2262</v>
      </c>
      <c r="F643" s="1" t="s">
        <v>2263</v>
      </c>
      <c r="G643" s="1" t="s">
        <v>14</v>
      </c>
      <c r="H643" s="1" t="s">
        <v>14</v>
      </c>
      <c r="I643" s="1" t="s">
        <v>14</v>
      </c>
      <c r="J643" s="1" t="s">
        <v>15</v>
      </c>
      <c r="K643" s="2"/>
      <c r="L643" s="5">
        <f>K643*1569.51</f>
        <v>0</v>
      </c>
    </row>
    <row r="644" spans="1:12">
      <c r="A644" s="1"/>
      <c r="B644" s="1">
        <v>827889</v>
      </c>
      <c r="C644" s="1" t="s">
        <v>2264</v>
      </c>
      <c r="D644" s="1" t="s">
        <v>2265</v>
      </c>
      <c r="E644" s="3" t="s">
        <v>2266</v>
      </c>
      <c r="F644" s="1" t="s">
        <v>2267</v>
      </c>
      <c r="G644" s="1" t="s">
        <v>14</v>
      </c>
      <c r="H644" s="1" t="s">
        <v>14</v>
      </c>
      <c r="I644" s="1" t="s">
        <v>14</v>
      </c>
      <c r="J644" s="1" t="s">
        <v>15</v>
      </c>
      <c r="K644" s="2"/>
      <c r="L644" s="5">
        <f>K644*1788.97</f>
        <v>0</v>
      </c>
    </row>
    <row r="645" spans="1:12">
      <c r="A645" s="1"/>
      <c r="B645" s="1">
        <v>827890</v>
      </c>
      <c r="C645" s="1" t="s">
        <v>2268</v>
      </c>
      <c r="D645" s="1" t="s">
        <v>2269</v>
      </c>
      <c r="E645" s="3" t="s">
        <v>2270</v>
      </c>
      <c r="F645" s="1" t="s">
        <v>2267</v>
      </c>
      <c r="G645" s="1" t="s">
        <v>14</v>
      </c>
      <c r="H645" s="1" t="s">
        <v>14</v>
      </c>
      <c r="I645" s="1" t="s">
        <v>14</v>
      </c>
      <c r="J645" s="1" t="s">
        <v>15</v>
      </c>
      <c r="K645" s="2"/>
      <c r="L645" s="5">
        <f>K645*1788.97</f>
        <v>0</v>
      </c>
    </row>
    <row r="646" spans="1:12">
      <c r="A646" s="1"/>
      <c r="B646" s="1">
        <v>827891</v>
      </c>
      <c r="C646" s="1" t="s">
        <v>2271</v>
      </c>
      <c r="D646" s="1" t="s">
        <v>2272</v>
      </c>
      <c r="E646" s="3" t="s">
        <v>2273</v>
      </c>
      <c r="F646" s="1" t="s">
        <v>2274</v>
      </c>
      <c r="G646" s="1" t="s">
        <v>14</v>
      </c>
      <c r="H646" s="1" t="s">
        <v>14</v>
      </c>
      <c r="I646" s="1" t="s">
        <v>14</v>
      </c>
      <c r="J646" s="1" t="s">
        <v>15</v>
      </c>
      <c r="K646" s="2"/>
      <c r="L646" s="5">
        <f>K646*1807.13</f>
        <v>0</v>
      </c>
    </row>
    <row r="647" spans="1:12">
      <c r="A647" s="1"/>
      <c r="B647" s="1">
        <v>827892</v>
      </c>
      <c r="C647" s="1" t="s">
        <v>2275</v>
      </c>
      <c r="D647" s="1" t="s">
        <v>2276</v>
      </c>
      <c r="E647" s="3" t="s">
        <v>2277</v>
      </c>
      <c r="F647" s="1" t="s">
        <v>2278</v>
      </c>
      <c r="G647" s="1" t="s">
        <v>14</v>
      </c>
      <c r="H647" s="1" t="s">
        <v>14</v>
      </c>
      <c r="I647" s="1" t="s">
        <v>14</v>
      </c>
      <c r="J647" s="1" t="s">
        <v>15</v>
      </c>
      <c r="K647" s="2"/>
      <c r="L647" s="5">
        <f>K647*2392.86</f>
        <v>0</v>
      </c>
    </row>
    <row r="648" spans="1:12">
      <c r="A648" s="1"/>
      <c r="B648" s="1">
        <v>827893</v>
      </c>
      <c r="C648" s="1" t="s">
        <v>2279</v>
      </c>
      <c r="D648" s="1" t="s">
        <v>2280</v>
      </c>
      <c r="E648" s="3" t="s">
        <v>2281</v>
      </c>
      <c r="F648" s="1" t="s">
        <v>2282</v>
      </c>
      <c r="G648" s="1" t="s">
        <v>14</v>
      </c>
      <c r="H648" s="1" t="s">
        <v>14</v>
      </c>
      <c r="I648" s="1" t="s">
        <v>14</v>
      </c>
      <c r="J648" s="1" t="s">
        <v>15</v>
      </c>
      <c r="K648" s="2"/>
      <c r="L648" s="5">
        <f>K648*1914.59</f>
        <v>0</v>
      </c>
    </row>
    <row r="649" spans="1:12">
      <c r="A649" s="1"/>
      <c r="B649" s="1">
        <v>827894</v>
      </c>
      <c r="C649" s="1" t="s">
        <v>2283</v>
      </c>
      <c r="D649" s="1" t="s">
        <v>2284</v>
      </c>
      <c r="E649" s="3" t="s">
        <v>2285</v>
      </c>
      <c r="F649" s="1" t="s">
        <v>2286</v>
      </c>
      <c r="G649" s="1" t="s">
        <v>14</v>
      </c>
      <c r="H649" s="1" t="s">
        <v>14</v>
      </c>
      <c r="I649" s="1" t="s">
        <v>14</v>
      </c>
      <c r="J649" s="1" t="s">
        <v>15</v>
      </c>
      <c r="K649" s="2"/>
      <c r="L649" s="5">
        <f>K649*1566.48</f>
        <v>0</v>
      </c>
    </row>
    <row r="650" spans="1:12">
      <c r="A650" s="1"/>
      <c r="B650" s="1">
        <v>827895</v>
      </c>
      <c r="C650" s="1" t="s">
        <v>2287</v>
      </c>
      <c r="D650" s="1" t="s">
        <v>2288</v>
      </c>
      <c r="E650" s="3" t="s">
        <v>2289</v>
      </c>
      <c r="F650" s="1" t="s">
        <v>2290</v>
      </c>
      <c r="G650" s="1" t="s">
        <v>14</v>
      </c>
      <c r="H650" s="1" t="s">
        <v>14</v>
      </c>
      <c r="I650" s="1" t="s">
        <v>14</v>
      </c>
      <c r="J650" s="1" t="s">
        <v>15</v>
      </c>
      <c r="K650" s="2"/>
      <c r="L650" s="5">
        <f>K650*1366.81</f>
        <v>0</v>
      </c>
    </row>
    <row r="651" spans="1:12">
      <c r="A651" s="1"/>
      <c r="B651" s="1">
        <v>827896</v>
      </c>
      <c r="C651" s="1" t="s">
        <v>2291</v>
      </c>
      <c r="D651" s="1" t="s">
        <v>2292</v>
      </c>
      <c r="E651" s="3" t="s">
        <v>2293</v>
      </c>
      <c r="F651" s="1" t="s">
        <v>2294</v>
      </c>
      <c r="G651" s="1" t="s">
        <v>14</v>
      </c>
      <c r="H651" s="1" t="s">
        <v>14</v>
      </c>
      <c r="I651" s="1" t="s">
        <v>14</v>
      </c>
      <c r="J651" s="1" t="s">
        <v>15</v>
      </c>
      <c r="K651" s="2"/>
      <c r="L651" s="5">
        <f>K651*2131.02</f>
        <v>0</v>
      </c>
    </row>
    <row r="652" spans="1:12">
      <c r="A652" s="1"/>
      <c r="B652" s="1">
        <v>827897</v>
      </c>
      <c r="C652" s="1" t="s">
        <v>2295</v>
      </c>
      <c r="D652" s="1" t="s">
        <v>2296</v>
      </c>
      <c r="E652" s="3" t="s">
        <v>2297</v>
      </c>
      <c r="F652" s="1" t="s">
        <v>2298</v>
      </c>
      <c r="G652" s="1" t="s">
        <v>14</v>
      </c>
      <c r="H652" s="1" t="s">
        <v>14</v>
      </c>
      <c r="I652" s="1" t="s">
        <v>14</v>
      </c>
      <c r="J652" s="1" t="s">
        <v>15</v>
      </c>
      <c r="K652" s="2"/>
      <c r="L652" s="5">
        <f>K652*2421.62</f>
        <v>0</v>
      </c>
    </row>
    <row r="653" spans="1:12">
      <c r="A653" s="1"/>
      <c r="B653" s="1">
        <v>827898</v>
      </c>
      <c r="C653" s="1" t="s">
        <v>2299</v>
      </c>
      <c r="D653" s="1" t="s">
        <v>2300</v>
      </c>
      <c r="E653" s="3" t="s">
        <v>2301</v>
      </c>
      <c r="F653" s="1" t="s">
        <v>2298</v>
      </c>
      <c r="G653" s="1" t="s">
        <v>14</v>
      </c>
      <c r="H653" s="1" t="s">
        <v>14</v>
      </c>
      <c r="I653" s="1" t="s">
        <v>14</v>
      </c>
      <c r="J653" s="1" t="s">
        <v>15</v>
      </c>
      <c r="K653" s="2"/>
      <c r="L653" s="5">
        <f>K653*2421.62</f>
        <v>0</v>
      </c>
    </row>
    <row r="654" spans="1:12">
      <c r="A654" s="1"/>
      <c r="B654" s="1">
        <v>827899</v>
      </c>
      <c r="C654" s="1" t="s">
        <v>2302</v>
      </c>
      <c r="D654" s="1" t="s">
        <v>2303</v>
      </c>
      <c r="E654" s="3" t="s">
        <v>2304</v>
      </c>
      <c r="F654" s="1" t="s">
        <v>2298</v>
      </c>
      <c r="G654" s="1" t="s">
        <v>14</v>
      </c>
      <c r="H654" s="1" t="s">
        <v>14</v>
      </c>
      <c r="I654" s="1" t="s">
        <v>14</v>
      </c>
      <c r="J654" s="1" t="s">
        <v>15</v>
      </c>
      <c r="K654" s="2"/>
      <c r="L654" s="5">
        <f>K654*2421.62</f>
        <v>0</v>
      </c>
    </row>
    <row r="655" spans="1:12">
      <c r="A655" s="1"/>
      <c r="B655" s="1">
        <v>827900</v>
      </c>
      <c r="C655" s="1" t="s">
        <v>2305</v>
      </c>
      <c r="D655" s="1" t="s">
        <v>2306</v>
      </c>
      <c r="E655" s="3" t="s">
        <v>2307</v>
      </c>
      <c r="F655" s="1" t="s">
        <v>2308</v>
      </c>
      <c r="G655" s="1" t="s">
        <v>14</v>
      </c>
      <c r="H655" s="1" t="s">
        <v>14</v>
      </c>
      <c r="I655" s="1" t="s">
        <v>14</v>
      </c>
      <c r="J655" s="1" t="s">
        <v>15</v>
      </c>
      <c r="K655" s="2"/>
      <c r="L655" s="5">
        <f>K655*2520.00</f>
        <v>0</v>
      </c>
    </row>
    <row r="656" spans="1:12">
      <c r="A656" s="1"/>
      <c r="B656" s="1">
        <v>827901</v>
      </c>
      <c r="C656" s="1" t="s">
        <v>2309</v>
      </c>
      <c r="D656" s="1" t="s">
        <v>2310</v>
      </c>
      <c r="E656" s="3" t="s">
        <v>2311</v>
      </c>
      <c r="F656" s="1" t="s">
        <v>2312</v>
      </c>
      <c r="G656" s="1" t="s">
        <v>14</v>
      </c>
      <c r="H656" s="1" t="s">
        <v>14</v>
      </c>
      <c r="I656" s="1" t="s">
        <v>14</v>
      </c>
      <c r="J656" s="1" t="s">
        <v>15</v>
      </c>
      <c r="K656" s="2"/>
      <c r="L656" s="5">
        <f>K656*2276.32</f>
        <v>0</v>
      </c>
    </row>
    <row r="657" spans="1:12">
      <c r="A657" s="1"/>
      <c r="B657" s="1">
        <v>827902</v>
      </c>
      <c r="C657" s="1" t="s">
        <v>2313</v>
      </c>
      <c r="D657" s="1" t="s">
        <v>2314</v>
      </c>
      <c r="E657" s="3" t="s">
        <v>2315</v>
      </c>
      <c r="F657" s="1" t="s">
        <v>2312</v>
      </c>
      <c r="G657" s="1" t="s">
        <v>14</v>
      </c>
      <c r="H657" s="1" t="s">
        <v>14</v>
      </c>
      <c r="I657" s="1" t="s">
        <v>14</v>
      </c>
      <c r="J657" s="1" t="s">
        <v>15</v>
      </c>
      <c r="K657" s="2"/>
      <c r="L657" s="5">
        <f>K657*2276.32</f>
        <v>0</v>
      </c>
    </row>
    <row r="658" spans="1:12">
      <c r="A658" s="1"/>
      <c r="B658" s="1">
        <v>827903</v>
      </c>
      <c r="C658" s="1" t="s">
        <v>2316</v>
      </c>
      <c r="D658" s="1" t="s">
        <v>2317</v>
      </c>
      <c r="E658" s="3" t="s">
        <v>2318</v>
      </c>
      <c r="F658" s="1" t="s">
        <v>2319</v>
      </c>
      <c r="G658" s="1" t="s">
        <v>14</v>
      </c>
      <c r="H658" s="1" t="s">
        <v>14</v>
      </c>
      <c r="I658" s="1" t="s">
        <v>14</v>
      </c>
      <c r="J658" s="1" t="s">
        <v>15</v>
      </c>
      <c r="K658" s="2"/>
      <c r="L658" s="5">
        <f>K658*1860.11</f>
        <v>0</v>
      </c>
    </row>
    <row r="659" spans="1:12">
      <c r="A659" s="1"/>
      <c r="B659" s="1">
        <v>827904</v>
      </c>
      <c r="C659" s="1" t="s">
        <v>2320</v>
      </c>
      <c r="D659" s="1" t="s">
        <v>2321</v>
      </c>
      <c r="E659" s="3" t="s">
        <v>2322</v>
      </c>
      <c r="F659" s="1" t="s">
        <v>2323</v>
      </c>
      <c r="G659" s="1" t="s">
        <v>14</v>
      </c>
      <c r="H659" s="1" t="s">
        <v>14</v>
      </c>
      <c r="I659" s="1" t="s">
        <v>14</v>
      </c>
      <c r="J659" s="1" t="s">
        <v>15</v>
      </c>
      <c r="K659" s="2"/>
      <c r="L659" s="5">
        <f>K659*2117.40</f>
        <v>0</v>
      </c>
    </row>
    <row r="660" spans="1:12">
      <c r="A660" s="1"/>
      <c r="B660" s="1">
        <v>827905</v>
      </c>
      <c r="C660" s="1" t="s">
        <v>2324</v>
      </c>
      <c r="D660" s="1" t="s">
        <v>2325</v>
      </c>
      <c r="E660" s="3" t="s">
        <v>2326</v>
      </c>
      <c r="F660" s="1" t="s">
        <v>2327</v>
      </c>
      <c r="G660" s="1" t="s">
        <v>14</v>
      </c>
      <c r="H660" s="1" t="s">
        <v>14</v>
      </c>
      <c r="I660" s="1" t="s">
        <v>14</v>
      </c>
      <c r="J660" s="1" t="s">
        <v>15</v>
      </c>
      <c r="K660" s="2"/>
      <c r="L660" s="5">
        <f>K660*1988.75</f>
        <v>0</v>
      </c>
    </row>
    <row r="661" spans="1:12">
      <c r="A661" s="1"/>
      <c r="B661" s="1">
        <v>827906</v>
      </c>
      <c r="C661" s="1" t="s">
        <v>2328</v>
      </c>
      <c r="D661" s="1" t="s">
        <v>2329</v>
      </c>
      <c r="E661" s="3" t="s">
        <v>2330</v>
      </c>
      <c r="F661" s="1" t="s">
        <v>2331</v>
      </c>
      <c r="G661" s="1" t="s">
        <v>14</v>
      </c>
      <c r="H661" s="1" t="s">
        <v>14</v>
      </c>
      <c r="I661" s="1" t="s">
        <v>14</v>
      </c>
      <c r="J661" s="1" t="s">
        <v>15</v>
      </c>
      <c r="K661" s="2"/>
      <c r="L661" s="5">
        <f>K661*1622.48</f>
        <v>0</v>
      </c>
    </row>
    <row r="662" spans="1:12">
      <c r="A662" s="1"/>
      <c r="B662" s="1">
        <v>827907</v>
      </c>
      <c r="C662" s="1" t="s">
        <v>2332</v>
      </c>
      <c r="D662" s="1" t="s">
        <v>2333</v>
      </c>
      <c r="E662" s="3" t="s">
        <v>2334</v>
      </c>
      <c r="F662" s="1" t="s">
        <v>2331</v>
      </c>
      <c r="G662" s="1" t="s">
        <v>14</v>
      </c>
      <c r="H662" s="1" t="s">
        <v>14</v>
      </c>
      <c r="I662" s="1" t="s">
        <v>14</v>
      </c>
      <c r="J662" s="1" t="s">
        <v>15</v>
      </c>
      <c r="K662" s="2"/>
      <c r="L662" s="5">
        <f>K662*1622.48</f>
        <v>0</v>
      </c>
    </row>
    <row r="663" spans="1:12">
      <c r="A663" s="1"/>
      <c r="B663" s="1">
        <v>827908</v>
      </c>
      <c r="C663" s="1" t="s">
        <v>2335</v>
      </c>
      <c r="D663" s="1" t="s">
        <v>2336</v>
      </c>
      <c r="E663" s="3" t="s">
        <v>2337</v>
      </c>
      <c r="F663" s="1" t="s">
        <v>1181</v>
      </c>
      <c r="G663" s="1" t="s">
        <v>14</v>
      </c>
      <c r="H663" s="1" t="s">
        <v>14</v>
      </c>
      <c r="I663" s="1" t="s">
        <v>14</v>
      </c>
      <c r="J663" s="1" t="s">
        <v>15</v>
      </c>
      <c r="K663" s="2"/>
      <c r="L663" s="5">
        <f>K663*1315.24</f>
        <v>0</v>
      </c>
    </row>
    <row r="664" spans="1:12">
      <c r="A664" s="1"/>
      <c r="B664" s="1">
        <v>827909</v>
      </c>
      <c r="C664" s="1" t="s">
        <v>2338</v>
      </c>
      <c r="D664" s="1" t="s">
        <v>2339</v>
      </c>
      <c r="E664" s="3" t="s">
        <v>2340</v>
      </c>
      <c r="F664" s="1" t="s">
        <v>1181</v>
      </c>
      <c r="G664" s="1" t="s">
        <v>14</v>
      </c>
      <c r="H664" s="1" t="s">
        <v>14</v>
      </c>
      <c r="I664" s="1" t="s">
        <v>14</v>
      </c>
      <c r="J664" s="1" t="s">
        <v>15</v>
      </c>
      <c r="K664" s="2"/>
      <c r="L664" s="5">
        <f>K664*1315.24</f>
        <v>0</v>
      </c>
    </row>
    <row r="665" spans="1:12">
      <c r="A665" s="1"/>
      <c r="B665" s="1">
        <v>827910</v>
      </c>
      <c r="C665" s="1" t="s">
        <v>2341</v>
      </c>
      <c r="D665" s="1" t="s">
        <v>2342</v>
      </c>
      <c r="E665" s="3" t="s">
        <v>2343</v>
      </c>
      <c r="F665" s="1" t="s">
        <v>2344</v>
      </c>
      <c r="G665" s="1" t="s">
        <v>14</v>
      </c>
      <c r="H665" s="1" t="s">
        <v>14</v>
      </c>
      <c r="I665" s="1" t="s">
        <v>14</v>
      </c>
      <c r="J665" s="1" t="s">
        <v>15</v>
      </c>
      <c r="K665" s="2"/>
      <c r="L665" s="5">
        <f>K665*3178.38</f>
        <v>0</v>
      </c>
    </row>
    <row r="666" spans="1:12">
      <c r="A666" s="1"/>
      <c r="B666" s="1">
        <v>827911</v>
      </c>
      <c r="C666" s="1" t="s">
        <v>2345</v>
      </c>
      <c r="D666" s="1" t="s">
        <v>2346</v>
      </c>
      <c r="E666" s="3" t="s">
        <v>2347</v>
      </c>
      <c r="F666" s="1" t="s">
        <v>2348</v>
      </c>
      <c r="G666" s="1" t="s">
        <v>14</v>
      </c>
      <c r="H666" s="1" t="s">
        <v>14</v>
      </c>
      <c r="I666" s="1" t="s">
        <v>14</v>
      </c>
      <c r="J666" s="1" t="s">
        <v>15</v>
      </c>
      <c r="K666" s="2"/>
      <c r="L666" s="5">
        <f>K666*2406.48</f>
        <v>0</v>
      </c>
    </row>
    <row r="667" spans="1:12">
      <c r="A667" s="1"/>
      <c r="B667" s="1">
        <v>827912</v>
      </c>
      <c r="C667" s="1" t="s">
        <v>2349</v>
      </c>
      <c r="D667" s="1" t="s">
        <v>2350</v>
      </c>
      <c r="E667" s="3" t="s">
        <v>2351</v>
      </c>
      <c r="F667" s="1" t="s">
        <v>2352</v>
      </c>
      <c r="G667" s="1" t="s">
        <v>14</v>
      </c>
      <c r="H667" s="1" t="s">
        <v>14</v>
      </c>
      <c r="I667" s="1" t="s">
        <v>14</v>
      </c>
      <c r="J667" s="1" t="s">
        <v>15</v>
      </c>
      <c r="K667" s="2"/>
      <c r="L667" s="5">
        <f>K667*2377.73</f>
        <v>0</v>
      </c>
    </row>
    <row r="668" spans="1:12">
      <c r="A668" s="1"/>
      <c r="B668" s="1">
        <v>827913</v>
      </c>
      <c r="C668" s="1" t="s">
        <v>2353</v>
      </c>
      <c r="D668" s="1" t="s">
        <v>2354</v>
      </c>
      <c r="E668" s="3" t="s">
        <v>2355</v>
      </c>
      <c r="F668" s="1" t="s">
        <v>2356</v>
      </c>
      <c r="G668" s="1" t="s">
        <v>14</v>
      </c>
      <c r="H668" s="1" t="s">
        <v>14</v>
      </c>
      <c r="I668" s="1" t="s">
        <v>14</v>
      </c>
      <c r="J668" s="1" t="s">
        <v>15</v>
      </c>
      <c r="K668" s="2"/>
      <c r="L668" s="5">
        <f>K668*2647.13</f>
        <v>0</v>
      </c>
    </row>
    <row r="669" spans="1:12">
      <c r="A669" s="1"/>
      <c r="B669" s="1">
        <v>827914</v>
      </c>
      <c r="C669" s="1" t="s">
        <v>2357</v>
      </c>
      <c r="D669" s="1" t="s">
        <v>2358</v>
      </c>
      <c r="E669" s="3" t="s">
        <v>2359</v>
      </c>
      <c r="F669" s="1" t="s">
        <v>2360</v>
      </c>
      <c r="G669" s="1" t="s">
        <v>14</v>
      </c>
      <c r="H669" s="1" t="s">
        <v>14</v>
      </c>
      <c r="I669" s="1" t="s">
        <v>14</v>
      </c>
      <c r="J669" s="1" t="s">
        <v>15</v>
      </c>
      <c r="K669" s="2"/>
      <c r="L669" s="5">
        <f>K669*1752.65</f>
        <v>0</v>
      </c>
    </row>
    <row r="670" spans="1:12">
      <c r="A670" s="1"/>
      <c r="B670" s="1">
        <v>827915</v>
      </c>
      <c r="C670" s="1" t="s">
        <v>2361</v>
      </c>
      <c r="D670" s="1" t="s">
        <v>2362</v>
      </c>
      <c r="E670" s="3" t="s">
        <v>2363</v>
      </c>
      <c r="F670" s="1" t="s">
        <v>2364</v>
      </c>
      <c r="G670" s="1" t="s">
        <v>14</v>
      </c>
      <c r="H670" s="1" t="s">
        <v>14</v>
      </c>
      <c r="I670" s="1" t="s">
        <v>14</v>
      </c>
      <c r="J670" s="1" t="s">
        <v>15</v>
      </c>
      <c r="K670" s="2"/>
      <c r="L670" s="5">
        <f>K670*2613.84</f>
        <v>0</v>
      </c>
    </row>
    <row r="671" spans="1:12">
      <c r="A671" s="1"/>
      <c r="B671" s="1">
        <v>827916</v>
      </c>
      <c r="C671" s="1" t="s">
        <v>2365</v>
      </c>
      <c r="D671" s="1" t="s">
        <v>2366</v>
      </c>
      <c r="E671" s="3" t="s">
        <v>2367</v>
      </c>
      <c r="F671" s="1" t="s">
        <v>2364</v>
      </c>
      <c r="G671" s="1" t="s">
        <v>14</v>
      </c>
      <c r="H671" s="1" t="s">
        <v>14</v>
      </c>
      <c r="I671" s="1" t="s">
        <v>14</v>
      </c>
      <c r="J671" s="1" t="s">
        <v>15</v>
      </c>
      <c r="K671" s="2"/>
      <c r="L671" s="5">
        <f>K671*2613.84</f>
        <v>0</v>
      </c>
    </row>
    <row r="672" spans="1:12">
      <c r="A672" s="1"/>
      <c r="B672" s="1">
        <v>827917</v>
      </c>
      <c r="C672" s="1" t="s">
        <v>2368</v>
      </c>
      <c r="D672" s="1" t="s">
        <v>2369</v>
      </c>
      <c r="E672" s="3" t="s">
        <v>2370</v>
      </c>
      <c r="F672" s="1" t="s">
        <v>2364</v>
      </c>
      <c r="G672" s="1" t="s">
        <v>14</v>
      </c>
      <c r="H672" s="1" t="s">
        <v>14</v>
      </c>
      <c r="I672" s="1" t="s">
        <v>14</v>
      </c>
      <c r="J672" s="1" t="s">
        <v>15</v>
      </c>
      <c r="K672" s="2"/>
      <c r="L672" s="5">
        <f>K672*2613.84</f>
        <v>0</v>
      </c>
    </row>
    <row r="673" spans="1:12">
      <c r="A673" s="1"/>
      <c r="B673" s="1">
        <v>827918</v>
      </c>
      <c r="C673" s="1" t="s">
        <v>2371</v>
      </c>
      <c r="D673" s="1" t="s">
        <v>2372</v>
      </c>
      <c r="E673" s="3" t="s">
        <v>2373</v>
      </c>
      <c r="F673" s="1" t="s">
        <v>2364</v>
      </c>
      <c r="G673" s="1" t="s">
        <v>14</v>
      </c>
      <c r="H673" s="1" t="s">
        <v>14</v>
      </c>
      <c r="I673" s="1" t="s">
        <v>14</v>
      </c>
      <c r="J673" s="1" t="s">
        <v>15</v>
      </c>
      <c r="K673" s="2"/>
      <c r="L673" s="5">
        <f>K673*2613.84</f>
        <v>0</v>
      </c>
    </row>
    <row r="674" spans="1:12">
      <c r="A674" s="1"/>
      <c r="B674" s="1">
        <v>827919</v>
      </c>
      <c r="C674" s="1" t="s">
        <v>2374</v>
      </c>
      <c r="D674" s="1" t="s">
        <v>2375</v>
      </c>
      <c r="E674" s="3" t="s">
        <v>2376</v>
      </c>
      <c r="F674" s="1" t="s">
        <v>1096</v>
      </c>
      <c r="G674" s="1" t="s">
        <v>14</v>
      </c>
      <c r="H674" s="1" t="s">
        <v>14</v>
      </c>
      <c r="I674" s="1" t="s">
        <v>14</v>
      </c>
      <c r="J674" s="1" t="s">
        <v>15</v>
      </c>
      <c r="K674" s="2"/>
      <c r="L674" s="5">
        <f>K674*2753.08</f>
        <v>0</v>
      </c>
    </row>
    <row r="675" spans="1:12">
      <c r="A675" s="1"/>
      <c r="B675" s="1">
        <v>827920</v>
      </c>
      <c r="C675" s="1" t="s">
        <v>2377</v>
      </c>
      <c r="D675" s="1" t="s">
        <v>2378</v>
      </c>
      <c r="E675" s="3" t="s">
        <v>2379</v>
      </c>
      <c r="F675" s="1" t="s">
        <v>2380</v>
      </c>
      <c r="G675" s="1" t="s">
        <v>14</v>
      </c>
      <c r="H675" s="1" t="s">
        <v>14</v>
      </c>
      <c r="I675" s="1" t="s">
        <v>14</v>
      </c>
      <c r="J675" s="1" t="s">
        <v>15</v>
      </c>
      <c r="K675" s="2"/>
      <c r="L675" s="5">
        <f>K675*5761.94</f>
        <v>0</v>
      </c>
    </row>
    <row r="676" spans="1:12">
      <c r="A676" s="1"/>
      <c r="B676" s="1">
        <v>827921</v>
      </c>
      <c r="C676" s="1" t="s">
        <v>2381</v>
      </c>
      <c r="D676" s="1" t="s">
        <v>2382</v>
      </c>
      <c r="E676" s="3" t="s">
        <v>2383</v>
      </c>
      <c r="F676" s="1" t="s">
        <v>2384</v>
      </c>
      <c r="G676" s="1" t="s">
        <v>14</v>
      </c>
      <c r="H676" s="1" t="s">
        <v>14</v>
      </c>
      <c r="I676" s="1" t="s">
        <v>14</v>
      </c>
      <c r="J676" s="1" t="s">
        <v>15</v>
      </c>
      <c r="K676" s="2"/>
      <c r="L676" s="5">
        <f>K676*1816.21</f>
        <v>0</v>
      </c>
    </row>
    <row r="677" spans="1:12">
      <c r="A677" s="1"/>
      <c r="B677" s="1">
        <v>827922</v>
      </c>
      <c r="C677" s="1" t="s">
        <v>2385</v>
      </c>
      <c r="D677" s="1" t="s">
        <v>2386</v>
      </c>
      <c r="E677" s="3" t="s">
        <v>2387</v>
      </c>
      <c r="F677" s="1" t="s">
        <v>2388</v>
      </c>
      <c r="G677" s="1" t="s">
        <v>14</v>
      </c>
      <c r="H677" s="1" t="s">
        <v>14</v>
      </c>
      <c r="I677" s="1" t="s">
        <v>14</v>
      </c>
      <c r="J677" s="1" t="s">
        <v>15</v>
      </c>
      <c r="K677" s="2"/>
      <c r="L677" s="5">
        <f>K677*1442.38</f>
        <v>0</v>
      </c>
    </row>
    <row r="678" spans="1:12">
      <c r="A678" s="1"/>
      <c r="B678" s="1">
        <v>827923</v>
      </c>
      <c r="C678" s="1" t="s">
        <v>2389</v>
      </c>
      <c r="D678" s="1" t="s">
        <v>2390</v>
      </c>
      <c r="E678" s="3" t="s">
        <v>2391</v>
      </c>
      <c r="F678" s="1" t="s">
        <v>2392</v>
      </c>
      <c r="G678" s="1" t="s">
        <v>14</v>
      </c>
      <c r="H678" s="1" t="s">
        <v>14</v>
      </c>
      <c r="I678" s="1" t="s">
        <v>14</v>
      </c>
      <c r="J678" s="1" t="s">
        <v>15</v>
      </c>
      <c r="K678" s="2"/>
      <c r="L678" s="5">
        <f>K678*665.95</f>
        <v>0</v>
      </c>
    </row>
    <row r="679" spans="1:12">
      <c r="A679" s="1"/>
      <c r="B679" s="1">
        <v>827924</v>
      </c>
      <c r="C679" s="1" t="s">
        <v>2393</v>
      </c>
      <c r="D679" s="1" t="s">
        <v>2394</v>
      </c>
      <c r="E679" s="3" t="s">
        <v>2395</v>
      </c>
      <c r="F679" s="1" t="s">
        <v>2396</v>
      </c>
      <c r="G679" s="1" t="s">
        <v>14</v>
      </c>
      <c r="H679" s="1" t="s">
        <v>14</v>
      </c>
      <c r="I679" s="1" t="s">
        <v>14</v>
      </c>
      <c r="J679" s="1" t="s">
        <v>15</v>
      </c>
      <c r="K679" s="2"/>
      <c r="L679" s="5">
        <f>K679*879.35</f>
        <v>0</v>
      </c>
    </row>
    <row r="680" spans="1:12">
      <c r="A680" s="1"/>
      <c r="B680" s="1">
        <v>827925</v>
      </c>
      <c r="C680" s="1" t="s">
        <v>2397</v>
      </c>
      <c r="D680" s="1" t="s">
        <v>2398</v>
      </c>
      <c r="E680" s="3" t="s">
        <v>2399</v>
      </c>
      <c r="F680" s="1" t="s">
        <v>2400</v>
      </c>
      <c r="G680" s="1" t="s">
        <v>14</v>
      </c>
      <c r="H680" s="1" t="s">
        <v>14</v>
      </c>
      <c r="I680" s="1" t="s">
        <v>14</v>
      </c>
      <c r="J680" s="1" t="s">
        <v>15</v>
      </c>
      <c r="K680" s="2"/>
      <c r="L680" s="5">
        <f>K680*1325.84</f>
        <v>0</v>
      </c>
    </row>
    <row r="681" spans="1:12">
      <c r="A681" s="1"/>
      <c r="B681" s="1">
        <v>827926</v>
      </c>
      <c r="C681" s="1" t="s">
        <v>2401</v>
      </c>
      <c r="D681" s="1" t="s">
        <v>2402</v>
      </c>
      <c r="E681" s="3" t="s">
        <v>2403</v>
      </c>
      <c r="F681" s="1" t="s">
        <v>439</v>
      </c>
      <c r="G681" s="1" t="s">
        <v>14</v>
      </c>
      <c r="H681" s="1" t="s">
        <v>14</v>
      </c>
      <c r="I681" s="1" t="s">
        <v>14</v>
      </c>
      <c r="J681" s="1" t="s">
        <v>15</v>
      </c>
      <c r="K681" s="2"/>
      <c r="L681" s="5">
        <f>K681*0.00</f>
        <v>0</v>
      </c>
    </row>
    <row r="682" spans="1:12">
      <c r="A682" s="1"/>
      <c r="B682" s="1">
        <v>827928</v>
      </c>
      <c r="C682" s="1" t="s">
        <v>2404</v>
      </c>
      <c r="D682" s="1" t="s">
        <v>2405</v>
      </c>
      <c r="E682" s="3" t="s">
        <v>2406</v>
      </c>
      <c r="F682" s="1" t="s">
        <v>2407</v>
      </c>
      <c r="G682" s="1" t="s">
        <v>14</v>
      </c>
      <c r="H682" s="1" t="s">
        <v>14</v>
      </c>
      <c r="I682" s="1" t="s">
        <v>14</v>
      </c>
      <c r="J682" s="1" t="s">
        <v>15</v>
      </c>
      <c r="K682" s="2"/>
      <c r="L682" s="5">
        <f>K682*703.78</f>
        <v>0</v>
      </c>
    </row>
    <row r="683" spans="1:12">
      <c r="A683" s="1"/>
      <c r="B683" s="1">
        <v>827929</v>
      </c>
      <c r="C683" s="1" t="s">
        <v>2408</v>
      </c>
      <c r="D683" s="1" t="s">
        <v>2409</v>
      </c>
      <c r="E683" s="3" t="s">
        <v>2410</v>
      </c>
      <c r="F683" s="1" t="s">
        <v>2411</v>
      </c>
      <c r="G683" s="1" t="s">
        <v>14</v>
      </c>
      <c r="H683" s="1" t="s">
        <v>14</v>
      </c>
      <c r="I683" s="1" t="s">
        <v>14</v>
      </c>
      <c r="J683" s="1" t="s">
        <v>15</v>
      </c>
      <c r="K683" s="2"/>
      <c r="L683" s="5">
        <f>K683*658.38</f>
        <v>0</v>
      </c>
    </row>
    <row r="684" spans="1:12">
      <c r="A684" s="1"/>
      <c r="B684" s="1">
        <v>827930</v>
      </c>
      <c r="C684" s="1" t="s">
        <v>2412</v>
      </c>
      <c r="D684" s="1" t="s">
        <v>2413</v>
      </c>
      <c r="E684" s="3" t="s">
        <v>2414</v>
      </c>
      <c r="F684" s="1" t="s">
        <v>2415</v>
      </c>
      <c r="G684" s="1" t="s">
        <v>14</v>
      </c>
      <c r="H684" s="1" t="s">
        <v>14</v>
      </c>
      <c r="I684" s="1" t="s">
        <v>14</v>
      </c>
      <c r="J684" s="1" t="s">
        <v>15</v>
      </c>
      <c r="K684" s="2"/>
      <c r="L684" s="5">
        <f>K684*577.15</f>
        <v>0</v>
      </c>
    </row>
    <row r="685" spans="1:12">
      <c r="A685" s="1"/>
      <c r="B685" s="1">
        <v>827931</v>
      </c>
      <c r="C685" s="1" t="s">
        <v>2416</v>
      </c>
      <c r="D685" s="1" t="s">
        <v>2417</v>
      </c>
      <c r="E685" s="3" t="s">
        <v>2418</v>
      </c>
      <c r="F685" s="1" t="s">
        <v>2419</v>
      </c>
      <c r="G685" s="1" t="s">
        <v>14</v>
      </c>
      <c r="H685" s="1" t="s">
        <v>14</v>
      </c>
      <c r="I685" s="1" t="s">
        <v>14</v>
      </c>
      <c r="J685" s="1" t="s">
        <v>15</v>
      </c>
      <c r="K685" s="2"/>
      <c r="L685" s="5">
        <f>K685*643.24</f>
        <v>0</v>
      </c>
    </row>
    <row r="686" spans="1:12">
      <c r="A686" s="1"/>
      <c r="B686" s="1">
        <v>827932</v>
      </c>
      <c r="C686" s="1" t="s">
        <v>2420</v>
      </c>
      <c r="D686" s="1" t="s">
        <v>2421</v>
      </c>
      <c r="E686" s="3" t="s">
        <v>2422</v>
      </c>
      <c r="F686" s="1" t="s">
        <v>2423</v>
      </c>
      <c r="G686" s="1" t="s">
        <v>14</v>
      </c>
      <c r="H686" s="1" t="s">
        <v>14</v>
      </c>
      <c r="I686" s="1" t="s">
        <v>14</v>
      </c>
      <c r="J686" s="1" t="s">
        <v>15</v>
      </c>
      <c r="K686" s="2"/>
      <c r="L686" s="5">
        <f>K686*2099.24</f>
        <v>0</v>
      </c>
    </row>
    <row r="687" spans="1:12">
      <c r="A687" s="1"/>
      <c r="B687" s="1">
        <v>827933</v>
      </c>
      <c r="C687" s="1" t="s">
        <v>2424</v>
      </c>
      <c r="D687" s="1" t="s">
        <v>2425</v>
      </c>
      <c r="E687" s="3" t="s">
        <v>2426</v>
      </c>
      <c r="F687" s="1" t="s">
        <v>2423</v>
      </c>
      <c r="G687" s="1" t="s">
        <v>14</v>
      </c>
      <c r="H687" s="1" t="s">
        <v>14</v>
      </c>
      <c r="I687" s="1" t="s">
        <v>14</v>
      </c>
      <c r="J687" s="1" t="s">
        <v>15</v>
      </c>
      <c r="K687" s="2"/>
      <c r="L687" s="5">
        <f>K687*2099.24</f>
        <v>0</v>
      </c>
    </row>
    <row r="688" spans="1:12">
      <c r="A688" s="1"/>
      <c r="B688" s="1">
        <v>827934</v>
      </c>
      <c r="C688" s="1" t="s">
        <v>2427</v>
      </c>
      <c r="D688" s="1" t="s">
        <v>2428</v>
      </c>
      <c r="E688" s="3" t="s">
        <v>2429</v>
      </c>
      <c r="F688" s="1" t="s">
        <v>2423</v>
      </c>
      <c r="G688" s="1" t="s">
        <v>14</v>
      </c>
      <c r="H688" s="1" t="s">
        <v>14</v>
      </c>
      <c r="I688" s="1" t="s">
        <v>14</v>
      </c>
      <c r="J688" s="1" t="s">
        <v>15</v>
      </c>
      <c r="K688" s="2"/>
      <c r="L688" s="5">
        <f>K688*2099.24</f>
        <v>0</v>
      </c>
    </row>
    <row r="689" spans="1:12">
      <c r="A689" s="1"/>
      <c r="B689" s="1">
        <v>832197</v>
      </c>
      <c r="C689" s="1" t="s">
        <v>2430</v>
      </c>
      <c r="D689" s="1" t="s">
        <v>2431</v>
      </c>
      <c r="E689" s="3" t="s">
        <v>2432</v>
      </c>
      <c r="F689" s="1" t="s">
        <v>2294</v>
      </c>
      <c r="G689" s="1" t="s">
        <v>14</v>
      </c>
      <c r="H689" s="1" t="s">
        <v>14</v>
      </c>
      <c r="I689" s="1" t="s">
        <v>14</v>
      </c>
      <c r="J689" s="1" t="s">
        <v>15</v>
      </c>
      <c r="K689" s="2"/>
      <c r="L689" s="5">
        <f>K689*2131.02</f>
        <v>0</v>
      </c>
    </row>
    <row r="690" spans="1:12">
      <c r="A690" s="1"/>
      <c r="B690" s="1">
        <v>832195</v>
      </c>
      <c r="C690" s="1" t="s">
        <v>2433</v>
      </c>
      <c r="D690" s="1" t="s">
        <v>2434</v>
      </c>
      <c r="E690" s="3" t="s">
        <v>2435</v>
      </c>
      <c r="F690" s="1" t="s">
        <v>2278</v>
      </c>
      <c r="G690" s="1" t="s">
        <v>14</v>
      </c>
      <c r="H690" s="1" t="s">
        <v>14</v>
      </c>
      <c r="I690" s="1" t="s">
        <v>14</v>
      </c>
      <c r="J690" s="1" t="s">
        <v>15</v>
      </c>
      <c r="K690" s="2"/>
      <c r="L690" s="5">
        <f>K690*2392.86</f>
        <v>0</v>
      </c>
    </row>
    <row r="691" spans="1:12">
      <c r="A691" s="1"/>
      <c r="B691" s="1">
        <v>832196</v>
      </c>
      <c r="C691" s="1" t="s">
        <v>2436</v>
      </c>
      <c r="D691" s="1" t="s">
        <v>2437</v>
      </c>
      <c r="E691" s="3" t="s">
        <v>2438</v>
      </c>
      <c r="F691" s="1" t="s">
        <v>2278</v>
      </c>
      <c r="G691" s="1" t="s">
        <v>14</v>
      </c>
      <c r="H691" s="1" t="s">
        <v>14</v>
      </c>
      <c r="I691" s="1" t="s">
        <v>14</v>
      </c>
      <c r="J691" s="1" t="s">
        <v>15</v>
      </c>
      <c r="K691" s="2"/>
      <c r="L691" s="5">
        <f>K691*2392.86</f>
        <v>0</v>
      </c>
    </row>
    <row r="692" spans="1:12">
      <c r="A692" s="1"/>
      <c r="B692" s="1">
        <v>833058</v>
      </c>
      <c r="C692" s="1" t="s">
        <v>2439</v>
      </c>
      <c r="D692" s="1" t="s">
        <v>2440</v>
      </c>
      <c r="E692" s="3" t="s">
        <v>2441</v>
      </c>
      <c r="F692" s="1" t="s">
        <v>2442</v>
      </c>
      <c r="G692" s="1" t="s">
        <v>14</v>
      </c>
      <c r="H692" s="1" t="s">
        <v>14</v>
      </c>
      <c r="I692" s="1" t="s">
        <v>14</v>
      </c>
      <c r="J692" s="1" t="s">
        <v>15</v>
      </c>
      <c r="K692" s="2"/>
      <c r="L692" s="5">
        <f>K692*1830.17</f>
        <v>0</v>
      </c>
    </row>
    <row r="693" spans="1:12">
      <c r="A693" s="1"/>
      <c r="B693" s="1">
        <v>833059</v>
      </c>
      <c r="C693" s="1" t="s">
        <v>2443</v>
      </c>
      <c r="D693" s="1" t="s">
        <v>2444</v>
      </c>
      <c r="E693" s="3" t="s">
        <v>2445</v>
      </c>
      <c r="F693" s="1" t="s">
        <v>2446</v>
      </c>
      <c r="G693" s="1" t="s">
        <v>14</v>
      </c>
      <c r="H693" s="1" t="s">
        <v>14</v>
      </c>
      <c r="I693" s="1" t="s">
        <v>14</v>
      </c>
      <c r="J693" s="1" t="s">
        <v>15</v>
      </c>
      <c r="K693" s="2"/>
      <c r="L693" s="5">
        <f>K693*2792.43</f>
        <v>0</v>
      </c>
    </row>
    <row r="694" spans="1:12">
      <c r="A694" s="1"/>
      <c r="B694" s="1">
        <v>834700</v>
      </c>
      <c r="C694" s="1" t="s">
        <v>2447</v>
      </c>
      <c r="D694" s="1" t="s">
        <v>2448</v>
      </c>
      <c r="E694" s="3" t="s">
        <v>2449</v>
      </c>
      <c r="F694" s="1" t="s">
        <v>2364</v>
      </c>
      <c r="G694" s="1" t="s">
        <v>14</v>
      </c>
      <c r="H694" s="1" t="s">
        <v>14</v>
      </c>
      <c r="I694" s="1" t="s">
        <v>14</v>
      </c>
      <c r="J694" s="1" t="s">
        <v>15</v>
      </c>
      <c r="K694" s="2"/>
      <c r="L694" s="5">
        <f>K694*2613.84</f>
        <v>0</v>
      </c>
    </row>
    <row r="695" spans="1:12">
      <c r="A695" s="1"/>
      <c r="B695" s="1">
        <v>877764</v>
      </c>
      <c r="C695" s="1" t="s">
        <v>2450</v>
      </c>
      <c r="D695" s="1" t="s">
        <v>2451</v>
      </c>
      <c r="E695" s="3" t="s">
        <v>2452</v>
      </c>
      <c r="F695" s="1" t="s">
        <v>2453</v>
      </c>
      <c r="G695" s="1" t="s">
        <v>14</v>
      </c>
      <c r="H695" s="1" t="s">
        <v>14</v>
      </c>
      <c r="I695" s="1" t="s">
        <v>14</v>
      </c>
      <c r="J695" s="1" t="s">
        <v>15</v>
      </c>
      <c r="K695" s="2"/>
      <c r="L695" s="5">
        <f>K695*2418.26</f>
        <v>0</v>
      </c>
    </row>
    <row r="696" spans="1:12">
      <c r="A696" s="1"/>
      <c r="B696" s="1">
        <v>877765</v>
      </c>
      <c r="C696" s="1" t="s">
        <v>2454</v>
      </c>
      <c r="D696" s="1" t="s">
        <v>2455</v>
      </c>
      <c r="E696" s="3" t="s">
        <v>2456</v>
      </c>
      <c r="F696" s="1" t="s">
        <v>2457</v>
      </c>
      <c r="G696" s="1" t="s">
        <v>14</v>
      </c>
      <c r="H696" s="1" t="s">
        <v>14</v>
      </c>
      <c r="I696" s="1" t="s">
        <v>14</v>
      </c>
      <c r="J696" s="1" t="s">
        <v>15</v>
      </c>
      <c r="K696" s="2"/>
      <c r="L696" s="5">
        <f>K696*3437.19</f>
        <v>0</v>
      </c>
    </row>
    <row r="697" spans="1:12">
      <c r="A697" s="1"/>
      <c r="B697" s="1">
        <v>878973</v>
      </c>
      <c r="C697" s="1" t="s">
        <v>2458</v>
      </c>
      <c r="D697" s="1">
        <v>565022</v>
      </c>
      <c r="E697" s="3" t="s">
        <v>2459</v>
      </c>
      <c r="F697" s="1" t="s">
        <v>2460</v>
      </c>
      <c r="G697" s="1" t="s">
        <v>14</v>
      </c>
      <c r="H697" s="1" t="s">
        <v>14</v>
      </c>
      <c r="I697" s="1" t="s">
        <v>14</v>
      </c>
      <c r="J697" s="1" t="s">
        <v>15</v>
      </c>
      <c r="K697" s="2"/>
      <c r="L697" s="5">
        <f>K697*185.00</f>
        <v>0</v>
      </c>
    </row>
    <row r="698" spans="1:12">
      <c r="A698" s="1"/>
      <c r="B698" s="1">
        <v>878975</v>
      </c>
      <c r="C698" s="1" t="s">
        <v>2461</v>
      </c>
      <c r="D698" s="1">
        <v>565090</v>
      </c>
      <c r="E698" s="3" t="s">
        <v>2462</v>
      </c>
      <c r="F698" s="1" t="s">
        <v>2463</v>
      </c>
      <c r="G698" s="1" t="s">
        <v>14</v>
      </c>
      <c r="H698" s="1" t="s">
        <v>14</v>
      </c>
      <c r="I698" s="1" t="s">
        <v>14</v>
      </c>
      <c r="J698" s="1" t="s">
        <v>15</v>
      </c>
      <c r="K698" s="2"/>
      <c r="L698" s="5">
        <f>K698*192.64</f>
        <v>0</v>
      </c>
    </row>
    <row r="699" spans="1:12">
      <c r="A699" s="1"/>
      <c r="B699" s="1">
        <v>821978</v>
      </c>
      <c r="C699" s="1" t="s">
        <v>2464</v>
      </c>
      <c r="D699" s="1"/>
      <c r="E699" s="3" t="s">
        <v>2465</v>
      </c>
      <c r="F699" s="1" t="s">
        <v>2466</v>
      </c>
      <c r="G699" s="1" t="s">
        <v>14</v>
      </c>
      <c r="H699" s="1" t="s">
        <v>14</v>
      </c>
      <c r="I699" s="1" t="s">
        <v>14</v>
      </c>
      <c r="J699" s="1" t="s">
        <v>15</v>
      </c>
      <c r="K699" s="2"/>
      <c r="L699" s="5">
        <f>K699*183.43</f>
        <v>0</v>
      </c>
    </row>
    <row r="700" spans="1:12">
      <c r="A700" s="1"/>
      <c r="B700" s="1">
        <v>824942</v>
      </c>
      <c r="C700" s="1" t="s">
        <v>2467</v>
      </c>
      <c r="D700" s="1" t="s">
        <v>2468</v>
      </c>
      <c r="E700" s="3" t="s">
        <v>2469</v>
      </c>
      <c r="F700" s="1" t="s">
        <v>2470</v>
      </c>
      <c r="G700" s="1" t="s">
        <v>14</v>
      </c>
      <c r="H700" s="1" t="s">
        <v>14</v>
      </c>
      <c r="I700" s="1" t="s">
        <v>14</v>
      </c>
      <c r="J700" s="1" t="s">
        <v>15</v>
      </c>
      <c r="K700" s="2"/>
      <c r="L700" s="5">
        <f>K700*350.35</f>
        <v>0</v>
      </c>
    </row>
    <row r="701" spans="1:12">
      <c r="A701" s="1"/>
      <c r="B701" s="1">
        <v>824943</v>
      </c>
      <c r="C701" s="1" t="s">
        <v>2471</v>
      </c>
      <c r="D701" s="1" t="s">
        <v>2472</v>
      </c>
      <c r="E701" s="3" t="s">
        <v>2473</v>
      </c>
      <c r="F701" s="1" t="s">
        <v>2474</v>
      </c>
      <c r="G701" s="1" t="s">
        <v>14</v>
      </c>
      <c r="H701" s="1" t="s">
        <v>14</v>
      </c>
      <c r="I701" s="1" t="s">
        <v>14</v>
      </c>
      <c r="J701" s="1" t="s">
        <v>15</v>
      </c>
      <c r="K701" s="2"/>
      <c r="L701" s="5">
        <f>K701*375.83</f>
        <v>0</v>
      </c>
    </row>
    <row r="702" spans="1:12">
      <c r="A702" s="1"/>
      <c r="B702" s="1">
        <v>824944</v>
      </c>
      <c r="C702" s="1" t="s">
        <v>2475</v>
      </c>
      <c r="D702" s="1" t="s">
        <v>2476</v>
      </c>
      <c r="E702" s="3" t="s">
        <v>2477</v>
      </c>
      <c r="F702" s="1" t="s">
        <v>23</v>
      </c>
      <c r="G702" s="1" t="s">
        <v>14</v>
      </c>
      <c r="H702" s="1" t="s">
        <v>14</v>
      </c>
      <c r="I702" s="1" t="s">
        <v>14</v>
      </c>
      <c r="J702" s="1" t="s">
        <v>15</v>
      </c>
      <c r="K702" s="2"/>
      <c r="L702" s="5">
        <f>K702*404.50</f>
        <v>0</v>
      </c>
    </row>
    <row r="703" spans="1:12">
      <c r="A703" s="1"/>
      <c r="B703" s="1">
        <v>824945</v>
      </c>
      <c r="C703" s="1" t="s">
        <v>2478</v>
      </c>
      <c r="D703" s="1" t="s">
        <v>2479</v>
      </c>
      <c r="E703" s="3" t="s">
        <v>2480</v>
      </c>
      <c r="F703" s="1" t="s">
        <v>2481</v>
      </c>
      <c r="G703" s="1" t="s">
        <v>14</v>
      </c>
      <c r="H703" s="1" t="s">
        <v>14</v>
      </c>
      <c r="I703" s="1" t="s">
        <v>14</v>
      </c>
      <c r="J703" s="1" t="s">
        <v>15</v>
      </c>
      <c r="K703" s="2"/>
      <c r="L703" s="5">
        <f>K703*297.80</f>
        <v>0</v>
      </c>
    </row>
    <row r="704" spans="1:12">
      <c r="A704" s="1"/>
      <c r="B704" s="1">
        <v>824946</v>
      </c>
      <c r="C704" s="1" t="s">
        <v>2482</v>
      </c>
      <c r="D704" s="1" t="s">
        <v>2483</v>
      </c>
      <c r="E704" s="3" t="s">
        <v>2484</v>
      </c>
      <c r="F704" s="1" t="s">
        <v>2485</v>
      </c>
      <c r="G704" s="1" t="s">
        <v>14</v>
      </c>
      <c r="H704" s="1" t="s">
        <v>14</v>
      </c>
      <c r="I704" s="1" t="s">
        <v>14</v>
      </c>
      <c r="J704" s="1" t="s">
        <v>15</v>
      </c>
      <c r="K704" s="2"/>
      <c r="L704" s="5">
        <f>K704*321.69</f>
        <v>0</v>
      </c>
    </row>
    <row r="705" spans="1:12">
      <c r="A705" s="1"/>
      <c r="B705" s="1">
        <v>824947</v>
      </c>
      <c r="C705" s="1" t="s">
        <v>2486</v>
      </c>
      <c r="D705" s="1" t="s">
        <v>2487</v>
      </c>
      <c r="E705" s="3" t="s">
        <v>2488</v>
      </c>
      <c r="F705" s="1" t="s">
        <v>2489</v>
      </c>
      <c r="G705" s="1" t="s">
        <v>14</v>
      </c>
      <c r="H705" s="1" t="s">
        <v>14</v>
      </c>
      <c r="I705" s="1" t="s">
        <v>14</v>
      </c>
      <c r="J705" s="1" t="s">
        <v>15</v>
      </c>
      <c r="K705" s="2"/>
      <c r="L705" s="5">
        <f>K705*345.57</f>
        <v>0</v>
      </c>
    </row>
    <row r="706" spans="1:12">
      <c r="A706" s="1"/>
      <c r="B706" s="1">
        <v>824948</v>
      </c>
      <c r="C706" s="1" t="s">
        <v>2490</v>
      </c>
      <c r="D706" s="1" t="s">
        <v>2491</v>
      </c>
      <c r="E706" s="3" t="s">
        <v>2492</v>
      </c>
      <c r="F706" s="1" t="s">
        <v>2493</v>
      </c>
      <c r="G706" s="1" t="s">
        <v>14</v>
      </c>
      <c r="H706" s="1" t="s">
        <v>14</v>
      </c>
      <c r="I706" s="1" t="s">
        <v>14</v>
      </c>
      <c r="J706" s="1" t="s">
        <v>15</v>
      </c>
      <c r="K706" s="2"/>
      <c r="L706" s="5">
        <f>K706*267.54</f>
        <v>0</v>
      </c>
    </row>
    <row r="707" spans="1:12">
      <c r="A707" s="1"/>
      <c r="B707" s="1">
        <v>824949</v>
      </c>
      <c r="C707" s="1" t="s">
        <v>2494</v>
      </c>
      <c r="D707" s="1" t="s">
        <v>2495</v>
      </c>
      <c r="E707" s="3" t="s">
        <v>2496</v>
      </c>
      <c r="F707" s="1" t="s">
        <v>2497</v>
      </c>
      <c r="G707" s="1" t="s">
        <v>14</v>
      </c>
      <c r="H707" s="1" t="s">
        <v>14</v>
      </c>
      <c r="I707" s="1" t="s">
        <v>14</v>
      </c>
      <c r="J707" s="1" t="s">
        <v>15</v>
      </c>
      <c r="K707" s="2"/>
      <c r="L707" s="5">
        <f>K707*288.24</f>
        <v>0</v>
      </c>
    </row>
    <row r="708" spans="1:12">
      <c r="A708" s="1"/>
      <c r="B708" s="1">
        <v>824950</v>
      </c>
      <c r="C708" s="1" t="s">
        <v>2498</v>
      </c>
      <c r="D708" s="1" t="s">
        <v>2499</v>
      </c>
      <c r="E708" s="3" t="s">
        <v>2500</v>
      </c>
      <c r="F708" s="1" t="s">
        <v>2501</v>
      </c>
      <c r="G708" s="1" t="s">
        <v>14</v>
      </c>
      <c r="H708" s="1" t="s">
        <v>14</v>
      </c>
      <c r="I708" s="1" t="s">
        <v>14</v>
      </c>
      <c r="J708" s="1" t="s">
        <v>15</v>
      </c>
      <c r="K708" s="2"/>
      <c r="L708" s="5">
        <f>K708*318.50</f>
        <v>0</v>
      </c>
    </row>
    <row r="709" spans="1:12">
      <c r="A709" s="1"/>
      <c r="B709" s="1">
        <v>824951</v>
      </c>
      <c r="C709" s="1" t="s">
        <v>2502</v>
      </c>
      <c r="D709" s="1" t="s">
        <v>2503</v>
      </c>
      <c r="E709" s="3" t="s">
        <v>2504</v>
      </c>
      <c r="F709" s="1" t="s">
        <v>2505</v>
      </c>
      <c r="G709" s="1" t="s">
        <v>14</v>
      </c>
      <c r="H709" s="1" t="s">
        <v>14</v>
      </c>
      <c r="I709" s="1" t="s">
        <v>14</v>
      </c>
      <c r="J709" s="1" t="s">
        <v>15</v>
      </c>
      <c r="K709" s="2"/>
      <c r="L709" s="5">
        <f>K709*444.31</f>
        <v>0</v>
      </c>
    </row>
    <row r="710" spans="1:12">
      <c r="A710" s="1"/>
      <c r="B710" s="1">
        <v>824952</v>
      </c>
      <c r="C710" s="1" t="s">
        <v>2506</v>
      </c>
      <c r="D710" s="1" t="s">
        <v>2507</v>
      </c>
      <c r="E710" s="3" t="s">
        <v>2508</v>
      </c>
      <c r="F710" s="1" t="s">
        <v>2509</v>
      </c>
      <c r="G710" s="1" t="s">
        <v>14</v>
      </c>
      <c r="H710" s="1" t="s">
        <v>14</v>
      </c>
      <c r="I710" s="1" t="s">
        <v>14</v>
      </c>
      <c r="J710" s="1" t="s">
        <v>15</v>
      </c>
      <c r="K710" s="2"/>
      <c r="L710" s="5">
        <f>K710*476.16</f>
        <v>0</v>
      </c>
    </row>
    <row r="711" spans="1:12">
      <c r="A711" s="1"/>
      <c r="B711" s="1">
        <v>824953</v>
      </c>
      <c r="C711" s="1" t="s">
        <v>2510</v>
      </c>
      <c r="D711" s="1" t="s">
        <v>2511</v>
      </c>
      <c r="E711" s="3" t="s">
        <v>2512</v>
      </c>
      <c r="F711" s="1" t="s">
        <v>2513</v>
      </c>
      <c r="G711" s="1" t="s">
        <v>14</v>
      </c>
      <c r="H711" s="1" t="s">
        <v>14</v>
      </c>
      <c r="I711" s="1" t="s">
        <v>14</v>
      </c>
      <c r="J711" s="1" t="s">
        <v>15</v>
      </c>
      <c r="K711" s="2"/>
      <c r="L711" s="5">
        <f>K711*500.05</f>
        <v>0</v>
      </c>
    </row>
    <row r="712" spans="1:12">
      <c r="A712" s="1"/>
      <c r="B712" s="1">
        <v>824954</v>
      </c>
      <c r="C712" s="1" t="s">
        <v>2514</v>
      </c>
      <c r="D712" s="1" t="s">
        <v>2515</v>
      </c>
      <c r="E712" s="3" t="s">
        <v>2516</v>
      </c>
      <c r="F712" s="1" t="s">
        <v>2517</v>
      </c>
      <c r="G712" s="1" t="s">
        <v>14</v>
      </c>
      <c r="H712" s="1" t="s">
        <v>14</v>
      </c>
      <c r="I712" s="1" t="s">
        <v>14</v>
      </c>
      <c r="J712" s="1" t="s">
        <v>15</v>
      </c>
      <c r="K712" s="2"/>
      <c r="L712" s="5">
        <f>K712*468.20</f>
        <v>0</v>
      </c>
    </row>
    <row r="713" spans="1:12">
      <c r="A713" s="1"/>
      <c r="B713" s="1">
        <v>824955</v>
      </c>
      <c r="C713" s="1" t="s">
        <v>2518</v>
      </c>
      <c r="D713" s="1" t="s">
        <v>2519</v>
      </c>
      <c r="E713" s="3" t="s">
        <v>2520</v>
      </c>
      <c r="F713" s="1" t="s">
        <v>2521</v>
      </c>
      <c r="G713" s="1" t="s">
        <v>14</v>
      </c>
      <c r="H713" s="1" t="s">
        <v>14</v>
      </c>
      <c r="I713" s="1" t="s">
        <v>14</v>
      </c>
      <c r="J713" s="1" t="s">
        <v>15</v>
      </c>
      <c r="K713" s="2"/>
      <c r="L713" s="5">
        <f>K713*495.27</f>
        <v>0</v>
      </c>
    </row>
    <row r="714" spans="1:12">
      <c r="A714" s="1"/>
      <c r="B714" s="1">
        <v>824956</v>
      </c>
      <c r="C714" s="1" t="s">
        <v>2522</v>
      </c>
      <c r="D714" s="1" t="s">
        <v>2523</v>
      </c>
      <c r="E714" s="3" t="s">
        <v>2524</v>
      </c>
      <c r="F714" s="1" t="s">
        <v>2525</v>
      </c>
      <c r="G714" s="1" t="s">
        <v>14</v>
      </c>
      <c r="H714" s="1" t="s">
        <v>14</v>
      </c>
      <c r="I714" s="1" t="s">
        <v>14</v>
      </c>
      <c r="J714" s="1" t="s">
        <v>15</v>
      </c>
      <c r="K714" s="2"/>
      <c r="L714" s="5">
        <f>K714*520.75</f>
        <v>0</v>
      </c>
    </row>
    <row r="715" spans="1:12">
      <c r="A715" s="1"/>
      <c r="B715" s="1">
        <v>824957</v>
      </c>
      <c r="C715" s="1" t="s">
        <v>2526</v>
      </c>
      <c r="D715" s="1" t="s">
        <v>2527</v>
      </c>
      <c r="E715" s="3" t="s">
        <v>2528</v>
      </c>
      <c r="F715" s="1" t="s">
        <v>2529</v>
      </c>
      <c r="G715" s="1" t="s">
        <v>14</v>
      </c>
      <c r="H715" s="1" t="s">
        <v>14</v>
      </c>
      <c r="I715" s="1" t="s">
        <v>14</v>
      </c>
      <c r="J715" s="1" t="s">
        <v>15</v>
      </c>
      <c r="K715" s="2"/>
      <c r="L715" s="5">
        <f>K715*423.61</f>
        <v>0</v>
      </c>
    </row>
    <row r="716" spans="1:12">
      <c r="A716" s="1"/>
      <c r="B716" s="1">
        <v>824958</v>
      </c>
      <c r="C716" s="1" t="s">
        <v>2530</v>
      </c>
      <c r="D716" s="1" t="s">
        <v>2531</v>
      </c>
      <c r="E716" s="3" t="s">
        <v>2532</v>
      </c>
      <c r="F716" s="1" t="s">
        <v>2533</v>
      </c>
      <c r="G716" s="1" t="s">
        <v>14</v>
      </c>
      <c r="H716" s="1" t="s">
        <v>14</v>
      </c>
      <c r="I716" s="1" t="s">
        <v>14</v>
      </c>
      <c r="J716" s="1" t="s">
        <v>15</v>
      </c>
      <c r="K716" s="2"/>
      <c r="L716" s="5">
        <f>K716*458.64</f>
        <v>0</v>
      </c>
    </row>
    <row r="717" spans="1:12">
      <c r="A717" s="1"/>
      <c r="B717" s="1">
        <v>824959</v>
      </c>
      <c r="C717" s="1" t="s">
        <v>2534</v>
      </c>
      <c r="D717" s="1" t="s">
        <v>2535</v>
      </c>
      <c r="E717" s="3" t="s">
        <v>2536</v>
      </c>
      <c r="F717" s="1" t="s">
        <v>2537</v>
      </c>
      <c r="G717" s="1" t="s">
        <v>14</v>
      </c>
      <c r="H717" s="1" t="s">
        <v>14</v>
      </c>
      <c r="I717" s="1" t="s">
        <v>14</v>
      </c>
      <c r="J717" s="1" t="s">
        <v>15</v>
      </c>
      <c r="K717" s="2"/>
      <c r="L717" s="5">
        <f>K717*490.49</f>
        <v>0</v>
      </c>
    </row>
    <row r="718" spans="1:12">
      <c r="A718" s="1"/>
      <c r="B718" s="1">
        <v>824960</v>
      </c>
      <c r="C718" s="1" t="s">
        <v>2538</v>
      </c>
      <c r="D718" s="1" t="s">
        <v>2539</v>
      </c>
      <c r="E718" s="3" t="s">
        <v>2540</v>
      </c>
      <c r="F718" s="1" t="s">
        <v>2541</v>
      </c>
      <c r="G718" s="1" t="s">
        <v>14</v>
      </c>
      <c r="H718" s="1" t="s">
        <v>14</v>
      </c>
      <c r="I718" s="1" t="s">
        <v>14</v>
      </c>
      <c r="J718" s="1" t="s">
        <v>15</v>
      </c>
      <c r="K718" s="2"/>
      <c r="L718" s="5">
        <f>K718*485.71</f>
        <v>0</v>
      </c>
    </row>
    <row r="719" spans="1:12">
      <c r="A719" s="1"/>
      <c r="B719" s="1">
        <v>824961</v>
      </c>
      <c r="C719" s="1" t="s">
        <v>2542</v>
      </c>
      <c r="D719" s="1" t="s">
        <v>2543</v>
      </c>
      <c r="E719" s="3" t="s">
        <v>2544</v>
      </c>
      <c r="F719" s="1" t="s">
        <v>2545</v>
      </c>
      <c r="G719" s="1" t="s">
        <v>14</v>
      </c>
      <c r="H719" s="1" t="s">
        <v>14</v>
      </c>
      <c r="I719" s="1" t="s">
        <v>14</v>
      </c>
      <c r="J719" s="1" t="s">
        <v>15</v>
      </c>
      <c r="K719" s="2"/>
      <c r="L719" s="5">
        <f>K719*422.01</f>
        <v>0</v>
      </c>
    </row>
    <row r="720" spans="1:12">
      <c r="A720" s="1"/>
      <c r="B720" s="1">
        <v>830331</v>
      </c>
      <c r="C720" s="1" t="s">
        <v>2546</v>
      </c>
      <c r="D720" s="1" t="s">
        <v>2547</v>
      </c>
      <c r="E720" s="3" t="s">
        <v>2548</v>
      </c>
      <c r="F720" s="1" t="s">
        <v>2549</v>
      </c>
      <c r="G720" s="1" t="s">
        <v>14</v>
      </c>
      <c r="H720" s="1" t="s">
        <v>14</v>
      </c>
      <c r="I720" s="1" t="s">
        <v>14</v>
      </c>
      <c r="J720" s="1" t="s">
        <v>15</v>
      </c>
      <c r="K720" s="2"/>
      <c r="L720" s="5">
        <f>K720*324.87</f>
        <v>0</v>
      </c>
    </row>
    <row r="721" spans="1:12">
      <c r="A721" s="1"/>
      <c r="B721" s="1">
        <v>830332</v>
      </c>
      <c r="C721" s="1" t="s">
        <v>2550</v>
      </c>
      <c r="D721" s="1" t="s">
        <v>2551</v>
      </c>
      <c r="E721" s="3" t="s">
        <v>2552</v>
      </c>
      <c r="F721" s="1" t="s">
        <v>2553</v>
      </c>
      <c r="G721" s="1" t="s">
        <v>14</v>
      </c>
      <c r="H721" s="1" t="s">
        <v>14</v>
      </c>
      <c r="I721" s="1" t="s">
        <v>14</v>
      </c>
      <c r="J721" s="1" t="s">
        <v>15</v>
      </c>
      <c r="K721" s="2"/>
      <c r="L721" s="5">
        <f>K721*343.98</f>
        <v>0</v>
      </c>
    </row>
    <row r="722" spans="1:12">
      <c r="A722" s="1"/>
      <c r="B722" s="1">
        <v>830333</v>
      </c>
      <c r="C722" s="1" t="s">
        <v>2554</v>
      </c>
      <c r="D722" s="1" t="s">
        <v>2555</v>
      </c>
      <c r="E722" s="3" t="s">
        <v>2556</v>
      </c>
      <c r="F722" s="1" t="s">
        <v>2557</v>
      </c>
      <c r="G722" s="1" t="s">
        <v>14</v>
      </c>
      <c r="H722" s="1" t="s">
        <v>14</v>
      </c>
      <c r="I722" s="1" t="s">
        <v>14</v>
      </c>
      <c r="J722" s="1" t="s">
        <v>15</v>
      </c>
      <c r="K722" s="2"/>
      <c r="L722" s="5">
        <f>K722*369.46</f>
        <v>0</v>
      </c>
    </row>
    <row r="723" spans="1:12">
      <c r="A723" s="1"/>
      <c r="B723" s="1">
        <v>830334</v>
      </c>
      <c r="C723" s="1" t="s">
        <v>2558</v>
      </c>
      <c r="D723" s="1" t="s">
        <v>2559</v>
      </c>
      <c r="E723" s="3" t="s">
        <v>2560</v>
      </c>
      <c r="F723" s="1" t="s">
        <v>2561</v>
      </c>
      <c r="G723" s="1" t="s">
        <v>14</v>
      </c>
      <c r="H723" s="1" t="s">
        <v>14</v>
      </c>
      <c r="I723" s="1" t="s">
        <v>14</v>
      </c>
      <c r="J723" s="1" t="s">
        <v>15</v>
      </c>
      <c r="K723" s="2"/>
      <c r="L723" s="5">
        <f>K723*339.20</f>
        <v>0</v>
      </c>
    </row>
    <row r="724" spans="1:12">
      <c r="A724" s="1"/>
      <c r="B724" s="1">
        <v>830335</v>
      </c>
      <c r="C724" s="1" t="s">
        <v>2562</v>
      </c>
      <c r="D724" s="1" t="s">
        <v>2563</v>
      </c>
      <c r="E724" s="3" t="s">
        <v>2564</v>
      </c>
      <c r="F724" s="1" t="s">
        <v>2565</v>
      </c>
      <c r="G724" s="1" t="s">
        <v>14</v>
      </c>
      <c r="H724" s="1" t="s">
        <v>14</v>
      </c>
      <c r="I724" s="1" t="s">
        <v>14</v>
      </c>
      <c r="J724" s="1" t="s">
        <v>15</v>
      </c>
      <c r="K724" s="2"/>
      <c r="L724" s="5">
        <f>K724*367.87</f>
        <v>0</v>
      </c>
    </row>
    <row r="725" spans="1:12">
      <c r="A725" s="1"/>
      <c r="B725" s="1">
        <v>830336</v>
      </c>
      <c r="C725" s="1" t="s">
        <v>2566</v>
      </c>
      <c r="D725" s="1" t="s">
        <v>2567</v>
      </c>
      <c r="E725" s="3" t="s">
        <v>2568</v>
      </c>
      <c r="F725" s="1" t="s">
        <v>2569</v>
      </c>
      <c r="G725" s="1" t="s">
        <v>14</v>
      </c>
      <c r="H725" s="1" t="s">
        <v>14</v>
      </c>
      <c r="I725" s="1" t="s">
        <v>14</v>
      </c>
      <c r="J725" s="1" t="s">
        <v>15</v>
      </c>
      <c r="K725" s="2"/>
      <c r="L725" s="5">
        <f>K725*396.53</f>
        <v>0</v>
      </c>
    </row>
    <row r="726" spans="1:12">
      <c r="A726" s="1"/>
      <c r="B726" s="1">
        <v>830337</v>
      </c>
      <c r="C726" s="1" t="s">
        <v>2570</v>
      </c>
      <c r="D726" s="1" t="s">
        <v>2571</v>
      </c>
      <c r="E726" s="3" t="s">
        <v>2572</v>
      </c>
      <c r="F726" s="1" t="s">
        <v>2573</v>
      </c>
      <c r="G726" s="1" t="s">
        <v>14</v>
      </c>
      <c r="H726" s="1" t="s">
        <v>14</v>
      </c>
      <c r="I726" s="1" t="s">
        <v>14</v>
      </c>
      <c r="J726" s="1" t="s">
        <v>15</v>
      </c>
      <c r="K726" s="2"/>
      <c r="L726" s="5">
        <f>K726*136.96</f>
        <v>0</v>
      </c>
    </row>
    <row r="727" spans="1:12">
      <c r="A727" s="1"/>
      <c r="B727" s="1">
        <v>830338</v>
      </c>
      <c r="C727" s="1" t="s">
        <v>2574</v>
      </c>
      <c r="D727" s="1" t="s">
        <v>2575</v>
      </c>
      <c r="E727" s="3" t="s">
        <v>2576</v>
      </c>
      <c r="F727" s="1" t="s">
        <v>2577</v>
      </c>
      <c r="G727" s="1" t="s">
        <v>14</v>
      </c>
      <c r="H727" s="1" t="s">
        <v>14</v>
      </c>
      <c r="I727" s="1" t="s">
        <v>14</v>
      </c>
      <c r="J727" s="1" t="s">
        <v>15</v>
      </c>
      <c r="K727" s="2"/>
      <c r="L727" s="5">
        <f>K727*148.10</f>
        <v>0</v>
      </c>
    </row>
    <row r="728" spans="1:12">
      <c r="A728" s="1"/>
      <c r="B728" s="1">
        <v>830339</v>
      </c>
      <c r="C728" s="1" t="s">
        <v>2578</v>
      </c>
      <c r="D728" s="1" t="s">
        <v>2579</v>
      </c>
      <c r="E728" s="3" t="s">
        <v>2580</v>
      </c>
      <c r="F728" s="1" t="s">
        <v>2581</v>
      </c>
      <c r="G728" s="1" t="s">
        <v>14</v>
      </c>
      <c r="H728" s="1" t="s">
        <v>14</v>
      </c>
      <c r="I728" s="1" t="s">
        <v>14</v>
      </c>
      <c r="J728" s="1" t="s">
        <v>15</v>
      </c>
      <c r="K728" s="2"/>
      <c r="L728" s="5">
        <f>K728*159.25</f>
        <v>0</v>
      </c>
    </row>
    <row r="729" spans="1:12">
      <c r="A729" s="1"/>
      <c r="B729" s="1">
        <v>830340</v>
      </c>
      <c r="C729" s="1" t="s">
        <v>2582</v>
      </c>
      <c r="D729" s="1" t="s">
        <v>2583</v>
      </c>
      <c r="E729" s="3" t="s">
        <v>2584</v>
      </c>
      <c r="F729" s="1" t="s">
        <v>2585</v>
      </c>
      <c r="G729" s="1" t="s">
        <v>14</v>
      </c>
      <c r="H729" s="1" t="s">
        <v>14</v>
      </c>
      <c r="I729" s="1" t="s">
        <v>14</v>
      </c>
      <c r="J729" s="1" t="s">
        <v>15</v>
      </c>
      <c r="K729" s="2"/>
      <c r="L729" s="5">
        <f>K729*308.95</f>
        <v>0</v>
      </c>
    </row>
    <row r="730" spans="1:12">
      <c r="A730" s="1"/>
      <c r="B730" s="1">
        <v>830341</v>
      </c>
      <c r="C730" s="1" t="s">
        <v>2586</v>
      </c>
      <c r="D730" s="1" t="s">
        <v>2587</v>
      </c>
      <c r="E730" s="3" t="s">
        <v>2588</v>
      </c>
      <c r="F730" s="1" t="s">
        <v>2589</v>
      </c>
      <c r="G730" s="1" t="s">
        <v>14</v>
      </c>
      <c r="H730" s="1" t="s">
        <v>14</v>
      </c>
      <c r="I730" s="1" t="s">
        <v>14</v>
      </c>
      <c r="J730" s="1" t="s">
        <v>15</v>
      </c>
      <c r="K730" s="2"/>
      <c r="L730" s="5">
        <f>K730*329.65</f>
        <v>0</v>
      </c>
    </row>
    <row r="731" spans="1:12">
      <c r="A731" s="1"/>
      <c r="B731" s="1">
        <v>830342</v>
      </c>
      <c r="C731" s="1" t="s">
        <v>2590</v>
      </c>
      <c r="D731" s="1" t="s">
        <v>2591</v>
      </c>
      <c r="E731" s="3" t="s">
        <v>2592</v>
      </c>
      <c r="F731" s="1" t="s">
        <v>2470</v>
      </c>
      <c r="G731" s="1" t="s">
        <v>14</v>
      </c>
      <c r="H731" s="1" t="s">
        <v>14</v>
      </c>
      <c r="I731" s="1" t="s">
        <v>14</v>
      </c>
      <c r="J731" s="1" t="s">
        <v>15</v>
      </c>
      <c r="K731" s="2"/>
      <c r="L731" s="5">
        <f>K731*350.35</f>
        <v>0</v>
      </c>
    </row>
    <row r="732" spans="1:12">
      <c r="A732" s="1"/>
      <c r="B732" s="1">
        <v>826077</v>
      </c>
      <c r="C732" s="1" t="s">
        <v>2593</v>
      </c>
      <c r="D732" s="1" t="s">
        <v>2594</v>
      </c>
      <c r="E732" s="3" t="s">
        <v>2595</v>
      </c>
      <c r="F732" s="1" t="s">
        <v>2596</v>
      </c>
      <c r="G732" s="1" t="s">
        <v>14</v>
      </c>
      <c r="H732" s="1" t="s">
        <v>14</v>
      </c>
      <c r="I732" s="1" t="s">
        <v>14</v>
      </c>
      <c r="J732" s="1" t="s">
        <v>15</v>
      </c>
      <c r="K732" s="2"/>
      <c r="L732" s="5">
        <f>K732*494.40</f>
        <v>0</v>
      </c>
    </row>
    <row r="733" spans="1:12">
      <c r="A733" s="1"/>
      <c r="B733" s="1">
        <v>826078</v>
      </c>
      <c r="C733" s="1" t="s">
        <v>2597</v>
      </c>
      <c r="D733" s="1" t="s">
        <v>2598</v>
      </c>
      <c r="E733" s="3" t="s">
        <v>2595</v>
      </c>
      <c r="F733" s="1" t="s">
        <v>2599</v>
      </c>
      <c r="G733" s="1" t="s">
        <v>14</v>
      </c>
      <c r="H733" s="1" t="s">
        <v>14</v>
      </c>
      <c r="I733" s="1" t="s">
        <v>14</v>
      </c>
      <c r="J733" s="1" t="s">
        <v>15</v>
      </c>
      <c r="K733" s="2"/>
      <c r="L733" s="5">
        <f>K733*598.25</f>
        <v>0</v>
      </c>
    </row>
    <row r="734" spans="1:12">
      <c r="A734" s="1"/>
      <c r="B734" s="1">
        <v>826079</v>
      </c>
      <c r="C734" s="1" t="s">
        <v>2600</v>
      </c>
      <c r="D734" s="1" t="s">
        <v>2601</v>
      </c>
      <c r="E734" s="3" t="s">
        <v>2595</v>
      </c>
      <c r="F734" s="1" t="s">
        <v>2602</v>
      </c>
      <c r="G734" s="1" t="s">
        <v>14</v>
      </c>
      <c r="H734" s="1" t="s">
        <v>14</v>
      </c>
      <c r="I734" s="1" t="s">
        <v>14</v>
      </c>
      <c r="J734" s="1" t="s">
        <v>15</v>
      </c>
      <c r="K734" s="2"/>
      <c r="L734" s="5">
        <f>K734*555.83</f>
        <v>0</v>
      </c>
    </row>
    <row r="735" spans="1:12">
      <c r="A735" s="1"/>
      <c r="B735" s="1">
        <v>826080</v>
      </c>
      <c r="C735" s="1" t="s">
        <v>2603</v>
      </c>
      <c r="D735" s="1" t="s">
        <v>2604</v>
      </c>
      <c r="E735" s="3" t="s">
        <v>2595</v>
      </c>
      <c r="F735" s="1" t="s">
        <v>2605</v>
      </c>
      <c r="G735" s="1" t="s">
        <v>14</v>
      </c>
      <c r="H735" s="1" t="s">
        <v>14</v>
      </c>
      <c r="I735" s="1" t="s">
        <v>14</v>
      </c>
      <c r="J735" s="1" t="s">
        <v>15</v>
      </c>
      <c r="K735" s="2"/>
      <c r="L735" s="5">
        <f>K735*560.22</f>
        <v>0</v>
      </c>
    </row>
    <row r="736" spans="1:12">
      <c r="A736" s="1"/>
      <c r="B736" s="1">
        <v>826081</v>
      </c>
      <c r="C736" s="1" t="s">
        <v>2606</v>
      </c>
      <c r="D736" s="1" t="s">
        <v>2607</v>
      </c>
      <c r="E736" s="3" t="s">
        <v>2595</v>
      </c>
      <c r="F736" s="1" t="s">
        <v>2608</v>
      </c>
      <c r="G736" s="1" t="s">
        <v>14</v>
      </c>
      <c r="H736" s="1" t="s">
        <v>14</v>
      </c>
      <c r="I736" s="1" t="s">
        <v>14</v>
      </c>
      <c r="J736" s="1" t="s">
        <v>15</v>
      </c>
      <c r="K736" s="2"/>
      <c r="L736" s="5">
        <f>K736*551.44</f>
        <v>0</v>
      </c>
    </row>
    <row r="737" spans="1:12">
      <c r="A737" s="1"/>
      <c r="B737" s="1">
        <v>826082</v>
      </c>
      <c r="C737" s="1" t="s">
        <v>2609</v>
      </c>
      <c r="D737" s="1" t="s">
        <v>2610</v>
      </c>
      <c r="E737" s="3" t="s">
        <v>2611</v>
      </c>
      <c r="F737" s="1" t="s">
        <v>439</v>
      </c>
      <c r="G737" s="1" t="s">
        <v>14</v>
      </c>
      <c r="H737" s="1" t="s">
        <v>14</v>
      </c>
      <c r="I737" s="1" t="s">
        <v>14</v>
      </c>
      <c r="J737" s="1" t="s">
        <v>15</v>
      </c>
      <c r="K737" s="2"/>
      <c r="L737" s="5">
        <f>K737*0.00</f>
        <v>0</v>
      </c>
    </row>
    <row r="738" spans="1:12">
      <c r="A738" s="1"/>
      <c r="B738" s="1">
        <v>826083</v>
      </c>
      <c r="C738" s="1" t="s">
        <v>2612</v>
      </c>
      <c r="D738" s="1" t="s">
        <v>2613</v>
      </c>
      <c r="E738" s="3" t="s">
        <v>2614</v>
      </c>
      <c r="F738" s="1" t="s">
        <v>439</v>
      </c>
      <c r="G738" s="1" t="s">
        <v>14</v>
      </c>
      <c r="H738" s="1" t="s">
        <v>14</v>
      </c>
      <c r="I738" s="1" t="s">
        <v>14</v>
      </c>
      <c r="J738" s="1" t="s">
        <v>15</v>
      </c>
      <c r="K738" s="2"/>
      <c r="L738" s="5">
        <f>K738*0.00</f>
        <v>0</v>
      </c>
    </row>
    <row r="739" spans="1:12">
      <c r="A739" s="1"/>
      <c r="B739" s="1">
        <v>826084</v>
      </c>
      <c r="C739" s="1" t="s">
        <v>2615</v>
      </c>
      <c r="D739" s="1" t="s">
        <v>2616</v>
      </c>
      <c r="E739" s="3" t="s">
        <v>2611</v>
      </c>
      <c r="F739" s="1" t="s">
        <v>439</v>
      </c>
      <c r="G739" s="1" t="s">
        <v>14</v>
      </c>
      <c r="H739" s="1" t="s">
        <v>14</v>
      </c>
      <c r="I739" s="1" t="s">
        <v>14</v>
      </c>
      <c r="J739" s="1" t="s">
        <v>15</v>
      </c>
      <c r="K739" s="2"/>
      <c r="L739" s="5">
        <f>K739*0.00</f>
        <v>0</v>
      </c>
    </row>
    <row r="740" spans="1:12">
      <c r="A740" s="1"/>
      <c r="B740" s="1">
        <v>826085</v>
      </c>
      <c r="C740" s="1" t="s">
        <v>2617</v>
      </c>
      <c r="D740" s="1" t="s">
        <v>2618</v>
      </c>
      <c r="E740" s="3" t="s">
        <v>2611</v>
      </c>
      <c r="F740" s="1" t="s">
        <v>439</v>
      </c>
      <c r="G740" s="1" t="s">
        <v>14</v>
      </c>
      <c r="H740" s="1" t="s">
        <v>14</v>
      </c>
      <c r="I740" s="1" t="s">
        <v>14</v>
      </c>
      <c r="J740" s="1" t="s">
        <v>15</v>
      </c>
      <c r="K740" s="2"/>
      <c r="L740" s="5">
        <f>K740*0.00</f>
        <v>0</v>
      </c>
    </row>
    <row r="741" spans="1:12">
      <c r="A741" s="1"/>
      <c r="B741" s="1">
        <v>826086</v>
      </c>
      <c r="C741" s="1" t="s">
        <v>2619</v>
      </c>
      <c r="D741" s="1" t="s">
        <v>2620</v>
      </c>
      <c r="E741" s="3" t="s">
        <v>2611</v>
      </c>
      <c r="F741" s="1" t="s">
        <v>2621</v>
      </c>
      <c r="G741" s="1" t="s">
        <v>14</v>
      </c>
      <c r="H741" s="1" t="s">
        <v>14</v>
      </c>
      <c r="I741" s="1" t="s">
        <v>14</v>
      </c>
      <c r="J741" s="1" t="s">
        <v>15</v>
      </c>
      <c r="K741" s="2"/>
      <c r="L741" s="5">
        <f>K741*605.57</f>
        <v>0</v>
      </c>
    </row>
    <row r="742" spans="1:12">
      <c r="A742" s="1"/>
      <c r="B742" s="1">
        <v>826087</v>
      </c>
      <c r="C742" s="1" t="s">
        <v>2622</v>
      </c>
      <c r="D742" s="1" t="s">
        <v>2623</v>
      </c>
      <c r="E742" s="3" t="s">
        <v>2611</v>
      </c>
      <c r="F742" s="1" t="s">
        <v>2624</v>
      </c>
      <c r="G742" s="1" t="s">
        <v>14</v>
      </c>
      <c r="H742" s="1" t="s">
        <v>14</v>
      </c>
      <c r="I742" s="1" t="s">
        <v>14</v>
      </c>
      <c r="J742" s="1" t="s">
        <v>15</v>
      </c>
      <c r="K742" s="2"/>
      <c r="L742" s="5">
        <f>K742*672.85</f>
        <v>0</v>
      </c>
    </row>
    <row r="743" spans="1:12">
      <c r="A743" s="1"/>
      <c r="B743" s="1">
        <v>826088</v>
      </c>
      <c r="C743" s="1" t="s">
        <v>2625</v>
      </c>
      <c r="D743" s="1" t="s">
        <v>2626</v>
      </c>
      <c r="E743" s="3" t="s">
        <v>2614</v>
      </c>
      <c r="F743" s="1" t="s">
        <v>2627</v>
      </c>
      <c r="G743" s="1" t="s">
        <v>14</v>
      </c>
      <c r="H743" s="1" t="s">
        <v>14</v>
      </c>
      <c r="I743" s="1" t="s">
        <v>14</v>
      </c>
      <c r="J743" s="1" t="s">
        <v>15</v>
      </c>
      <c r="K743" s="2"/>
      <c r="L743" s="5">
        <f>K743*1050.23</f>
        <v>0</v>
      </c>
    </row>
    <row r="744" spans="1:12">
      <c r="A744" s="1"/>
      <c r="B744" s="1">
        <v>826089</v>
      </c>
      <c r="C744" s="1" t="s">
        <v>2628</v>
      </c>
      <c r="D744" s="1" t="s">
        <v>2629</v>
      </c>
      <c r="E744" s="3" t="s">
        <v>2611</v>
      </c>
      <c r="F744" s="1" t="s">
        <v>2630</v>
      </c>
      <c r="G744" s="1" t="s">
        <v>14</v>
      </c>
      <c r="H744" s="1" t="s">
        <v>14</v>
      </c>
      <c r="I744" s="1" t="s">
        <v>14</v>
      </c>
      <c r="J744" s="1" t="s">
        <v>15</v>
      </c>
      <c r="K744" s="2"/>
      <c r="L744" s="5">
        <f>K744*652.37</f>
        <v>0</v>
      </c>
    </row>
    <row r="745" spans="1:12">
      <c r="A745" s="1"/>
      <c r="B745" s="1">
        <v>826090</v>
      </c>
      <c r="C745" s="1" t="s">
        <v>2631</v>
      </c>
      <c r="D745" s="1" t="s">
        <v>2632</v>
      </c>
      <c r="E745" s="3" t="s">
        <v>2611</v>
      </c>
      <c r="F745" s="1" t="s">
        <v>2630</v>
      </c>
      <c r="G745" s="1" t="s">
        <v>14</v>
      </c>
      <c r="H745" s="1" t="s">
        <v>14</v>
      </c>
      <c r="I745" s="1" t="s">
        <v>14</v>
      </c>
      <c r="J745" s="1" t="s">
        <v>15</v>
      </c>
      <c r="K745" s="2"/>
      <c r="L745" s="5">
        <f>K745*652.37</f>
        <v>0</v>
      </c>
    </row>
    <row r="746" spans="1:12">
      <c r="A746" s="1"/>
      <c r="B746" s="1">
        <v>826091</v>
      </c>
      <c r="C746" s="1" t="s">
        <v>2633</v>
      </c>
      <c r="D746" s="1" t="s">
        <v>2634</v>
      </c>
      <c r="E746" s="3" t="s">
        <v>2611</v>
      </c>
      <c r="F746" s="1" t="s">
        <v>2635</v>
      </c>
      <c r="G746" s="1" t="s">
        <v>14</v>
      </c>
      <c r="H746" s="1" t="s">
        <v>14</v>
      </c>
      <c r="I746" s="1" t="s">
        <v>14</v>
      </c>
      <c r="J746" s="1" t="s">
        <v>15</v>
      </c>
      <c r="K746" s="2"/>
      <c r="L746" s="5">
        <f>K746*892.26</f>
        <v>0</v>
      </c>
    </row>
    <row r="747" spans="1:12">
      <c r="A747" s="1"/>
      <c r="B747" s="1">
        <v>826092</v>
      </c>
      <c r="C747" s="1" t="s">
        <v>2636</v>
      </c>
      <c r="D747" s="1" t="s">
        <v>2637</v>
      </c>
      <c r="E747" s="3" t="s">
        <v>2638</v>
      </c>
      <c r="F747" s="1" t="s">
        <v>2639</v>
      </c>
      <c r="G747" s="1" t="s">
        <v>14</v>
      </c>
      <c r="H747" s="1" t="s">
        <v>14</v>
      </c>
      <c r="I747" s="1" t="s">
        <v>14</v>
      </c>
      <c r="J747" s="1" t="s">
        <v>15</v>
      </c>
      <c r="K747" s="2"/>
      <c r="L747" s="5">
        <f>K747*884.94</f>
        <v>0</v>
      </c>
    </row>
    <row r="748" spans="1:12">
      <c r="A748" s="1"/>
      <c r="B748" s="1">
        <v>826093</v>
      </c>
      <c r="C748" s="1" t="s">
        <v>2640</v>
      </c>
      <c r="D748" s="1" t="s">
        <v>2641</v>
      </c>
      <c r="E748" s="3" t="s">
        <v>2642</v>
      </c>
      <c r="F748" s="1" t="s">
        <v>2639</v>
      </c>
      <c r="G748" s="1" t="s">
        <v>14</v>
      </c>
      <c r="H748" s="1" t="s">
        <v>14</v>
      </c>
      <c r="I748" s="1" t="s">
        <v>14</v>
      </c>
      <c r="J748" s="1" t="s">
        <v>15</v>
      </c>
      <c r="K748" s="2"/>
      <c r="L748" s="5">
        <f>K748*884.94</f>
        <v>0</v>
      </c>
    </row>
    <row r="749" spans="1:12">
      <c r="A749" s="1"/>
      <c r="B749" s="1">
        <v>826094</v>
      </c>
      <c r="C749" s="1" t="s">
        <v>2643</v>
      </c>
      <c r="D749" s="1" t="s">
        <v>2644</v>
      </c>
      <c r="E749" s="3" t="s">
        <v>2645</v>
      </c>
      <c r="F749" s="1" t="s">
        <v>2646</v>
      </c>
      <c r="G749" s="1" t="s">
        <v>14</v>
      </c>
      <c r="H749" s="1" t="s">
        <v>14</v>
      </c>
      <c r="I749" s="1" t="s">
        <v>14</v>
      </c>
      <c r="J749" s="1" t="s">
        <v>15</v>
      </c>
      <c r="K749" s="2"/>
      <c r="L749" s="5">
        <f>K749*744.52</f>
        <v>0</v>
      </c>
    </row>
    <row r="750" spans="1:12">
      <c r="A750" s="1"/>
      <c r="B750" s="1">
        <v>826095</v>
      </c>
      <c r="C750" s="1" t="s">
        <v>2647</v>
      </c>
      <c r="D750" s="1" t="s">
        <v>2648</v>
      </c>
      <c r="E750" s="3" t="s">
        <v>2645</v>
      </c>
      <c r="F750" s="1" t="s">
        <v>2649</v>
      </c>
      <c r="G750" s="1" t="s">
        <v>14</v>
      </c>
      <c r="H750" s="1" t="s">
        <v>14</v>
      </c>
      <c r="I750" s="1" t="s">
        <v>14</v>
      </c>
      <c r="J750" s="1" t="s">
        <v>15</v>
      </c>
      <c r="K750" s="2"/>
      <c r="L750" s="5">
        <f>K750*901.03</f>
        <v>0</v>
      </c>
    </row>
    <row r="751" spans="1:12">
      <c r="A751" s="1"/>
      <c r="B751" s="1">
        <v>826096</v>
      </c>
      <c r="C751" s="1" t="s">
        <v>2650</v>
      </c>
      <c r="D751" s="1" t="s">
        <v>2651</v>
      </c>
      <c r="E751" s="3" t="s">
        <v>2645</v>
      </c>
      <c r="F751" s="1" t="s">
        <v>2652</v>
      </c>
      <c r="G751" s="1" t="s">
        <v>14</v>
      </c>
      <c r="H751" s="1" t="s">
        <v>14</v>
      </c>
      <c r="I751" s="1" t="s">
        <v>14</v>
      </c>
      <c r="J751" s="1" t="s">
        <v>15</v>
      </c>
      <c r="K751" s="2"/>
      <c r="L751" s="5">
        <f>K751*902.50</f>
        <v>0</v>
      </c>
    </row>
    <row r="752" spans="1:12">
      <c r="A752" s="1"/>
      <c r="B752" s="1">
        <v>826097</v>
      </c>
      <c r="C752" s="1" t="s">
        <v>2653</v>
      </c>
      <c r="D752" s="1" t="s">
        <v>2654</v>
      </c>
      <c r="E752" s="3" t="s">
        <v>2645</v>
      </c>
      <c r="F752" s="1" t="s">
        <v>2655</v>
      </c>
      <c r="G752" s="1" t="s">
        <v>14</v>
      </c>
      <c r="H752" s="1" t="s">
        <v>14</v>
      </c>
      <c r="I752" s="1" t="s">
        <v>14</v>
      </c>
      <c r="J752" s="1" t="s">
        <v>15</v>
      </c>
      <c r="K752" s="2"/>
      <c r="L752" s="5">
        <f>K752*664.07</f>
        <v>0</v>
      </c>
    </row>
    <row r="753" spans="1:12">
      <c r="A753" s="1"/>
      <c r="B753" s="1">
        <v>826098</v>
      </c>
      <c r="C753" s="1" t="s">
        <v>2656</v>
      </c>
      <c r="D753" s="1" t="s">
        <v>2657</v>
      </c>
      <c r="E753" s="3" t="s">
        <v>2645</v>
      </c>
      <c r="F753" s="1" t="s">
        <v>2658</v>
      </c>
      <c r="G753" s="1" t="s">
        <v>14</v>
      </c>
      <c r="H753" s="1" t="s">
        <v>14</v>
      </c>
      <c r="I753" s="1" t="s">
        <v>14</v>
      </c>
      <c r="J753" s="1" t="s">
        <v>15</v>
      </c>
      <c r="K753" s="2"/>
      <c r="L753" s="5">
        <f>K753*808.88</f>
        <v>0</v>
      </c>
    </row>
    <row r="754" spans="1:12">
      <c r="A754" s="1"/>
      <c r="B754" s="1">
        <v>826099</v>
      </c>
      <c r="C754" s="1" t="s">
        <v>2659</v>
      </c>
      <c r="D754" s="1" t="s">
        <v>2660</v>
      </c>
      <c r="E754" s="3" t="s">
        <v>2645</v>
      </c>
      <c r="F754" s="1" t="s">
        <v>2661</v>
      </c>
      <c r="G754" s="1" t="s">
        <v>14</v>
      </c>
      <c r="H754" s="1" t="s">
        <v>14</v>
      </c>
      <c r="I754" s="1" t="s">
        <v>14</v>
      </c>
      <c r="J754" s="1" t="s">
        <v>15</v>
      </c>
      <c r="K754" s="2"/>
      <c r="L754" s="5">
        <f>K754*1000.50</f>
        <v>0</v>
      </c>
    </row>
    <row r="755" spans="1:12">
      <c r="A755" s="1"/>
      <c r="B755" s="1">
        <v>826100</v>
      </c>
      <c r="C755" s="1" t="s">
        <v>2662</v>
      </c>
      <c r="D755" s="1" t="s">
        <v>2663</v>
      </c>
      <c r="E755" s="3" t="s">
        <v>2664</v>
      </c>
      <c r="F755" s="1" t="s">
        <v>2665</v>
      </c>
      <c r="G755" s="1" t="s">
        <v>14</v>
      </c>
      <c r="H755" s="1" t="s">
        <v>14</v>
      </c>
      <c r="I755" s="1" t="s">
        <v>14</v>
      </c>
      <c r="J755" s="1" t="s">
        <v>15</v>
      </c>
      <c r="K755" s="2"/>
      <c r="L755" s="5">
        <f>K755*1626.54</f>
        <v>0</v>
      </c>
    </row>
    <row r="756" spans="1:12">
      <c r="A756" s="1"/>
      <c r="B756" s="1">
        <v>826101</v>
      </c>
      <c r="C756" s="1" t="s">
        <v>2666</v>
      </c>
      <c r="D756" s="1" t="s">
        <v>2667</v>
      </c>
      <c r="E756" s="3" t="s">
        <v>2664</v>
      </c>
      <c r="F756" s="1" t="s">
        <v>2668</v>
      </c>
      <c r="G756" s="1" t="s">
        <v>14</v>
      </c>
      <c r="H756" s="1" t="s">
        <v>14</v>
      </c>
      <c r="I756" s="1" t="s">
        <v>14</v>
      </c>
      <c r="J756" s="1" t="s">
        <v>15</v>
      </c>
      <c r="K756" s="2"/>
      <c r="L756" s="5">
        <f>K756*1806.46</f>
        <v>0</v>
      </c>
    </row>
    <row r="757" spans="1:12">
      <c r="A757" s="1"/>
      <c r="B757" s="1">
        <v>826102</v>
      </c>
      <c r="C757" s="1" t="s">
        <v>2669</v>
      </c>
      <c r="D757" s="1" t="s">
        <v>2670</v>
      </c>
      <c r="E757" s="3" t="s">
        <v>2664</v>
      </c>
      <c r="F757" s="1" t="s">
        <v>2671</v>
      </c>
      <c r="G757" s="1" t="s">
        <v>14</v>
      </c>
      <c r="H757" s="1" t="s">
        <v>14</v>
      </c>
      <c r="I757" s="1" t="s">
        <v>14</v>
      </c>
      <c r="J757" s="1" t="s">
        <v>15</v>
      </c>
      <c r="K757" s="2"/>
      <c r="L757" s="5">
        <f>K757*2066.82</f>
        <v>0</v>
      </c>
    </row>
    <row r="758" spans="1:12">
      <c r="A758" s="1"/>
      <c r="B758" s="1">
        <v>826103</v>
      </c>
      <c r="C758" s="1" t="s">
        <v>2672</v>
      </c>
      <c r="D758" s="1" t="s">
        <v>2673</v>
      </c>
      <c r="E758" s="3" t="s">
        <v>2664</v>
      </c>
      <c r="F758" s="1" t="s">
        <v>2674</v>
      </c>
      <c r="G758" s="1" t="s">
        <v>14</v>
      </c>
      <c r="H758" s="1" t="s">
        <v>14</v>
      </c>
      <c r="I758" s="1" t="s">
        <v>14</v>
      </c>
      <c r="J758" s="1" t="s">
        <v>15</v>
      </c>
      <c r="K758" s="2"/>
      <c r="L758" s="5">
        <f>K758*2030.25</f>
        <v>0</v>
      </c>
    </row>
    <row r="759" spans="1:12">
      <c r="A759" s="1"/>
      <c r="B759" s="1">
        <v>826104</v>
      </c>
      <c r="C759" s="1" t="s">
        <v>2675</v>
      </c>
      <c r="D759" s="1" t="s">
        <v>2676</v>
      </c>
      <c r="E759" s="3" t="s">
        <v>2664</v>
      </c>
      <c r="F759" s="1" t="s">
        <v>2677</v>
      </c>
      <c r="G759" s="1" t="s">
        <v>14</v>
      </c>
      <c r="H759" s="1" t="s">
        <v>14</v>
      </c>
      <c r="I759" s="1" t="s">
        <v>14</v>
      </c>
      <c r="J759" s="1" t="s">
        <v>15</v>
      </c>
      <c r="K759" s="2"/>
      <c r="L759" s="5">
        <f>K759*1809.38</f>
        <v>0</v>
      </c>
    </row>
    <row r="760" spans="1:12">
      <c r="A760" s="1"/>
      <c r="B760" s="1">
        <v>826105</v>
      </c>
      <c r="C760" s="1" t="s">
        <v>2678</v>
      </c>
      <c r="D760" s="1" t="s">
        <v>2679</v>
      </c>
      <c r="E760" s="3" t="s">
        <v>2664</v>
      </c>
      <c r="F760" s="1" t="s">
        <v>2680</v>
      </c>
      <c r="G760" s="1" t="s">
        <v>14</v>
      </c>
      <c r="H760" s="1" t="s">
        <v>14</v>
      </c>
      <c r="I760" s="1" t="s">
        <v>14</v>
      </c>
      <c r="J760" s="1" t="s">
        <v>15</v>
      </c>
      <c r="K760" s="2"/>
      <c r="L760" s="5">
        <f>K760*2025.86</f>
        <v>0</v>
      </c>
    </row>
    <row r="761" spans="1:12">
      <c r="A761" s="1"/>
      <c r="B761" s="1">
        <v>826106</v>
      </c>
      <c r="C761" s="1" t="s">
        <v>2681</v>
      </c>
      <c r="D761" s="1" t="s">
        <v>2682</v>
      </c>
      <c r="E761" s="3" t="s">
        <v>2664</v>
      </c>
      <c r="F761" s="1" t="s">
        <v>2683</v>
      </c>
      <c r="G761" s="1" t="s">
        <v>14</v>
      </c>
      <c r="H761" s="1" t="s">
        <v>14</v>
      </c>
      <c r="I761" s="1" t="s">
        <v>14</v>
      </c>
      <c r="J761" s="1" t="s">
        <v>15</v>
      </c>
      <c r="K761" s="2"/>
      <c r="L761" s="5">
        <f>K761*2236.50</f>
        <v>0</v>
      </c>
    </row>
    <row r="762" spans="1:12">
      <c r="A762" s="1"/>
      <c r="B762" s="1">
        <v>878865</v>
      </c>
      <c r="C762" s="1" t="s">
        <v>2684</v>
      </c>
      <c r="D762" s="1"/>
      <c r="E762" s="3" t="s">
        <v>2685</v>
      </c>
      <c r="F762" s="1" t="s">
        <v>2686</v>
      </c>
      <c r="G762" s="1" t="s">
        <v>14</v>
      </c>
      <c r="H762" s="1" t="s">
        <v>14</v>
      </c>
      <c r="I762" s="1" t="s">
        <v>14</v>
      </c>
      <c r="J762" s="1" t="s">
        <v>15</v>
      </c>
      <c r="K762" s="2"/>
      <c r="L762" s="5">
        <f>K762*80.14</f>
        <v>0</v>
      </c>
    </row>
    <row r="763" spans="1:12">
      <c r="A763" s="1"/>
      <c r="B763" s="1">
        <v>878866</v>
      </c>
      <c r="C763" s="1" t="s">
        <v>2687</v>
      </c>
      <c r="D763" s="1"/>
      <c r="E763" s="3" t="s">
        <v>2688</v>
      </c>
      <c r="F763" s="1" t="s">
        <v>2689</v>
      </c>
      <c r="G763" s="1" t="s">
        <v>14</v>
      </c>
      <c r="H763" s="1" t="s">
        <v>14</v>
      </c>
      <c r="I763" s="1" t="s">
        <v>14</v>
      </c>
      <c r="J763" s="1" t="s">
        <v>15</v>
      </c>
      <c r="K763" s="2"/>
      <c r="L763" s="5">
        <f>K763*156.98</f>
        <v>0</v>
      </c>
    </row>
    <row r="764" spans="1:12">
      <c r="A764" s="1"/>
      <c r="B764" s="1">
        <v>878867</v>
      </c>
      <c r="C764" s="1" t="s">
        <v>2690</v>
      </c>
      <c r="D764" s="1"/>
      <c r="E764" s="3" t="s">
        <v>2691</v>
      </c>
      <c r="F764" s="1" t="s">
        <v>2692</v>
      </c>
      <c r="G764" s="1" t="s">
        <v>14</v>
      </c>
      <c r="H764" s="1" t="s">
        <v>14</v>
      </c>
      <c r="I764" s="1" t="s">
        <v>14</v>
      </c>
      <c r="J764" s="1" t="s">
        <v>15</v>
      </c>
      <c r="K764" s="2"/>
      <c r="L764" s="5">
        <f>K764*167.26</f>
        <v>0</v>
      </c>
    </row>
    <row r="765" spans="1:12">
      <c r="A765" s="1"/>
      <c r="B765" s="1">
        <v>878868</v>
      </c>
      <c r="C765" s="1" t="s">
        <v>2693</v>
      </c>
      <c r="D765" s="1"/>
      <c r="E765" s="3" t="s">
        <v>2694</v>
      </c>
      <c r="F765" s="1" t="s">
        <v>2695</v>
      </c>
      <c r="G765" s="1" t="s">
        <v>14</v>
      </c>
      <c r="H765" s="1" t="s">
        <v>14</v>
      </c>
      <c r="I765" s="1" t="s">
        <v>14</v>
      </c>
      <c r="J765" s="1" t="s">
        <v>15</v>
      </c>
      <c r="K765" s="2"/>
      <c r="L765" s="5">
        <f>K765*177.71</f>
        <v>0</v>
      </c>
    </row>
    <row r="766" spans="1:12">
      <c r="A766" s="1"/>
      <c r="B766" s="1">
        <v>878869</v>
      </c>
      <c r="C766" s="1" t="s">
        <v>2696</v>
      </c>
      <c r="D766" s="1"/>
      <c r="E766" s="3" t="s">
        <v>2697</v>
      </c>
      <c r="F766" s="1" t="s">
        <v>2698</v>
      </c>
      <c r="G766" s="1" t="s">
        <v>14</v>
      </c>
      <c r="H766" s="1" t="s">
        <v>14</v>
      </c>
      <c r="I766" s="1" t="s">
        <v>14</v>
      </c>
      <c r="J766" s="1" t="s">
        <v>15</v>
      </c>
      <c r="K766" s="2"/>
      <c r="L766" s="5">
        <f>K766*328.76</f>
        <v>0</v>
      </c>
    </row>
    <row r="767" spans="1:12">
      <c r="A767" s="1"/>
      <c r="B767" s="1">
        <v>823304</v>
      </c>
      <c r="C767" s="1" t="s">
        <v>2699</v>
      </c>
      <c r="D767" s="1" t="s">
        <v>2700</v>
      </c>
      <c r="E767" s="3" t="s">
        <v>2701</v>
      </c>
      <c r="F767" s="1" t="s">
        <v>2702</v>
      </c>
      <c r="G767" s="1" t="s">
        <v>14</v>
      </c>
      <c r="H767" s="1" t="s">
        <v>14</v>
      </c>
      <c r="I767" s="1" t="s">
        <v>14</v>
      </c>
      <c r="J767" s="1" t="s">
        <v>15</v>
      </c>
      <c r="K767" s="2"/>
      <c r="L767" s="5">
        <f>K767*130.59</f>
        <v>0</v>
      </c>
    </row>
    <row r="768" spans="1:12">
      <c r="A768" s="1"/>
      <c r="B768" s="1">
        <v>823305</v>
      </c>
      <c r="C768" s="1" t="s">
        <v>2703</v>
      </c>
      <c r="D768" s="1" t="s">
        <v>2704</v>
      </c>
      <c r="E768" s="3" t="s">
        <v>2705</v>
      </c>
      <c r="F768" s="1" t="s">
        <v>2706</v>
      </c>
      <c r="G768" s="1" t="s">
        <v>14</v>
      </c>
      <c r="H768" s="1" t="s">
        <v>14</v>
      </c>
      <c r="I768" s="1" t="s">
        <v>14</v>
      </c>
      <c r="J768" s="1" t="s">
        <v>15</v>
      </c>
      <c r="K768" s="2"/>
      <c r="L768" s="5">
        <f>K768*202.25</f>
        <v>0</v>
      </c>
    </row>
    <row r="769" spans="1:12">
      <c r="A769" s="1"/>
      <c r="B769" s="1">
        <v>823306</v>
      </c>
      <c r="C769" s="1" t="s">
        <v>2707</v>
      </c>
      <c r="D769" s="1" t="s">
        <v>2708</v>
      </c>
      <c r="E769" s="3" t="s">
        <v>2709</v>
      </c>
      <c r="F769" s="1" t="s">
        <v>2710</v>
      </c>
      <c r="G769" s="1" t="s">
        <v>14</v>
      </c>
      <c r="H769" s="1" t="s">
        <v>14</v>
      </c>
      <c r="I769" s="1" t="s">
        <v>14</v>
      </c>
      <c r="J769" s="1" t="s">
        <v>2711</v>
      </c>
      <c r="K769" s="2"/>
      <c r="L769" s="5">
        <f>K769*410.87</f>
        <v>0</v>
      </c>
    </row>
    <row r="770" spans="1:12">
      <c r="A770" s="1"/>
      <c r="B770" s="1">
        <v>823307</v>
      </c>
      <c r="C770" s="1" t="s">
        <v>2712</v>
      </c>
      <c r="D770" s="1" t="s">
        <v>2713</v>
      </c>
      <c r="E770" s="3" t="s">
        <v>2714</v>
      </c>
      <c r="F770" s="1" t="s">
        <v>2715</v>
      </c>
      <c r="G770" s="1" t="s">
        <v>14</v>
      </c>
      <c r="H770" s="1" t="s">
        <v>14</v>
      </c>
      <c r="I770" s="1" t="s">
        <v>14</v>
      </c>
      <c r="J770" s="1" t="s">
        <v>2711</v>
      </c>
      <c r="K770" s="2"/>
      <c r="L770" s="5">
        <f>K770*407.68</f>
        <v>0</v>
      </c>
    </row>
    <row r="771" spans="1:12">
      <c r="A771" s="1"/>
      <c r="B771" s="1">
        <v>823308</v>
      </c>
      <c r="C771" s="1" t="s">
        <v>2716</v>
      </c>
      <c r="D771" s="1" t="s">
        <v>2717</v>
      </c>
      <c r="E771" s="3" t="s">
        <v>2718</v>
      </c>
      <c r="F771" s="1" t="s">
        <v>2719</v>
      </c>
      <c r="G771" s="1" t="s">
        <v>14</v>
      </c>
      <c r="H771" s="1" t="s">
        <v>14</v>
      </c>
      <c r="I771" s="1" t="s">
        <v>14</v>
      </c>
      <c r="J771" s="1" t="s">
        <v>2711</v>
      </c>
      <c r="K771" s="2"/>
      <c r="L771" s="5">
        <f>K771*380.61</f>
        <v>0</v>
      </c>
    </row>
    <row r="772" spans="1:12">
      <c r="A772" s="1"/>
      <c r="B772" s="1">
        <v>823309</v>
      </c>
      <c r="C772" s="1" t="s">
        <v>2720</v>
      </c>
      <c r="D772" s="1" t="s">
        <v>2721</v>
      </c>
      <c r="E772" s="3" t="s">
        <v>2722</v>
      </c>
      <c r="F772" s="1" t="s">
        <v>2719</v>
      </c>
      <c r="G772" s="1" t="s">
        <v>14</v>
      </c>
      <c r="H772" s="1" t="s">
        <v>14</v>
      </c>
      <c r="I772" s="1" t="s">
        <v>14</v>
      </c>
      <c r="J772" s="1" t="s">
        <v>2711</v>
      </c>
      <c r="K772" s="2"/>
      <c r="L772" s="5">
        <f>K772*380.61</f>
        <v>0</v>
      </c>
    </row>
    <row r="773" spans="1:12">
      <c r="A773" s="1"/>
      <c r="B773" s="1">
        <v>878870</v>
      </c>
      <c r="C773" s="1" t="s">
        <v>2723</v>
      </c>
      <c r="D773" s="1" t="s">
        <v>2724</v>
      </c>
      <c r="E773" s="3" t="s">
        <v>2725</v>
      </c>
      <c r="F773" s="1" t="s">
        <v>439</v>
      </c>
      <c r="G773" s="1" t="s">
        <v>14</v>
      </c>
      <c r="H773" s="1" t="s">
        <v>14</v>
      </c>
      <c r="I773" s="1" t="s">
        <v>14</v>
      </c>
      <c r="J773" s="1" t="s">
        <v>15</v>
      </c>
      <c r="K773" s="2"/>
      <c r="L773" s="5">
        <f>K773*0.00</f>
        <v>0</v>
      </c>
    </row>
    <row r="774" spans="1:12">
      <c r="A774" s="1"/>
      <c r="B774" s="1">
        <v>878871</v>
      </c>
      <c r="C774" s="1" t="s">
        <v>2726</v>
      </c>
      <c r="D774" s="1" t="s">
        <v>2727</v>
      </c>
      <c r="E774" s="3" t="s">
        <v>2728</v>
      </c>
      <c r="F774" s="1" t="s">
        <v>2729</v>
      </c>
      <c r="G774" s="1" t="s">
        <v>14</v>
      </c>
      <c r="H774" s="1" t="s">
        <v>14</v>
      </c>
      <c r="I774" s="1" t="s">
        <v>14</v>
      </c>
      <c r="J774" s="1" t="s">
        <v>15</v>
      </c>
      <c r="K774" s="2"/>
      <c r="L774" s="5">
        <f>K774*343.57</f>
        <v>0</v>
      </c>
    </row>
    <row r="775" spans="1:12">
      <c r="A775" s="1"/>
      <c r="B775" s="1">
        <v>878872</v>
      </c>
      <c r="C775" s="1" t="s">
        <v>2730</v>
      </c>
      <c r="D775" s="1" t="s">
        <v>2731</v>
      </c>
      <c r="E775" s="3" t="s">
        <v>2728</v>
      </c>
      <c r="F775" s="1" t="s">
        <v>2732</v>
      </c>
      <c r="G775" s="1" t="s">
        <v>14</v>
      </c>
      <c r="H775" s="1" t="s">
        <v>14</v>
      </c>
      <c r="I775" s="1" t="s">
        <v>14</v>
      </c>
      <c r="J775" s="1" t="s">
        <v>15</v>
      </c>
      <c r="K775" s="2"/>
      <c r="L775" s="5">
        <f>K775*259.17</f>
        <v>0</v>
      </c>
    </row>
    <row r="776" spans="1:12">
      <c r="A776" s="1"/>
      <c r="B776" s="1">
        <v>858852</v>
      </c>
      <c r="C776" s="1" t="s">
        <v>2733</v>
      </c>
      <c r="D776" s="1" t="s">
        <v>2734</v>
      </c>
      <c r="E776" s="3" t="s">
        <v>2735</v>
      </c>
      <c r="F776" s="1" t="s">
        <v>2736</v>
      </c>
      <c r="G776" s="1" t="s">
        <v>14</v>
      </c>
      <c r="H776" s="1" t="s">
        <v>14</v>
      </c>
      <c r="I776" s="1" t="s">
        <v>14</v>
      </c>
      <c r="J776" s="1" t="s">
        <v>15</v>
      </c>
      <c r="K776" s="2"/>
      <c r="L776" s="5">
        <f>K776*344.27</f>
        <v>0</v>
      </c>
    </row>
    <row r="777" spans="1:12">
      <c r="A777" s="1"/>
      <c r="B777" s="1">
        <v>883298</v>
      </c>
      <c r="C777" s="1" t="s">
        <v>2737</v>
      </c>
      <c r="D777" s="1"/>
      <c r="E777" s="3" t="s">
        <v>2738</v>
      </c>
      <c r="F777" s="1" t="s">
        <v>2739</v>
      </c>
      <c r="G777" s="1" t="s">
        <v>14</v>
      </c>
      <c r="H777" s="1" t="s">
        <v>14</v>
      </c>
      <c r="I777" s="1" t="s">
        <v>14</v>
      </c>
      <c r="J777" s="1" t="s">
        <v>15</v>
      </c>
      <c r="K777" s="2"/>
      <c r="L777" s="5">
        <f>K777*74.05</f>
        <v>0</v>
      </c>
    </row>
    <row r="778" spans="1:12">
      <c r="A778" s="1"/>
      <c r="B778" s="1">
        <v>882099</v>
      </c>
      <c r="C778" s="1" t="s">
        <v>2740</v>
      </c>
      <c r="D778" s="1" t="s">
        <v>2741</v>
      </c>
      <c r="E778" s="3" t="s">
        <v>2742</v>
      </c>
      <c r="F778" s="1" t="s">
        <v>2743</v>
      </c>
      <c r="G778" s="1" t="s">
        <v>14</v>
      </c>
      <c r="H778" s="1" t="s">
        <v>14</v>
      </c>
      <c r="I778" s="1" t="s">
        <v>14</v>
      </c>
      <c r="J778" s="1" t="s">
        <v>15</v>
      </c>
      <c r="K778" s="2"/>
      <c r="L778" s="5">
        <f>K778*10502.27</f>
        <v>0</v>
      </c>
    </row>
    <row r="779" spans="1:12">
      <c r="A779" s="1"/>
      <c r="B779" s="1">
        <v>857066</v>
      </c>
      <c r="C779" s="1" t="s">
        <v>2744</v>
      </c>
      <c r="D779" s="1" t="s">
        <v>2745</v>
      </c>
      <c r="E779" s="3" t="s">
        <v>2746</v>
      </c>
      <c r="F779" s="1" t="s">
        <v>2747</v>
      </c>
      <c r="G779" s="1" t="s">
        <v>14</v>
      </c>
      <c r="H779" s="1" t="s">
        <v>14</v>
      </c>
      <c r="I779" s="1" t="s">
        <v>14</v>
      </c>
      <c r="J779" s="1" t="s">
        <v>15</v>
      </c>
      <c r="K779" s="2"/>
      <c r="L779" s="5">
        <f>K779*5100.50</f>
        <v>0</v>
      </c>
    </row>
    <row r="780" spans="1:12">
      <c r="A780" s="1"/>
      <c r="B780" s="1">
        <v>857067</v>
      </c>
      <c r="C780" s="1" t="s">
        <v>2748</v>
      </c>
      <c r="D780" s="1" t="s">
        <v>2749</v>
      </c>
      <c r="E780" s="3" t="s">
        <v>2746</v>
      </c>
      <c r="F780" s="1" t="s">
        <v>2747</v>
      </c>
      <c r="G780" s="1" t="s">
        <v>14</v>
      </c>
      <c r="H780" s="1" t="s">
        <v>14</v>
      </c>
      <c r="I780" s="1" t="s">
        <v>14</v>
      </c>
      <c r="J780" s="1" t="s">
        <v>15</v>
      </c>
      <c r="K780" s="2"/>
      <c r="L780" s="5">
        <f>K780*5100.50</f>
        <v>0</v>
      </c>
    </row>
    <row r="781" spans="1:12">
      <c r="A781" s="1"/>
      <c r="B781" s="1">
        <v>857089</v>
      </c>
      <c r="C781" s="1" t="s">
        <v>2750</v>
      </c>
      <c r="D781" s="1" t="s">
        <v>2751</v>
      </c>
      <c r="E781" s="3" t="s">
        <v>2752</v>
      </c>
      <c r="F781" s="1" t="s">
        <v>2753</v>
      </c>
      <c r="G781" s="1" t="s">
        <v>14</v>
      </c>
      <c r="H781" s="1" t="s">
        <v>14</v>
      </c>
      <c r="I781" s="1" t="s">
        <v>14</v>
      </c>
      <c r="J781" s="1" t="s">
        <v>15</v>
      </c>
      <c r="K781" s="2"/>
      <c r="L781" s="5">
        <f>K781*5451.55</f>
        <v>0</v>
      </c>
    </row>
    <row r="782" spans="1:12">
      <c r="A782" s="1"/>
      <c r="B782" s="1">
        <v>857126</v>
      </c>
      <c r="C782" s="1" t="s">
        <v>2754</v>
      </c>
      <c r="D782" s="1" t="s">
        <v>2755</v>
      </c>
      <c r="E782" s="3" t="s">
        <v>2746</v>
      </c>
      <c r="F782" s="1" t="s">
        <v>2756</v>
      </c>
      <c r="G782" s="1" t="s">
        <v>14</v>
      </c>
      <c r="H782" s="1" t="s">
        <v>14</v>
      </c>
      <c r="I782" s="1" t="s">
        <v>14</v>
      </c>
      <c r="J782" s="1" t="s">
        <v>15</v>
      </c>
      <c r="K782" s="2"/>
      <c r="L782" s="5">
        <f>K782*4348.83</f>
        <v>0</v>
      </c>
    </row>
    <row r="783" spans="1:12">
      <c r="A783" s="1"/>
      <c r="B783" s="1">
        <v>857137</v>
      </c>
      <c r="C783" s="1" t="s">
        <v>2757</v>
      </c>
      <c r="D783" s="1" t="s">
        <v>2758</v>
      </c>
      <c r="E783" s="3" t="s">
        <v>2759</v>
      </c>
      <c r="F783" s="1" t="s">
        <v>2760</v>
      </c>
      <c r="G783" s="1" t="s">
        <v>14</v>
      </c>
      <c r="H783" s="1" t="s">
        <v>14</v>
      </c>
      <c r="I783" s="1" t="s">
        <v>14</v>
      </c>
      <c r="J783" s="1" t="s">
        <v>15</v>
      </c>
      <c r="K783" s="2"/>
      <c r="L783" s="5">
        <f>K783*6287.74</f>
        <v>0</v>
      </c>
    </row>
    <row r="784" spans="1:12">
      <c r="A784" s="1"/>
      <c r="B784" s="1">
        <v>882100</v>
      </c>
      <c r="C784" s="1" t="s">
        <v>2761</v>
      </c>
      <c r="D784" s="1" t="s">
        <v>2762</v>
      </c>
      <c r="E784" s="3" t="s">
        <v>2763</v>
      </c>
      <c r="F784" s="1" t="s">
        <v>2764</v>
      </c>
      <c r="G784" s="1" t="s">
        <v>14</v>
      </c>
      <c r="H784" s="1" t="s">
        <v>14</v>
      </c>
      <c r="I784" s="1" t="s">
        <v>14</v>
      </c>
      <c r="J784" s="1" t="s">
        <v>15</v>
      </c>
      <c r="K784" s="2"/>
      <c r="L784" s="5">
        <f>K784*7430.61</f>
        <v>0</v>
      </c>
    </row>
    <row r="785" spans="1:12">
      <c r="A785" s="1"/>
      <c r="B785" s="1">
        <v>857180</v>
      </c>
      <c r="C785" s="1" t="s">
        <v>2765</v>
      </c>
      <c r="D785" s="1" t="s">
        <v>2766</v>
      </c>
      <c r="E785" s="3" t="s">
        <v>2767</v>
      </c>
      <c r="F785" s="1" t="s">
        <v>2768</v>
      </c>
      <c r="G785" s="1" t="s">
        <v>14</v>
      </c>
      <c r="H785" s="1" t="s">
        <v>14</v>
      </c>
      <c r="I785" s="1" t="s">
        <v>14</v>
      </c>
      <c r="J785" s="1" t="s">
        <v>15</v>
      </c>
      <c r="K785" s="2"/>
      <c r="L785" s="5">
        <f>K785*4657.29</f>
        <v>0</v>
      </c>
    </row>
    <row r="786" spans="1:12">
      <c r="A786" s="1"/>
      <c r="B786" s="1">
        <v>857183</v>
      </c>
      <c r="C786" s="1" t="s">
        <v>2769</v>
      </c>
      <c r="D786" s="1" t="s">
        <v>2770</v>
      </c>
      <c r="E786" s="3" t="s">
        <v>2771</v>
      </c>
      <c r="F786" s="1" t="s">
        <v>2772</v>
      </c>
      <c r="G786" s="1" t="s">
        <v>14</v>
      </c>
      <c r="H786" s="1" t="s">
        <v>14</v>
      </c>
      <c r="I786" s="1" t="s">
        <v>14</v>
      </c>
      <c r="J786" s="1" t="s">
        <v>15</v>
      </c>
      <c r="K786" s="2"/>
      <c r="L786" s="5">
        <f>K786*5110.74</f>
        <v>0</v>
      </c>
    </row>
    <row r="787" spans="1:12">
      <c r="A787" s="1"/>
      <c r="B787" s="1">
        <v>857225</v>
      </c>
      <c r="C787" s="1" t="s">
        <v>2773</v>
      </c>
      <c r="D787" s="1" t="s">
        <v>2774</v>
      </c>
      <c r="E787" s="3" t="s">
        <v>2775</v>
      </c>
      <c r="F787" s="1" t="s">
        <v>2776</v>
      </c>
      <c r="G787" s="1" t="s">
        <v>14</v>
      </c>
      <c r="H787" s="1" t="s">
        <v>14</v>
      </c>
      <c r="I787" s="1" t="s">
        <v>14</v>
      </c>
      <c r="J787" s="1" t="s">
        <v>15</v>
      </c>
      <c r="K787" s="2"/>
      <c r="L787" s="5">
        <f>K787*16348.80</f>
        <v>0</v>
      </c>
    </row>
    <row r="788" spans="1:12">
      <c r="A788" s="1"/>
      <c r="B788" s="1">
        <v>840185</v>
      </c>
      <c r="C788" s="1" t="s">
        <v>2777</v>
      </c>
      <c r="D788" s="1" t="s">
        <v>2778</v>
      </c>
      <c r="E788" s="3" t="s">
        <v>2779</v>
      </c>
      <c r="F788" s="1" t="s">
        <v>2780</v>
      </c>
      <c r="G788" s="1" t="s">
        <v>14</v>
      </c>
      <c r="H788" s="1" t="s">
        <v>14</v>
      </c>
      <c r="I788" s="1" t="s">
        <v>14</v>
      </c>
      <c r="J788" s="1" t="s">
        <v>15</v>
      </c>
      <c r="K788" s="2"/>
      <c r="L788" s="5">
        <f>K788*65.82</f>
        <v>0</v>
      </c>
    </row>
    <row r="789" spans="1:12">
      <c r="A789" s="1"/>
      <c r="B789" s="1">
        <v>857292</v>
      </c>
      <c r="C789" s="1" t="s">
        <v>2781</v>
      </c>
      <c r="D789" s="1" t="s">
        <v>2782</v>
      </c>
      <c r="E789" s="3" t="s">
        <v>2783</v>
      </c>
      <c r="F789" s="1" t="s">
        <v>2784</v>
      </c>
      <c r="G789" s="1" t="s">
        <v>14</v>
      </c>
      <c r="H789" s="1" t="s">
        <v>14</v>
      </c>
      <c r="I789" s="1" t="s">
        <v>14</v>
      </c>
      <c r="J789" s="1" t="s">
        <v>15</v>
      </c>
      <c r="K789" s="2"/>
      <c r="L789" s="5">
        <f>K789*2412.02</f>
        <v>0</v>
      </c>
    </row>
    <row r="790" spans="1:12">
      <c r="A790" s="1"/>
      <c r="B790" s="1">
        <v>873355</v>
      </c>
      <c r="C790" s="1" t="s">
        <v>2785</v>
      </c>
      <c r="D790" s="1" t="s">
        <v>2786</v>
      </c>
      <c r="E790" s="3" t="s">
        <v>2787</v>
      </c>
      <c r="F790" s="1" t="s">
        <v>2788</v>
      </c>
      <c r="G790" s="1" t="s">
        <v>14</v>
      </c>
      <c r="H790" s="1" t="s">
        <v>14</v>
      </c>
      <c r="I790" s="1" t="s">
        <v>14</v>
      </c>
      <c r="J790" s="1" t="s">
        <v>15</v>
      </c>
      <c r="K790" s="2"/>
      <c r="L790" s="5">
        <f>K790*5575.88</f>
        <v>0</v>
      </c>
    </row>
    <row r="791" spans="1:12">
      <c r="A791" s="1"/>
      <c r="B791" s="1">
        <v>873356</v>
      </c>
      <c r="C791" s="1" t="s">
        <v>2789</v>
      </c>
      <c r="D791" s="1" t="s">
        <v>2790</v>
      </c>
      <c r="E791" s="3" t="s">
        <v>2767</v>
      </c>
      <c r="F791" s="1" t="s">
        <v>2791</v>
      </c>
      <c r="G791" s="1" t="s">
        <v>14</v>
      </c>
      <c r="H791" s="1" t="s">
        <v>14</v>
      </c>
      <c r="I791" s="1" t="s">
        <v>14</v>
      </c>
      <c r="J791" s="1" t="s">
        <v>15</v>
      </c>
      <c r="K791" s="2"/>
      <c r="L791" s="5">
        <f>K791*4667.53</f>
        <v>0</v>
      </c>
    </row>
    <row r="792" spans="1:12">
      <c r="A792" s="1"/>
      <c r="B792" s="1">
        <v>882101</v>
      </c>
      <c r="C792" s="1" t="s">
        <v>2792</v>
      </c>
      <c r="D792" s="1" t="s">
        <v>2793</v>
      </c>
      <c r="E792" s="3" t="s">
        <v>2794</v>
      </c>
      <c r="F792" s="1" t="s">
        <v>2795</v>
      </c>
      <c r="G792" s="1" t="s">
        <v>14</v>
      </c>
      <c r="H792" s="1" t="s">
        <v>14</v>
      </c>
      <c r="I792" s="1" t="s">
        <v>14</v>
      </c>
      <c r="J792" s="1" t="s">
        <v>15</v>
      </c>
      <c r="K792" s="2"/>
      <c r="L792" s="5">
        <f>K792*7445.23</f>
        <v>0</v>
      </c>
    </row>
    <row r="793" spans="1:12">
      <c r="A793" s="1"/>
      <c r="B793" s="1">
        <v>873357</v>
      </c>
      <c r="C793" s="1" t="s">
        <v>2796</v>
      </c>
      <c r="D793" s="1" t="s">
        <v>2797</v>
      </c>
      <c r="E793" s="3" t="s">
        <v>2798</v>
      </c>
      <c r="F793" s="1" t="s">
        <v>2799</v>
      </c>
      <c r="G793" s="1" t="s">
        <v>14</v>
      </c>
      <c r="H793" s="1" t="s">
        <v>14</v>
      </c>
      <c r="I793" s="1" t="s">
        <v>14</v>
      </c>
      <c r="J793" s="1" t="s">
        <v>15</v>
      </c>
      <c r="K793" s="2"/>
      <c r="L793" s="5">
        <f>K793*23282.08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2025-05-30T07:11:02+03:00</dcterms:created>
  <dcterms:modified xsi:type="dcterms:W3CDTF">2025-05-30T07:11:02+03:00</dcterms:modified>
  <dc:title>Untitled Spreadsheet</dc:title>
  <dc:description/>
  <dc:subject/>
  <cp:keywords/>
  <cp:category/>
</cp:coreProperties>
</file>