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<sst xmlns="http://schemas.openxmlformats.org/spreadsheetml/2006/main" uniqueCount="1651">
  <si>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</si>
  <si>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</si>
  <si>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</si>
  <si>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</si>
  <si>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</si>
  <si>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</si>
  <si>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</si>
  <si>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</si>
  <si>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</si>
  <si>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</si>
  <si>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ВОДЫ</t>
  </si>
  <si>
    <t>Краны запорные шаровые</t>
  </si>
  <si>
    <t>Краны шаровые АТМ</t>
  </si>
  <si>
    <t>ZAP-330001</t>
  </si>
  <si>
    <t>VR205-01</t>
  </si>
  <si>
    <t>Кран шар. АТМ стандарт проход бабочка 1/2" вн.-вн. (14/160шт)</t>
  </si>
  <si>
    <t>224.91 руб.</t>
  </si>
  <si>
    <t>&gt;100</t>
  </si>
  <si>
    <t>шт</t>
  </si>
  <si>
    <t>ZAP-330002</t>
  </si>
  <si>
    <t>VR205-02</t>
  </si>
  <si>
    <t>Кран шар. АТМ стандарт  проход  бабочка 3/4" вн.-вн. (10/120шт)</t>
  </si>
  <si>
    <t>311.64 руб.</t>
  </si>
  <si>
    <t>&gt;25</t>
  </si>
  <si>
    <t>ZAP-330003</t>
  </si>
  <si>
    <t>VR205-03</t>
  </si>
  <si>
    <t>Кран шар. АТМ стандарт  проход  бабочка 1" вн.-вн. (10/100шт)</t>
  </si>
  <si>
    <t>486.57 руб.</t>
  </si>
  <si>
    <t>ZAP-330004</t>
  </si>
  <si>
    <t>VR206-01</t>
  </si>
  <si>
    <t>Кран шар. АТМ стандарт  проход бабочка 1/2" вн.-нар. (10/160шт)</t>
  </si>
  <si>
    <t>232.26 руб.</t>
  </si>
  <si>
    <t>ZAP-330005</t>
  </si>
  <si>
    <t>VR206-02</t>
  </si>
  <si>
    <t>Кран шар. АТМ стандарт  проход бабочка 3/4" вн.-нар. (10/120шт)</t>
  </si>
  <si>
    <t>324.87 руб.</t>
  </si>
  <si>
    <t>ZAP-330006</t>
  </si>
  <si>
    <t>VR206-03</t>
  </si>
  <si>
    <t>Кран шар. АТМ стандарт  проход бабочка 1" вн.-нар. (10/100шт)</t>
  </si>
  <si>
    <t>508.62 руб.</t>
  </si>
  <si>
    <t>ZAP-330007</t>
  </si>
  <si>
    <t>VR207-01</t>
  </si>
  <si>
    <t>Кран шар. АТМ стандарт  проход  рукоятка 1/2" вн.-вн. (14/160шт)</t>
  </si>
  <si>
    <t>227.85 руб.</t>
  </si>
  <si>
    <t>ZAP-330008</t>
  </si>
  <si>
    <t>VR207-02</t>
  </si>
  <si>
    <t>Кран шар. АТМ стандарт  проход  рукоятка 3/4" вн.-вн. (14/160шт)</t>
  </si>
  <si>
    <t>318.99 руб.</t>
  </si>
  <si>
    <t>&gt;10</t>
  </si>
  <si>
    <t>ZAP-330009</t>
  </si>
  <si>
    <t>VR207-03</t>
  </si>
  <si>
    <t>Кран шар. АТМ стандарт проход  рукоятка 1" вн.-вн. (10/100шт)</t>
  </si>
  <si>
    <t>483.63 руб.</t>
  </si>
  <si>
    <t>ZAP-330013</t>
  </si>
  <si>
    <t>VR208-01</t>
  </si>
  <si>
    <t>Кран шар. АТМ стандарт проход рукоятка 1/2" вн.-нар. (10/160шт)</t>
  </si>
  <si>
    <t>ZAP-330014</t>
  </si>
  <si>
    <t>VR208-02</t>
  </si>
  <si>
    <t>Кран шар. АТМ стандарт проход рукоятка 3/4" вн.-нар. (10/120шт)</t>
  </si>
  <si>
    <t>329.28 руб.</t>
  </si>
  <si>
    <t>ZAP-330015</t>
  </si>
  <si>
    <t>VR208-03</t>
  </si>
  <si>
    <t>Кран шар. АТМ стандарт проход рукоятка 1" вн.-нар. (10/100шт)</t>
  </si>
  <si>
    <t>502.74 руб.</t>
  </si>
  <si>
    <t>Краны шаровые VALTEC</t>
  </si>
  <si>
    <t>Краны шаровые VALTEC BASE</t>
  </si>
  <si>
    <t>VLC-1134001</t>
  </si>
  <si>
    <t>VT.247.N.04</t>
  </si>
  <si>
    <t>Кран шар. для подкл. датчика темп., 1/2" (16 /144шт)</t>
  </si>
  <si>
    <t>640.00 руб.</t>
  </si>
  <si>
    <t>VLC-1134002</t>
  </si>
  <si>
    <t>VT.247.N.05</t>
  </si>
  <si>
    <t>Кран шар. для подкл. датчика темп., 3/4" (12 /108шт)</t>
  </si>
  <si>
    <t>934.00 руб.</t>
  </si>
  <si>
    <t>VLC-1134003</t>
  </si>
  <si>
    <t>VT.247.N.06</t>
  </si>
  <si>
    <t>Кран шар. для подкл. датчика темп., 1" (8 /64шт)</t>
  </si>
  <si>
    <t>1 424.00 руб.</t>
  </si>
  <si>
    <t>VLC-1134004</t>
  </si>
  <si>
    <t>VT.806.N.0404</t>
  </si>
  <si>
    <t>Кран шаровой для подключения  манометра, 1/2"нар -1/2"вн. (8 /128шт)</t>
  </si>
  <si>
    <t>658.00 руб.</t>
  </si>
  <si>
    <t>&gt;500</t>
  </si>
  <si>
    <t>VLC-1134005</t>
  </si>
  <si>
    <t>VT.806.N.0402</t>
  </si>
  <si>
    <t>Кран шаровой для подключения  манометра, 1/2"нар -1/4"вн. (10 /160шт)</t>
  </si>
  <si>
    <t>569.00 руб.</t>
  </si>
  <si>
    <t>&gt;50</t>
  </si>
  <si>
    <t>VLC-1134006</t>
  </si>
  <si>
    <t>VT.806.N.0403</t>
  </si>
  <si>
    <t>Кран шаровой для подключения  манометра, 1/2"нар -3/8"вн. (9 /144шт)</t>
  </si>
  <si>
    <t>541.00 руб.</t>
  </si>
  <si>
    <t>VLC-1134007</t>
  </si>
  <si>
    <t>VT.807.N.0404</t>
  </si>
  <si>
    <t>Кран шаровой для подключения  манометра, 1/2"вн. -1/2"вн. (10 /160шт)</t>
  </si>
  <si>
    <t>550.00 руб.</t>
  </si>
  <si>
    <t>&gt;1000</t>
  </si>
  <si>
    <t>VLC-1134008</t>
  </si>
  <si>
    <t>VT.807.N.0402</t>
  </si>
  <si>
    <t>Кран шаровой для подключения  манометра, 1/2"вн. -1/4"вн. (10 /160шт)</t>
  </si>
  <si>
    <t>506.00 руб.</t>
  </si>
  <si>
    <t>VLC-1134009</t>
  </si>
  <si>
    <t>VT.807.N.0403</t>
  </si>
  <si>
    <t>Кран шаровой для подключения  манометра, 1/2"вн. -3/8"вн. (10 /160шт)</t>
  </si>
  <si>
    <t>511.00 руб.</t>
  </si>
  <si>
    <t>VLC-1134010</t>
  </si>
  <si>
    <t>VT.808.N.04</t>
  </si>
  <si>
    <t>Кран шаровой c термометром, 1/2" (1 /36шт)</t>
  </si>
  <si>
    <t>1 105.00 руб.</t>
  </si>
  <si>
    <t>VLC-1134011</t>
  </si>
  <si>
    <t>VT.808.N.05</t>
  </si>
  <si>
    <t>Кран шаровой c термометром, 3/4" (1 /36шт)</t>
  </si>
  <si>
    <t>1 459.00 руб.</t>
  </si>
  <si>
    <t>VLC-411003</t>
  </si>
  <si>
    <t>VT.214.N.04</t>
  </si>
  <si>
    <t>Кран шар. BASE, стальная рукоятка 1/2" вн.-вн. (14 /126шт)</t>
  </si>
  <si>
    <t>503.00 руб.</t>
  </si>
  <si>
    <t>VLC-411004</t>
  </si>
  <si>
    <t>VT.214.N.05</t>
  </si>
  <si>
    <t>Кран шар. BASE, стальная рукоятка 3/4" вн.-вн. (10 /120шт)</t>
  </si>
  <si>
    <t>777.00 руб.</t>
  </si>
  <si>
    <t>VLC-411005</t>
  </si>
  <si>
    <t>VT.214.N.06</t>
  </si>
  <si>
    <t>Кран шар. BASE, стальная рукоятка 1" вн.-вн. (6 /54шт)</t>
  </si>
  <si>
    <t>1 263.00 руб.</t>
  </si>
  <si>
    <t>VLC-411006</t>
  </si>
  <si>
    <t>VT.214.N.07</t>
  </si>
  <si>
    <t>Кран шар. BASE, стальная рукоятка 1 1/4" вн.-вн. (3 /36шт)</t>
  </si>
  <si>
    <t>2 059.00 руб.</t>
  </si>
  <si>
    <t>VLC-411007</t>
  </si>
  <si>
    <t>VT.214.N.08</t>
  </si>
  <si>
    <t>Кран шар. BASE, стальная рукоятка 1 1/2" вн.-вн. (2 /20шт)</t>
  </si>
  <si>
    <t>3 154.00 руб.</t>
  </si>
  <si>
    <t>VLC-411008</t>
  </si>
  <si>
    <t>VT.214.N.09</t>
  </si>
  <si>
    <t>Кран шар. BASE, стальная рукоятка 2" вн.-вн. (2 /20шт)</t>
  </si>
  <si>
    <t>4 445.00 руб.</t>
  </si>
  <si>
    <t>VLC-411009</t>
  </si>
  <si>
    <t>VT.214.N.10</t>
  </si>
  <si>
    <t>Кран шар. BASE, стальная рукоятка 2 1/2" вн.-вн. (1 /6шт)</t>
  </si>
  <si>
    <t>11 029.00 руб.</t>
  </si>
  <si>
    <t>VLC-411010</t>
  </si>
  <si>
    <t>VT.214.N.11</t>
  </si>
  <si>
    <t>Кран шар. BASE, стальная рукоятка 3" вн.-вн. (1 /4шт)</t>
  </si>
  <si>
    <t>16 560.00 руб.</t>
  </si>
  <si>
    <t>VLC-411011</t>
  </si>
  <si>
    <t>VT.214.N.12</t>
  </si>
  <si>
    <t>Кран шар. BASE, стальная рукоятка 4" вн.-вн. (1 /4шт)</t>
  </si>
  <si>
    <t>22 540.00 руб.</t>
  </si>
  <si>
    <t>VLC-411012</t>
  </si>
  <si>
    <t>VT.215.N.04</t>
  </si>
  <si>
    <t>Кран шар. BASE, стальная рукоятка 1/2" вн.-нар. (16 /144шт)</t>
  </si>
  <si>
    <t>555.00 руб.</t>
  </si>
  <si>
    <t>VLC-411013</t>
  </si>
  <si>
    <t>VT.215.N.05</t>
  </si>
  <si>
    <t>Кран шар. BASE, стальная рукоятка 3/4" вн.-нар. (10 /120шт)</t>
  </si>
  <si>
    <t>830.00 руб.</t>
  </si>
  <si>
    <t>VLC-411014</t>
  </si>
  <si>
    <t>VT.215.N.06</t>
  </si>
  <si>
    <t>Кран шар. BASE, стальная рукоятка 1" вн.-нар. (6 /72шт)</t>
  </si>
  <si>
    <t>1 373.00 руб.</t>
  </si>
  <si>
    <t>VLC-411015</t>
  </si>
  <si>
    <t>VT.215.N.07</t>
  </si>
  <si>
    <t>Кран шар. BASE, стальная рукоятка 1 1/4" вн.-нар. (4 /32шт)</t>
  </si>
  <si>
    <t>2 529.00 руб.</t>
  </si>
  <si>
    <t>VLC-411016</t>
  </si>
  <si>
    <t>VT.215.N.08</t>
  </si>
  <si>
    <t>Кран шар. BASE, стальная рукоятка 1 1/2" вн.-нар. (2 /20шт)</t>
  </si>
  <si>
    <t>3 801.00 руб.</t>
  </si>
  <si>
    <t>VLC-411017</t>
  </si>
  <si>
    <t>VT.215.N.09</t>
  </si>
  <si>
    <t>Кран шар. BASE, стальная рукоятка 2" вн.-нар. (2 /16шт)</t>
  </si>
  <si>
    <t>5 616.00 руб.</t>
  </si>
  <si>
    <t>VLC-411018</t>
  </si>
  <si>
    <t>VT.217.N.04</t>
  </si>
  <si>
    <t>Кран шар. BASE, рукоятка бабочка 1/2" вн.-вн. (16 /256шт)</t>
  </si>
  <si>
    <t>452.00 руб.</t>
  </si>
  <si>
    <t>&gt;5000</t>
  </si>
  <si>
    <t>VLC-411019</t>
  </si>
  <si>
    <t>VT.217.N.05</t>
  </si>
  <si>
    <t>Кран шар. BASE, рукоятка бабочка 3/4" вн.-вн.  (14 /126шт)</t>
  </si>
  <si>
    <t>687.00 руб.</t>
  </si>
  <si>
    <t>VLC-411020</t>
  </si>
  <si>
    <t>VT.217.N.06</t>
  </si>
  <si>
    <t>Кран шар. BASE, рукоятка бабочка 1" вн.-вн.  (6 /90шт</t>
  </si>
  <si>
    <t>1 161.00 руб.</t>
  </si>
  <si>
    <t>VLC-411021</t>
  </si>
  <si>
    <t>VT.218.N.04</t>
  </si>
  <si>
    <t>Кран шар. BASE, рукоятка бабочка 1/2" вн.-нар.  (12 /192шт)</t>
  </si>
  <si>
    <t>482.00 руб.</t>
  </si>
  <si>
    <t>VLC-411022</t>
  </si>
  <si>
    <t>VT.218.N.05</t>
  </si>
  <si>
    <t>Кран шар. BASE, рукоятка бабочка 3/4" вн.-нар.  (10 /120шт)</t>
  </si>
  <si>
    <t>779.00 руб.</t>
  </si>
  <si>
    <t>VLC-411023</t>
  </si>
  <si>
    <t>VT.218.N.06</t>
  </si>
  <si>
    <t>Кран шар. BASE, рукоятка бабочка 1" вн.-нар. (6 /90шт)</t>
  </si>
  <si>
    <t>1 298.00 руб.</t>
  </si>
  <si>
    <t>VLC-411024</t>
  </si>
  <si>
    <t>VT.219.N.04</t>
  </si>
  <si>
    <t>Кран шар. BASE, рукоятка бабочка 1/2" нар.-нар. (12 /192шт)</t>
  </si>
  <si>
    <t>548.00 руб.</t>
  </si>
  <si>
    <t>VLC-411025</t>
  </si>
  <si>
    <t>VT.219.N.05</t>
  </si>
  <si>
    <t>Кран шар. BASE, рукоятка бабочка 3/4" нар.-нар.  (12 /144шт)</t>
  </si>
  <si>
    <t>854.00 руб.</t>
  </si>
  <si>
    <t>VLC-411026</t>
  </si>
  <si>
    <t>VT.219.N.06</t>
  </si>
  <si>
    <t>Кран шар. BASE, рукоятка бабочка 1" нар.-нар. (6 /90шт)</t>
  </si>
  <si>
    <t>1 468.00 руб.</t>
  </si>
  <si>
    <t>VLC-411027</t>
  </si>
  <si>
    <t>VT.243.N.1616</t>
  </si>
  <si>
    <t>Кран шар. под пресс, рукоятка бабочка 16 (12 /192шт)</t>
  </si>
  <si>
    <t>450.00 руб.</t>
  </si>
  <si>
    <t>VLC-411028</t>
  </si>
  <si>
    <t>VT.242.N.1604</t>
  </si>
  <si>
    <t>Кран шар. под пресс, рукоятка бабочка 16х1/2 вн. (12 /192шт)</t>
  </si>
  <si>
    <t>360.00 руб.</t>
  </si>
  <si>
    <t>VLC-411029</t>
  </si>
  <si>
    <t>VT.226.N.04</t>
  </si>
  <si>
    <t>Кран шар. BASE с полусгоном 1/2" нар.-нар. (10 /60шт)</t>
  </si>
  <si>
    <t>737.00 руб.</t>
  </si>
  <si>
    <t>VLC-411030</t>
  </si>
  <si>
    <t>VT.226.N.05</t>
  </si>
  <si>
    <t>Кран шар. BASE с полусгоном 3/4" нар.-нар.  (7 /42шт)</t>
  </si>
  <si>
    <t>1 070.00 руб.</t>
  </si>
  <si>
    <t>VLC-411031</t>
  </si>
  <si>
    <t>VT.227.N.04</t>
  </si>
  <si>
    <t>Кран шар. BASE с полусгоном 1/2" вн.-нар.  (10 /160шт)</t>
  </si>
  <si>
    <t>580.00 руб.</t>
  </si>
  <si>
    <t>VLC-411032</t>
  </si>
  <si>
    <t>VT.227.NW.04</t>
  </si>
  <si>
    <t>Кран шар. BASE с полусгоном 1/2" вн.-нар. белая рукоятка (10 /160шт)</t>
  </si>
  <si>
    <t>VLC-411033</t>
  </si>
  <si>
    <t>VT.227.NRW.04</t>
  </si>
  <si>
    <t>Кран шар. BASE с полусгоном 1/2" вн.-нар. белая рукоятка с доп. уплотнением (10 /160шт)</t>
  </si>
  <si>
    <t>626.00 руб.</t>
  </si>
  <si>
    <t>VLC-411034</t>
  </si>
  <si>
    <t>VT.227.N.05</t>
  </si>
  <si>
    <t>Кран шар. BASE с полусгоном 3/4" вн.-нар.   (7 /84шт)</t>
  </si>
  <si>
    <t>929.00 руб.</t>
  </si>
  <si>
    <t>VLC-411035</t>
  </si>
  <si>
    <t>VT.227.NW.05</t>
  </si>
  <si>
    <t>Кран шар. BASE с полусгоном 3/4" вн.-нар. белая рукоятка  (7 /84шт)</t>
  </si>
  <si>
    <t>VLC-411036</t>
  </si>
  <si>
    <t>VT.227.NRW.05</t>
  </si>
  <si>
    <t>Кран шар. BASE с полусгоном 3/4" вн.-нар. белая рукоятка с доп. уплотнением  (7 /84шт)</t>
  </si>
  <si>
    <t>990.00 руб.</t>
  </si>
  <si>
    <t>VLC-411037</t>
  </si>
  <si>
    <t>VT.227.N.06</t>
  </si>
  <si>
    <t>Кран шар. BASE с полусгоном 1" вн.-нар.  (5 /50шт)</t>
  </si>
  <si>
    <t>2 000.00 руб.</t>
  </si>
  <si>
    <t>VLC-411038</t>
  </si>
  <si>
    <t>VT.227.N.07</t>
  </si>
  <si>
    <t>Кран шар. BASE с полусгоном 1 1/4" вн.-нар.  (4 /36шт)</t>
  </si>
  <si>
    <t>2 989.00 руб.</t>
  </si>
  <si>
    <t>VLC-411039</t>
  </si>
  <si>
    <t>VT.228.N.04</t>
  </si>
  <si>
    <t>Кран шар. BASE угловой с полусгоном 1/2" вн.-нар.  (8 /96шт)</t>
  </si>
  <si>
    <t>805.00 руб.</t>
  </si>
  <si>
    <t>VLC-411040</t>
  </si>
  <si>
    <t>VT.228.NW.04</t>
  </si>
  <si>
    <t>Кран шар. BASE угловой с полусгоном 1/2" вн.-нар. белая рукоятка (8 /96шт)</t>
  </si>
  <si>
    <t>VLC-411041</t>
  </si>
  <si>
    <t>VT.228.NRW.04</t>
  </si>
  <si>
    <t>Кран шар. BASE угловой с полусгоном 1/2" вн.-нар. белая рукоятка с доп. уплотнением (8 /96шт)</t>
  </si>
  <si>
    <t>868.00 руб.</t>
  </si>
  <si>
    <t>VLC-411042</t>
  </si>
  <si>
    <t>VT.228.N.05</t>
  </si>
  <si>
    <t>Кран шар. BASE угловой с полусгоном 3/4" вн.-нар.  (8 /64шт)</t>
  </si>
  <si>
    <t>1 309.00 руб.</t>
  </si>
  <si>
    <t>VLC-411043</t>
  </si>
  <si>
    <t>VT.228.NW.05</t>
  </si>
  <si>
    <t>Кран шар. BASE угловой с полусгоном 3/4" вн.-нар. белая рукоятка (8 /64шт)</t>
  </si>
  <si>
    <t>VLC-411044</t>
  </si>
  <si>
    <t>VT.228.NRW.05</t>
  </si>
  <si>
    <t>Кран шар. BASE угловой с полусгоном 3/4" вн.-нар. белая рукоятка с доп. уплотнением (8 /64шт)</t>
  </si>
  <si>
    <t>1 377.00 руб.</t>
  </si>
  <si>
    <t>VLC-411045</t>
  </si>
  <si>
    <t>VT.228.N.06</t>
  </si>
  <si>
    <t>Кран шар. BASE угловой с полусгоном 1" вн.-нар. (4 /32шт)</t>
  </si>
  <si>
    <t>2 256.00 руб.</t>
  </si>
  <si>
    <t>VLC-411046</t>
  </si>
  <si>
    <t>VT.343.N.1616</t>
  </si>
  <si>
    <t>Кран шар. под обжим, рукоятка бабочка 16   (12 /192шт)</t>
  </si>
  <si>
    <t>586.00 руб.</t>
  </si>
  <si>
    <t>VLC-411047</t>
  </si>
  <si>
    <t>VT.342.N.1604</t>
  </si>
  <si>
    <t>Кран шар. под обжим, рукоятка бабочка 16х1/2 вн.   (14 /224шт)</t>
  </si>
  <si>
    <t>457.00 руб.</t>
  </si>
  <si>
    <t>VLC-411048</t>
  </si>
  <si>
    <t>VT.341.N.1604</t>
  </si>
  <si>
    <t>Кран шар. под обжим, рукоятка бабочка 16х1/2 нар.  (16 /256шт)</t>
  </si>
  <si>
    <t>496.00 руб.</t>
  </si>
  <si>
    <t>VLC-411049</t>
  </si>
  <si>
    <t>VT.241.N.0405</t>
  </si>
  <si>
    <t>Кран шаровой с накидной гайкой 1/2"x3/4" вн.-вн. (12 /72шт)</t>
  </si>
  <si>
    <t>693.00 руб.</t>
  </si>
  <si>
    <t>VLC-411050</t>
  </si>
  <si>
    <t>VT.241.N.0506</t>
  </si>
  <si>
    <t>Кран шаровой с накидной гайкой 3/4"x1" вн.-вн.</t>
  </si>
  <si>
    <t>1 030.00 руб.</t>
  </si>
  <si>
    <t>VLC-411051</t>
  </si>
  <si>
    <t>VT.245.N.04</t>
  </si>
  <si>
    <t>Кран шар. BASE с дренажом и воздухоотводчиком 1/2" вн.-вн. (12 /108шт)</t>
  </si>
  <si>
    <t>753.00 руб.</t>
  </si>
  <si>
    <t>VLC-411052</t>
  </si>
  <si>
    <t>VT.245.N.05</t>
  </si>
  <si>
    <t>Кран шар. BASE с дренажом и воздухоотводчиком 3/4" вн.-вн. (10 /90шт)</t>
  </si>
  <si>
    <t>1 120.00 руб.</t>
  </si>
  <si>
    <t>VLC-411053</t>
  </si>
  <si>
    <t>VT.245.N.06</t>
  </si>
  <si>
    <t>Кран шар. BASE с дренажом и воздухоотводчиком 1" вн.-вн. (6 /54шт)</t>
  </si>
  <si>
    <t>1 645.00 руб.</t>
  </si>
  <si>
    <t>VLC-411054</t>
  </si>
  <si>
    <t>VT.248.N.04</t>
  </si>
  <si>
    <t>Кран шаровой с обратным клапаном и дренажом 1/2" вн-вн. (8 /48шт)</t>
  </si>
  <si>
    <t>1 079.00 руб.</t>
  </si>
  <si>
    <t>VLC-411055</t>
  </si>
  <si>
    <t>VT.250.N.04</t>
  </si>
  <si>
    <t>Кран шаровой с удлиненным штоком 1/2"</t>
  </si>
  <si>
    <t>VLC-411056</t>
  </si>
  <si>
    <t>VT.250.N.05</t>
  </si>
  <si>
    <t>Кран шаровой с удлиненным штоком 3/4" вн-вн. (8 /48шт)</t>
  </si>
  <si>
    <t>1 033.00 руб.</t>
  </si>
  <si>
    <t>VLC-411057</t>
  </si>
  <si>
    <t>VT.252.N.04</t>
  </si>
  <si>
    <t>Кран шар. с плавным открыванием 1/2" вн.-вн. (1 /36шт)</t>
  </si>
  <si>
    <t>760.00 руб.</t>
  </si>
  <si>
    <t>VLC-411058</t>
  </si>
  <si>
    <t>VT.252.N.05</t>
  </si>
  <si>
    <t>Кран шар. с плавным открыванием 3/4" вн.-вн. (1 /36шт)</t>
  </si>
  <si>
    <t>955.00 руб.</t>
  </si>
  <si>
    <t>VLC-411059</t>
  </si>
  <si>
    <t>VT.266.N.0404</t>
  </si>
  <si>
    <t>Кран шар. BASE угловой с накидной гайкой 1/2" вн.-вн.  (15 /60шт)</t>
  </si>
  <si>
    <t>710.00 руб.</t>
  </si>
  <si>
    <t>VLC-411060</t>
  </si>
  <si>
    <t>VT.266.N.0505</t>
  </si>
  <si>
    <t>Кран шар. BASE угловой с накидной гайкой 3/4" вн.-вн. (12 /48шт)</t>
  </si>
  <si>
    <t>976.00 руб.</t>
  </si>
  <si>
    <t>VLC-411061</t>
  </si>
  <si>
    <t>VT.266.N.0606</t>
  </si>
  <si>
    <t>Кран шар. BASE угловой с накидной гайкой 1" вн.-вн. (7 /28шт)</t>
  </si>
  <si>
    <t>1 653.00 руб.</t>
  </si>
  <si>
    <t>VLC-411062</t>
  </si>
  <si>
    <t>VT.267.N.0404</t>
  </si>
  <si>
    <t>Кран шар. BASE угловой с накидной гайкой 1/2" вн.-нар.  (15 /60шт)</t>
  </si>
  <si>
    <t>678.00 руб.</t>
  </si>
  <si>
    <t>VLC-411063</t>
  </si>
  <si>
    <t>VT.267.N.0405</t>
  </si>
  <si>
    <t>Кран шар. BASE угловой с накидной гайкой 1/2"х3/4" нар.-вн. (15 /60шт)</t>
  </si>
  <si>
    <t>742.00 руб.</t>
  </si>
  <si>
    <t>VLC-411064</t>
  </si>
  <si>
    <t>VT.267.N.0505</t>
  </si>
  <si>
    <t>Кран шар. BASE угловой с накидной гайкой 3/4" вн.-нар. (12 /48шт)</t>
  </si>
  <si>
    <t>1 006.00 руб.</t>
  </si>
  <si>
    <t>VLC-411065</t>
  </si>
  <si>
    <t>VT.267.N.0606</t>
  </si>
  <si>
    <t>Кран шар. BASE угловой с накидной гайкой 1" вн.-нар. (7 /28шт)</t>
  </si>
  <si>
    <t>1 678.00 руб.</t>
  </si>
  <si>
    <t>VLC-411066</t>
  </si>
  <si>
    <t>VT.292.N.04</t>
  </si>
  <si>
    <t>Кран шар. со встроенным фильтром, стальная рукоятка 1/2" вн.-вн. (8 /96шт)</t>
  </si>
  <si>
    <t>863.00 руб.</t>
  </si>
  <si>
    <t>VLC-411067</t>
  </si>
  <si>
    <t>VT.292.N.05</t>
  </si>
  <si>
    <t>Кран шар. со встроенным фильтром, стальная рукоятка3/4" вн.-вн. (6 /54шт)</t>
  </si>
  <si>
    <t>1 606.00 руб.</t>
  </si>
  <si>
    <t>VLC-411068</t>
  </si>
  <si>
    <t>VT.293.N.04</t>
  </si>
  <si>
    <t>Кран шар. со встроенным фильтром, рукоятка бабочка 1/2" вн.-вн. (8 /96шт)</t>
  </si>
  <si>
    <t>VLC-411069</t>
  </si>
  <si>
    <t>VT.294.N.04</t>
  </si>
  <si>
    <t>Кран шар. со встроенным прямым фильтром, рукоятка бабочка 1/2" вн.-вн. (8 /72шт)</t>
  </si>
  <si>
    <t>1 178.00 руб.</t>
  </si>
  <si>
    <t>VLC-411070</t>
  </si>
  <si>
    <t>VT.294.N.05</t>
  </si>
  <si>
    <t>Кран шар. со встроенным прямым фильтром, рукоятка бабочка 3/4" вн.-вн. (5 /20шт)</t>
  </si>
  <si>
    <t>2 135.00 руб.</t>
  </si>
  <si>
    <t>VLC-411071</t>
  </si>
  <si>
    <t>VT.298.NR.04</t>
  </si>
  <si>
    <t>КФРД - Кран шар. со встроенным фильтром и редуктором давления, рукоятка бабочка 1/2" вн.-вн. (правый</t>
  </si>
  <si>
    <t>0.00 руб.</t>
  </si>
  <si>
    <t>VLC-411072</t>
  </si>
  <si>
    <t>VT.299.NL.04</t>
  </si>
  <si>
    <t>КФРД - Кран шар. со встроенным фильтром и редуктором давления, рукоятка бабочка 1/2" вн.-вн. (левый)</t>
  </si>
  <si>
    <t>VLC-411073</t>
  </si>
  <si>
    <t>VT.330.N.04</t>
  </si>
  <si>
    <t>Кран шар. MINI 1/2" вн.-вн. (25 /400шт)</t>
  </si>
  <si>
    <t>502.00 руб.</t>
  </si>
  <si>
    <t>VLC-411074</t>
  </si>
  <si>
    <t>VT.331.N.04</t>
  </si>
  <si>
    <t>Кран шар. MINI 1/2" вн.-нар. (20 /400шт)</t>
  </si>
  <si>
    <t>449.00 руб.</t>
  </si>
  <si>
    <t>VLC-411075</t>
  </si>
  <si>
    <t>VT.360.N.04</t>
  </si>
  <si>
    <t>Кран шар. трехходовой, тип L 1/2" вн.-вн.-вн. (6 /72шт)</t>
  </si>
  <si>
    <t>1 198.00 руб.</t>
  </si>
  <si>
    <t>VLC-411076</t>
  </si>
  <si>
    <t>VT.360.N.05</t>
  </si>
  <si>
    <t>Кран шар. трехходовой, тип L 3/4" вн.-вн.-вн. (4 /48шт)</t>
  </si>
  <si>
    <t>2 093.00 руб.</t>
  </si>
  <si>
    <t>VLC-411077</t>
  </si>
  <si>
    <t>VT.361.N.04</t>
  </si>
  <si>
    <t>Кран шар. трехходовой, тип Т 1/2" вн.-вн.-вн. (6 /72шт)</t>
  </si>
  <si>
    <t>1 195.00 руб.</t>
  </si>
  <si>
    <t>VLC-411078</t>
  </si>
  <si>
    <t>VT.361.N.05</t>
  </si>
  <si>
    <t>Кран шар. трехходовой, тип Т 3/4" вн.-вн.-вн. (4 /48шт)</t>
  </si>
  <si>
    <t>2 056.00 руб.</t>
  </si>
  <si>
    <t>VLC-411079</t>
  </si>
  <si>
    <t>VT.260.N.0606</t>
  </si>
  <si>
    <t>Кран шаровой с накидной гайкой 1" вн.-нар. (1 /60шт)</t>
  </si>
  <si>
    <t>1 219.00 руб.</t>
  </si>
  <si>
    <t>VLC-411080</t>
  </si>
  <si>
    <t>VT.260.N.0505</t>
  </si>
  <si>
    <t>Кран шаровой с накидной гайкой 3/4" вн.-нар. (1 /96шт)</t>
  </si>
  <si>
    <t>829.00 руб.</t>
  </si>
  <si>
    <t>VLC-411081</t>
  </si>
  <si>
    <t>VT.430.N.04</t>
  </si>
  <si>
    <t>Кран дренажный 1/2" (16 /192шт)</t>
  </si>
  <si>
    <t>468.00 руб.</t>
  </si>
  <si>
    <t>VLC-411082</t>
  </si>
  <si>
    <t>VT.435.N.02</t>
  </si>
  <si>
    <t>Кран дренажный 1/4" (16 /192шт)</t>
  </si>
  <si>
    <t>408.00 руб.</t>
  </si>
  <si>
    <t>VLC-411084</t>
  </si>
  <si>
    <t>VT.300.N.04</t>
  </si>
  <si>
    <t>Кран шаровой со встроенным фильтром и редуктором давления (КФРД), универсальный</t>
  </si>
  <si>
    <t>2 859.00 руб.</t>
  </si>
  <si>
    <t>VLC-900001</t>
  </si>
  <si>
    <t>VT.290.N.04</t>
  </si>
  <si>
    <t>Кран шар. с цельным корпусом 1/2" вн.-вн.</t>
  </si>
  <si>
    <t>724.00 руб.</t>
  </si>
  <si>
    <t>VLC-999002</t>
  </si>
  <si>
    <t>VT.260.N.0404</t>
  </si>
  <si>
    <t>Кран шаровой с накидной гайкой 1/2" вн.-нар.</t>
  </si>
  <si>
    <t>590.00 руб.</t>
  </si>
  <si>
    <t>VLC-999003</t>
  </si>
  <si>
    <t>VT.266.NS.0404</t>
  </si>
  <si>
    <t>Кран шар. BASE угловой с накидной гайкой 1/2" вн.-вн. (короткий)</t>
  </si>
  <si>
    <t>653.00 руб.</t>
  </si>
  <si>
    <t>VLC-999004</t>
  </si>
  <si>
    <t>VT.266.NS.0505</t>
  </si>
  <si>
    <t>Кран шар. BASE угловой с накидной гайкой 3/4" вн.-вн. (короткий)</t>
  </si>
  <si>
    <t>969.00 руб.</t>
  </si>
  <si>
    <t>VLC-999005</t>
  </si>
  <si>
    <t>VT.267.NS.0404</t>
  </si>
  <si>
    <t>Кран шар. BASE угловой с накидной гайкой 1/2" вн.-нар. (короткий)</t>
  </si>
  <si>
    <t>663.00 руб.</t>
  </si>
  <si>
    <t>VLC-999006</t>
  </si>
  <si>
    <t>VT.267.NS.0505</t>
  </si>
  <si>
    <t>Кран шар. BASE угловой с накидной гайкой 3/4" вн.-нар. (короткий)</t>
  </si>
  <si>
    <t>994.00 руб.</t>
  </si>
  <si>
    <t>Краны шаровые VALTEC COMPACT</t>
  </si>
  <si>
    <t>VLC-412001</t>
  </si>
  <si>
    <t>VT.090.N.04</t>
  </si>
  <si>
    <t>- Кран шар. COMPACT, стальная рукоятка 1/2" вн.-вн.  (15 /240шт)</t>
  </si>
  <si>
    <t>373.00 руб.</t>
  </si>
  <si>
    <t>VLC-412002</t>
  </si>
  <si>
    <t>VT.090.N.05</t>
  </si>
  <si>
    <t>- Кран шар. COMPACT, стальная рукоятка 3/4" вн.-вн. (12 /192шт)</t>
  </si>
  <si>
    <t>549.00 руб.</t>
  </si>
  <si>
    <t>VLC-412003</t>
  </si>
  <si>
    <t>VT.092.N.04</t>
  </si>
  <si>
    <t>Кран шар. COMPACT, рукоятка бабочка 1/2" вн.-вн.  (20 /320шт)</t>
  </si>
  <si>
    <t>350.00 руб.</t>
  </si>
  <si>
    <t>VLC-412004</t>
  </si>
  <si>
    <t>VT.092.N.05</t>
  </si>
  <si>
    <t>- Кран шар. COMPACT, рукоятка бабочка 3/4" вн.-вн.  (14 /224шт)</t>
  </si>
  <si>
    <t>504.00 руб.</t>
  </si>
  <si>
    <t>VLC-412005</t>
  </si>
  <si>
    <t>VT.093.N.04</t>
  </si>
  <si>
    <t>Кран шар. COMPACT, рукоятка бабочка 1/2" вн.-нар.  (20 /320шт)</t>
  </si>
  <si>
    <t>VLC-412006</t>
  </si>
  <si>
    <t>VT.093.N.05</t>
  </si>
  <si>
    <t>Кран шар. COMPACT, рукоятка бабочка 3/4" вн.-нар.  (12 /192шт)</t>
  </si>
  <si>
    <t>588.00 руб.</t>
  </si>
  <si>
    <t>Краны шаровые VALTEC СТАНДАРТ (желтые)</t>
  </si>
  <si>
    <t>VLC-999124</t>
  </si>
  <si>
    <t>VT.120.GN.04</t>
  </si>
  <si>
    <t>Кран шар. СТАНДАРТ (PN40), длинная рукоятка 1/2", вн.-вн. (60шт)</t>
  </si>
  <si>
    <t>240.00 руб.</t>
  </si>
  <si>
    <t>VLC-999125</t>
  </si>
  <si>
    <t>VT.120.GN.05</t>
  </si>
  <si>
    <t>Кран шар. СТАНДАРТ (PN40), длинная рукоятка 3/4", вн.-вн. (50шт)</t>
  </si>
  <si>
    <t>339.00 руб.</t>
  </si>
  <si>
    <t>VLC-999126</t>
  </si>
  <si>
    <t>VT.121.GN.04</t>
  </si>
  <si>
    <t>Кран шар. СТАНДАРТ (PN40), длинная рукоятка 1/2", вн.-нар. (60шт)</t>
  </si>
  <si>
    <t>267.00 руб.</t>
  </si>
  <si>
    <t>VLC-999127</t>
  </si>
  <si>
    <t>VT.121.GN.05</t>
  </si>
  <si>
    <t>Кран шар. СТАНДАРТ (PN40), длинная рукоятка 3/4", вн.-нар. (50шт)</t>
  </si>
  <si>
    <t>383.00 руб.</t>
  </si>
  <si>
    <t>VLC-999128</t>
  </si>
  <si>
    <t>VT.121.GN.06</t>
  </si>
  <si>
    <t>Кран шар. СТАНДАРТ (PN40), длинная рукоятка 1", вн.-нар. (30шт)</t>
  </si>
  <si>
    <t>681.00 руб.</t>
  </si>
  <si>
    <t>VLC-999129</t>
  </si>
  <si>
    <t>VT.122.GN.04</t>
  </si>
  <si>
    <t>Кран шар. СТАНДАРТ (PN40), рукоятка бабочка 1/2", вн.-вн. (60шт)</t>
  </si>
  <si>
    <t>300.00 руб.</t>
  </si>
  <si>
    <t>VLC-999130</t>
  </si>
  <si>
    <t>VT.122.GN.05</t>
  </si>
  <si>
    <t>Кран шар. СТАНДАРТ (PN40), рукоятка бабочка 3/4", вн.-вн. (50шт)</t>
  </si>
  <si>
    <t>436.00 руб.</t>
  </si>
  <si>
    <t>VLC-999131</t>
  </si>
  <si>
    <t>VT.123.GN.04</t>
  </si>
  <si>
    <t>Кран шар. СТАНДАРТ (PN40), рукоятка бабочка 1/2", вн.-нар. (60шт)</t>
  </si>
  <si>
    <t>324.00 руб.</t>
  </si>
  <si>
    <t>VLC-999132</t>
  </si>
  <si>
    <t>VT.123.GN.05</t>
  </si>
  <si>
    <t>Кран шар. СТАНДАРТ (PN40), рукоятка бабочка 3/4", вн.-нар. (50шт)</t>
  </si>
  <si>
    <t>473.00 руб.</t>
  </si>
  <si>
    <t>VLC-999133</t>
  </si>
  <si>
    <t>VT.120.GN.06</t>
  </si>
  <si>
    <t>Кран шар. СТАНДАРТ (PN40), длинная рукоятка 1", вн.-вн. (30шт)</t>
  </si>
  <si>
    <t>607.00 руб.</t>
  </si>
  <si>
    <t>VLC-999134</t>
  </si>
  <si>
    <t>VT.127.GN.04</t>
  </si>
  <si>
    <t>Кран шар. СТАНДАРТ (PN40) с полусгоном 1/2", вн.-нар. (60шт)</t>
  </si>
  <si>
    <t>294.00 руб.</t>
  </si>
  <si>
    <t>VLC-999135</t>
  </si>
  <si>
    <t>VT.127.GN.05</t>
  </si>
  <si>
    <t>Кран шар. СТАНДАРТ (PN40)  с полусгоном 3/4", вн.-нар. (30шт)</t>
  </si>
  <si>
    <t>582.00 руб.</t>
  </si>
  <si>
    <t>VLC-999136</t>
  </si>
  <si>
    <t>VT.128.GN.04</t>
  </si>
  <si>
    <t>Кран шар. СТАНДАРТ для подключения датчика температуры, бабочка, 1/2", вн.-нар. (PN40) (50шт)</t>
  </si>
  <si>
    <t>335.00 руб.</t>
  </si>
  <si>
    <t>Краны шаровые VALTEC PERFECT усиленные PN100</t>
  </si>
  <si>
    <t>VLC-413001</t>
  </si>
  <si>
    <t>VT.314.N.04</t>
  </si>
  <si>
    <t>Кран шар. PERFECT, стальная рукоятка 1/2" вн.-вн.  (12 /72шт)</t>
  </si>
  <si>
    <t>VLC-413002</t>
  </si>
  <si>
    <t>VT.314.N.05</t>
  </si>
  <si>
    <t>Кран шар. PERFECT, стальная рукоятка 3/4" вн.-вн. (9 /36шт)</t>
  </si>
  <si>
    <t>1 522.00 руб.</t>
  </si>
  <si>
    <t>VLC-413003</t>
  </si>
  <si>
    <t>VT.314.N.06</t>
  </si>
  <si>
    <t>Кран шар. PERFECT, стальная рукоятка 1" вн.-вн. (6 /24шт)</t>
  </si>
  <si>
    <t>VLC-413004</t>
  </si>
  <si>
    <t>VT.314.N.07</t>
  </si>
  <si>
    <t>Кран шар. PERFECT, стальная рукоятка 1 1/4" вн.-вн.  (2 /12шт)</t>
  </si>
  <si>
    <t>3 585.00 руб.</t>
  </si>
  <si>
    <t>VLC-413005</t>
  </si>
  <si>
    <t>VT.314.N.08</t>
  </si>
  <si>
    <t>Кран шар. PERFECT, стальная рукоятка 1 1/2" вн.-вн.  (2 /8шт)</t>
  </si>
  <si>
    <t>VLC-413006</t>
  </si>
  <si>
    <t>VT.314.N.09</t>
  </si>
  <si>
    <t>Кран шар. PERFECT, стальная рукоятка 2" вн.-вн.  (2 /6шт)</t>
  </si>
  <si>
    <t>8 060.00 руб.</t>
  </si>
  <si>
    <t>VLC-413007</t>
  </si>
  <si>
    <t>VT.315.N.04</t>
  </si>
  <si>
    <t>Кран шар. PERFECT, стальная рукоятка 1/2" вн.-нар.  (9 /54шт)</t>
  </si>
  <si>
    <t>VLC-413008</t>
  </si>
  <si>
    <t>VT.315.N.05</t>
  </si>
  <si>
    <t>Кран шар. PERFECT, стальная рукоятка 3/4" вн.-нар.  (7 /28шт)</t>
  </si>
  <si>
    <t>VLC-413009</t>
  </si>
  <si>
    <t>VT.315.N.06</t>
  </si>
  <si>
    <t>Кран шар. PERFECT, стальная рукоятка 1" вн.-нар. (4 /16шт)</t>
  </si>
  <si>
    <t>2 463.00 руб.</t>
  </si>
  <si>
    <t>VLC-413010</t>
  </si>
  <si>
    <t>VT.315.N.07</t>
  </si>
  <si>
    <t>Кран шар. PERFECT, стальная рукоятка 1 1/4" вн.-нар.  (2 /12шт)</t>
  </si>
  <si>
    <t>3 983.00 руб.</t>
  </si>
  <si>
    <t>VLC-413011</t>
  </si>
  <si>
    <t>VT.317.N.04</t>
  </si>
  <si>
    <t>Кран шар. PERFECT, рукоятка бабочка 1/2" вн.-вн. (12 /72шт)</t>
  </si>
  <si>
    <t>VLC-413012</t>
  </si>
  <si>
    <t>VT.317.N.05</t>
  </si>
  <si>
    <t>Кран шар. PERFECT, рукоятка бабочка 3/4" вн.-вн. (9 /36шт)</t>
  </si>
  <si>
    <t>1 467.00 руб.</t>
  </si>
  <si>
    <t>VLC-413013</t>
  </si>
  <si>
    <t>VT.317.N.06</t>
  </si>
  <si>
    <t>Кран шар. PERFECT, рукоятка бабочка 1" вн.-вн.  (6 /24шт)</t>
  </si>
  <si>
    <t>2 605.00 руб.</t>
  </si>
  <si>
    <t>VLC-413014</t>
  </si>
  <si>
    <t>VT.318.N.04</t>
  </si>
  <si>
    <t>Кран шар. PERFECT, рукоятка бабочка 1/2" вн.-нар. (11 /66шт)</t>
  </si>
  <si>
    <t>VLC-413015</t>
  </si>
  <si>
    <t>VT.318.N.05</t>
  </si>
  <si>
    <t>Кран шар. PERFECT, рукоятка бабочка 3/4" вн.-нар.  (9 /36шт)</t>
  </si>
  <si>
    <t>VLC-413016</t>
  </si>
  <si>
    <t>VT.318.N.06</t>
  </si>
  <si>
    <t>Кран шар. PERFECT, рукоятка бабочка 1" вн.-нар. (6 /24шт)</t>
  </si>
  <si>
    <t>2 694.00 руб.</t>
  </si>
  <si>
    <t>VLC-413017</t>
  </si>
  <si>
    <t>VT.327.N.04</t>
  </si>
  <si>
    <t>Кран шар. PERFECT с полусгоном 1/2" вн.-нар.  (10 /60шт)</t>
  </si>
  <si>
    <t>VLC-413018</t>
  </si>
  <si>
    <t>VT.327.N.05</t>
  </si>
  <si>
    <t>Кран шар. PERFECT с полусгоном 3/4" вн.-нар. (9 /36шт)</t>
  </si>
  <si>
    <t>VLC-413019</t>
  </si>
  <si>
    <t>VT.327.N.06</t>
  </si>
  <si>
    <t>Кран шар. PERFECT с полусгоном 1" вн.-нар. (5 /20шт)</t>
  </si>
  <si>
    <t>3 201.00 руб.</t>
  </si>
  <si>
    <t>VLC-413020</t>
  </si>
  <si>
    <t>VT.328.N.04</t>
  </si>
  <si>
    <t>Кран шар. PERFECT угловой с полусгоном 1/2" вн.-нар. (8 /48шт)</t>
  </si>
  <si>
    <t>1 134.00 руб.</t>
  </si>
  <si>
    <t>VLC-413021</t>
  </si>
  <si>
    <t>VT.328.N.05</t>
  </si>
  <si>
    <t>Кран шар. PERFECT угловой с полусгоном 3/4" вн.-нар. (6 /24шт)</t>
  </si>
  <si>
    <t>Краны шаровые VALTEC ГОСТ полнопроходные</t>
  </si>
  <si>
    <t>VLC-900767</t>
  </si>
  <si>
    <t>VT.414.N.04</t>
  </si>
  <si>
    <t>Кран шаровый Дн 15 (1/2")  вн.-вн. рукоятка ГОСТ полнопроходной (12/48шт)</t>
  </si>
  <si>
    <t>613.00 руб.</t>
  </si>
  <si>
    <t>VLC-900768</t>
  </si>
  <si>
    <t>VT.414.N.05</t>
  </si>
  <si>
    <t>Кран шаровый Дн 20 (3/4")  вн.-вн. рукоятка ГОСТ полнопроходной (6/24шт)</t>
  </si>
  <si>
    <t>1 106.00 руб.</t>
  </si>
  <si>
    <t>VLC-900777</t>
  </si>
  <si>
    <t>VT.415.N.05</t>
  </si>
  <si>
    <t>Кран шаровый Дн 20 (3/4")  вн.-нар. рукоятка ГОСТ полнопроходной (6/24шт)</t>
  </si>
  <si>
    <t>1 170.00 руб.</t>
  </si>
  <si>
    <t>VLC-900782</t>
  </si>
  <si>
    <t>VT.417.N.04</t>
  </si>
  <si>
    <t>Кран шаровый Дн 15 (1/2")  вн.-вн. бабочка ГОСТ полнопроходной (14/56шт)</t>
  </si>
  <si>
    <t>565.00 руб.</t>
  </si>
  <si>
    <t>VLC-900785</t>
  </si>
  <si>
    <t>VT.418.N.04</t>
  </si>
  <si>
    <t>Кран шаровый Дн 15 (1/2")  вн.-нар. бабочка ГОСТ полнопроходной (12/48шт)</t>
  </si>
  <si>
    <t>587.00 руб.</t>
  </si>
  <si>
    <t>VLC-900786</t>
  </si>
  <si>
    <t>VT.418.N.05</t>
  </si>
  <si>
    <t>Кран шаровый Дн 20 (3/4")  вн.-нар. бабочка ГОСТ полнопроходной (7/28шт)</t>
  </si>
  <si>
    <t>1 060.00 руб.</t>
  </si>
  <si>
    <t>VLC-900949</t>
  </si>
  <si>
    <t>VT.419.N.04</t>
  </si>
  <si>
    <t>Кран шаровый полнопроходной, ГОСТ, рукоятка-бабочка  Дн 15 нар.-нар.</t>
  </si>
  <si>
    <t>611.00 руб.</t>
  </si>
  <si>
    <t>Краны шаровые VALTEC ГОСТ стандарт (никелированные)</t>
  </si>
  <si>
    <t>VLC-900806</t>
  </si>
  <si>
    <t>VT.120.N.04</t>
  </si>
  <si>
    <t xml:space="preserve">Кран шаровый Дн 15 (1/2")  вн.-вн. рукоятка ГОСТ стандарт </t>
  </si>
  <si>
    <t>318.00 руб.</t>
  </si>
  <si>
    <t>VLC-900807</t>
  </si>
  <si>
    <t>VT.120.N.05</t>
  </si>
  <si>
    <t>Кран шаровый Дн 20 (3/4")  вн.-вн. рукоятка ГОСТ стандарт</t>
  </si>
  <si>
    <t>453.00 руб.</t>
  </si>
  <si>
    <t>VLC-900808</t>
  </si>
  <si>
    <t>VT.120.N.06</t>
  </si>
  <si>
    <t>Кран шаровый Дн 25 (1")  вн.-вн. рукоятка ГОСТ стандарт</t>
  </si>
  <si>
    <t>793.00 руб.</t>
  </si>
  <si>
    <t>VLC-900815</t>
  </si>
  <si>
    <t>VT.121.N.04</t>
  </si>
  <si>
    <t>Кран шаровый Дн 15 (1/2")  вн.-нар. рукоятка ГОСТ стандарт (50шт)</t>
  </si>
  <si>
    <t>349.00 руб.</t>
  </si>
  <si>
    <t>VLC-900816</t>
  </si>
  <si>
    <t>VT.121.N.05</t>
  </si>
  <si>
    <t>Кран шаровый Дн 20 (3/4")  вн.-нар. рукоятка ГОСТ стандарт (30шт)</t>
  </si>
  <si>
    <t>512.00 руб.</t>
  </si>
  <si>
    <t>VLC-900821</t>
  </si>
  <si>
    <t>VT.122.N.04</t>
  </si>
  <si>
    <t>Кран шаровый Дн 15 (1/2")  вн.-вн. бабочка ГОСТ стандарт (60шт)</t>
  </si>
  <si>
    <t>308.00 руб.</t>
  </si>
  <si>
    <t>VLC-900822</t>
  </si>
  <si>
    <t>VT.122.N.05</t>
  </si>
  <si>
    <t>Кран шаровый Дн 20 (3/4")  вн.-вн. бабочка ГОСТ стандарт (50шт)</t>
  </si>
  <si>
    <t>447.00 руб.</t>
  </si>
  <si>
    <t>VLC-900824</t>
  </si>
  <si>
    <t>VT.123.N.04</t>
  </si>
  <si>
    <t>Кран шаровый Дн 15 (1/2")  вн.-нар. бабочка ГОСТ стандарт (60шт)</t>
  </si>
  <si>
    <t>340.00 руб.</t>
  </si>
  <si>
    <t>VLC-900825</t>
  </si>
  <si>
    <t>VT.123.N.05</t>
  </si>
  <si>
    <t>Кран шаровый Дн 20 (3/4")  вн.-нар. бабочка ГОСТ стандарт (50шт)</t>
  </si>
  <si>
    <t>498.00 руб.</t>
  </si>
  <si>
    <t>VLC-900836</t>
  </si>
  <si>
    <t>VT.127.N.04</t>
  </si>
  <si>
    <t>Кран шаровый со сгоном Дн 15 (1/2") прямой вн.-нар. бабочка ГОСТ стандарт (шт)</t>
  </si>
  <si>
    <t>386.00 руб.</t>
  </si>
  <si>
    <t>VLC-900837</t>
  </si>
  <si>
    <t>VT.127.N.05</t>
  </si>
  <si>
    <t>Кран шаровый со сгоном Дн 20 (3/4") прямой вн.-нар. бабочка ГОСТ стандарт (30шт)</t>
  </si>
  <si>
    <t>596.00 руб.</t>
  </si>
  <si>
    <t>VLC-900842</t>
  </si>
  <si>
    <t>VT.128.N.04</t>
  </si>
  <si>
    <t>Кран шаровой 1/2", вн.-вн., для подключения датчика температуры, рукоятка бабочка ГОСТ стандарт (50ш</t>
  </si>
  <si>
    <t>344.00 руб.</t>
  </si>
  <si>
    <t>VLC-900950</t>
  </si>
  <si>
    <t>VT.121.N.06</t>
  </si>
  <si>
    <t>Кран шаровой СТАНДАРТ, никель, длинная рукоятка 1", вн.-нар. PN40 (ГОСТ)</t>
  </si>
  <si>
    <t>865.00 руб.</t>
  </si>
  <si>
    <t>Краны шаровые VIEIR</t>
  </si>
  <si>
    <t>Краны шаровые VIEIR BASIC</t>
  </si>
  <si>
    <t>STP-410014</t>
  </si>
  <si>
    <t>VR1119</t>
  </si>
  <si>
    <t>Кран дренажный со съёмным металлическим штуцером 1/2"  (200/1шт)</t>
  </si>
  <si>
    <t>398.37 руб.</t>
  </si>
  <si>
    <t>VER-000127</t>
  </si>
  <si>
    <t>VER61</t>
  </si>
  <si>
    <t>Кран шаровой с удлиненным штоком 1/2" F/F НИКЕЛЬ "ViEiR"(96/6шт)</t>
  </si>
  <si>
    <t>646.80 руб.</t>
  </si>
  <si>
    <t>VER-000157</t>
  </si>
  <si>
    <t>VR200-07</t>
  </si>
  <si>
    <t>Кран шаровой 2 1/2" F/F  (ручка) НИКЕЛЬ  "ViEiR"(4/1шт)</t>
  </si>
  <si>
    <t>8 212.89 руб.</t>
  </si>
  <si>
    <t>VER-000158</t>
  </si>
  <si>
    <t>VR200-08</t>
  </si>
  <si>
    <t>Кран шаровой 3" F/F  (ручка) НИКЕЛЬ  "ViEiR"(4/1шт)</t>
  </si>
  <si>
    <t>11 692.38 руб.</t>
  </si>
  <si>
    <t>VER-000159</t>
  </si>
  <si>
    <t>VR200-09</t>
  </si>
  <si>
    <t>Кран шаровой 4" F/F  (ручка) НИКЕЛЬ  "ViEiR"(2/1шт)</t>
  </si>
  <si>
    <t>17 199.00 руб.</t>
  </si>
  <si>
    <t>VER-000301</t>
  </si>
  <si>
    <t>VER62</t>
  </si>
  <si>
    <t>Кран шаровой с удлиненным штоком 1/2" вн-нар "ViEiR"(96/12шт)</t>
  </si>
  <si>
    <t>673.26 руб.</t>
  </si>
  <si>
    <t>VER-000381</t>
  </si>
  <si>
    <t>VER48A</t>
  </si>
  <si>
    <t>Кран угловой с американкой и кольцевым уплотнением 3/4" "ViEiR"(64/8шт)</t>
  </si>
  <si>
    <t>951.09 руб.</t>
  </si>
  <si>
    <t>VER-000382</t>
  </si>
  <si>
    <t>VER48B</t>
  </si>
  <si>
    <t>914.34 руб.</t>
  </si>
  <si>
    <t>VER-001241</t>
  </si>
  <si>
    <t>VR169</t>
  </si>
  <si>
    <t>Кран шаровой mini сливной со штуцером,никелированный G3/8" (100/5шт)</t>
  </si>
  <si>
    <t>251.37 руб.</t>
  </si>
  <si>
    <t>VER-001321</t>
  </si>
  <si>
    <t>VR230FF</t>
  </si>
  <si>
    <t>Кран шаровой с пластиковой ручкой Г/Г 1/2" (120/12шт)</t>
  </si>
  <si>
    <t>418.95 руб.</t>
  </si>
  <si>
    <t>VER-001322</t>
  </si>
  <si>
    <t>VR230FM</t>
  </si>
  <si>
    <t>Кран шаровой с пластиковой ручкой Г/Ш 1/2" (120/12шт)</t>
  </si>
  <si>
    <t>441.00 руб.</t>
  </si>
  <si>
    <t>VER-001329</t>
  </si>
  <si>
    <t>VR213-01</t>
  </si>
  <si>
    <t>Кран шаровой с отводом m10 под датчик температуры Г/Г 1/2" (112/14шт)</t>
  </si>
  <si>
    <t>492.45 руб.</t>
  </si>
  <si>
    <t>VER-001330</t>
  </si>
  <si>
    <t>VR213-02</t>
  </si>
  <si>
    <t>Кран шаровой с отводом m10 под датчик температуры Г/Г 3/4" (96/12шт)</t>
  </si>
  <si>
    <t>695.31 руб.</t>
  </si>
  <si>
    <t>VER-001751</t>
  </si>
  <si>
    <t>VERS56-1</t>
  </si>
  <si>
    <t>Кран прямой никелированный с накидной гайкой 1/2"Fx1/2"M (112/14шт)</t>
  </si>
  <si>
    <t>448.35 руб.</t>
  </si>
  <si>
    <t>VER-001752</t>
  </si>
  <si>
    <t>VERS56-2</t>
  </si>
  <si>
    <t>Кран прямой никелированный с накидной гайкой 3/4"Fx3/4"M (80/10шт)</t>
  </si>
  <si>
    <t>554.19 руб.</t>
  </si>
  <si>
    <t>VER-001753</t>
  </si>
  <si>
    <t>VERS56-3</t>
  </si>
  <si>
    <t>Кран прямой никелированный с накидной гайкой 1"Fx1"M (48/6шт)</t>
  </si>
  <si>
    <t>843.78 руб.</t>
  </si>
  <si>
    <t>VER-001754</t>
  </si>
  <si>
    <t>VERS54</t>
  </si>
  <si>
    <t>Кран угловой никелированный с накидной гайкой 1" (48/8шт)</t>
  </si>
  <si>
    <t>1 330.35 руб.</t>
  </si>
  <si>
    <t>ZAP-310001</t>
  </si>
  <si>
    <t>VR200-01</t>
  </si>
  <si>
    <t>Кран шар. полнопроход. усиленный, стальная рукоятка 1/2" вн.-вн. (14/112шт)</t>
  </si>
  <si>
    <t>433.65 руб.</t>
  </si>
  <si>
    <t>ZAP-310002</t>
  </si>
  <si>
    <t>VR200-02</t>
  </si>
  <si>
    <t>Кран шар. полнопроход. усиленный, стальная рукоятка 3/4" вн.-вн. (10/80шт)</t>
  </si>
  <si>
    <t>633.57 руб.</t>
  </si>
  <si>
    <t>ZAP-310003</t>
  </si>
  <si>
    <t>VR200-03</t>
  </si>
  <si>
    <t>Кран шар. полнопроход. усиленный, стальная рукоятка 1" вн.-вн. (10/60шт)</t>
  </si>
  <si>
    <t>995.19 руб.</t>
  </si>
  <si>
    <t>ZAP-310004</t>
  </si>
  <si>
    <t>VR200-04</t>
  </si>
  <si>
    <t>Кран шар. полнопроход. усиленный, стальная рукоятка 1 1/4" вн.-вн. (6/36шт)</t>
  </si>
  <si>
    <t>1 597.89 руб.</t>
  </si>
  <si>
    <t>ZAP-310005</t>
  </si>
  <si>
    <t>VR200-05</t>
  </si>
  <si>
    <t>Кран шар. полнопроход. усиленный, стальная рукоятка 1 1/2" вн.-вн. (4/24шт)</t>
  </si>
  <si>
    <t>2 569.56 руб.</t>
  </si>
  <si>
    <t>ZAP-310006</t>
  </si>
  <si>
    <t>VR200-06</t>
  </si>
  <si>
    <t>Кран шар. полнопроход. усиленный, стальная рукоятка 2" вн.-вн. (2/12шт)</t>
  </si>
  <si>
    <t>3 974.88 руб.</t>
  </si>
  <si>
    <t>ZAP-310007</t>
  </si>
  <si>
    <t>VR202-01</t>
  </si>
  <si>
    <t>Кран шар. полнопроход. усиленный, стальная рукоятка 1/2" вн.-нар. (14/112шт)</t>
  </si>
  <si>
    <t>457.17 руб.</t>
  </si>
  <si>
    <t>ZAP-310008</t>
  </si>
  <si>
    <t>VR202-02</t>
  </si>
  <si>
    <t>Кран шар. полнопроход. усиленный, стальная рукоятка 3/4" вн.-нар. (10/80шт)</t>
  </si>
  <si>
    <t>667.38 руб.</t>
  </si>
  <si>
    <t>ZAP-310009</t>
  </si>
  <si>
    <t>VR202-03</t>
  </si>
  <si>
    <t>Кран шар. полнопроход. усиленный, стальная рукоятка 1" вн.-нар. (10/60шт)</t>
  </si>
  <si>
    <t>1 065.75 руб.</t>
  </si>
  <si>
    <t>ZAP-310010</t>
  </si>
  <si>
    <t>VR202-04</t>
  </si>
  <si>
    <t>Кран шар. полнопроход. усиленный, стальная рукоятка 1 1/4" вн.-нар. (6/36шт)</t>
  </si>
  <si>
    <t>1 671.39 руб.</t>
  </si>
  <si>
    <t>ZAP-310011</t>
  </si>
  <si>
    <t>VR202-05</t>
  </si>
  <si>
    <t>Кран шар. полнопроход. усиленный, стальная рукоятка 1 1/2" вн.-нар. (4/24шт)</t>
  </si>
  <si>
    <t>2 701.86 руб.</t>
  </si>
  <si>
    <t>ZAP-310012</t>
  </si>
  <si>
    <t>VR202-06</t>
  </si>
  <si>
    <t>Кран шар. полнопроход. усиленный, стальная рукоятка 2" вн.-нар. (2/12шт)</t>
  </si>
  <si>
    <t>4 139.52 руб.</t>
  </si>
  <si>
    <t>ZAP-310013</t>
  </si>
  <si>
    <t>VR201-01</t>
  </si>
  <si>
    <t>Кран шар. полнопроход. усиленный, рукоятка бабочка 1/2" вн.-вн. (14/112шт)</t>
  </si>
  <si>
    <t>410.13 руб.</t>
  </si>
  <si>
    <t>ZAP-310014</t>
  </si>
  <si>
    <t>VR201-02</t>
  </si>
  <si>
    <t>Кран шар. полнопроход. усиленный, рукоятка бабочка 3/4" вн.-вн. (10/80шт)</t>
  </si>
  <si>
    <t>627.69 руб.</t>
  </si>
  <si>
    <t>ZAP-310015</t>
  </si>
  <si>
    <t>VR201-03</t>
  </si>
  <si>
    <t>Кран шар. полнопроход. усиленный, рукоятка бабочка 1" вн.-вн. (10/60шт)</t>
  </si>
  <si>
    <t>973.14 руб.</t>
  </si>
  <si>
    <t>ZAP-310016</t>
  </si>
  <si>
    <t>VR203-01</t>
  </si>
  <si>
    <t>Кран шар. полнопроход. усиленный, рукоятка бабочка 1/2" вн.-нар. (10/112шт)</t>
  </si>
  <si>
    <t>ZAP-310017</t>
  </si>
  <si>
    <t>VR203-02</t>
  </si>
  <si>
    <t>Кран шар. полнопроход. усиленный, рукоятка бабочка 3/4" вн.-нар. (10/80шт)</t>
  </si>
  <si>
    <t>677.67 руб.</t>
  </si>
  <si>
    <t>ZAP-310018</t>
  </si>
  <si>
    <t>VR203-03</t>
  </si>
  <si>
    <t>Кран шар. полнопроход. усиленный, рукоятка бабочка 1" вн.-нар. (10/60шт)</t>
  </si>
  <si>
    <t>1 061.34 руб.</t>
  </si>
  <si>
    <t>ZAP-310019</t>
  </si>
  <si>
    <t>VR105-03</t>
  </si>
  <si>
    <t>Кран шар. полнопроход. усиленный, рукоятка бабочка 1/2" нар.-нар. (12/120шт)</t>
  </si>
  <si>
    <t>ZAP-310020</t>
  </si>
  <si>
    <t>VR105-04</t>
  </si>
  <si>
    <t>Кран шар. полнопроход. усиленный, рукоятка бабочка 3/4" нар.-нар. (12/120шт)</t>
  </si>
  <si>
    <t>664.44 руб.</t>
  </si>
  <si>
    <t>ZAP-310021</t>
  </si>
  <si>
    <t>VR204-01</t>
  </si>
  <si>
    <t>Кран шар. полнопроход. усиленный с полусгоном 1/2" вн.-нар. (10/80шт)</t>
  </si>
  <si>
    <t>580.65 руб.</t>
  </si>
  <si>
    <t>ZAP-310022</t>
  </si>
  <si>
    <t>VR204-02</t>
  </si>
  <si>
    <t>Кран шар. полнопроход. усиленный с полусгоном 3/4" вн.-нар. (8/64шт)</t>
  </si>
  <si>
    <t>871.71 руб.</t>
  </si>
  <si>
    <t>ZAP-310023</t>
  </si>
  <si>
    <t>VR204-03</t>
  </si>
  <si>
    <t>Кран шар. полнопроход. усиленный с полусгоном 1" вн.-нар. (6/48шт)</t>
  </si>
  <si>
    <t>1 364.16 руб.</t>
  </si>
  <si>
    <t>ZAP-310024</t>
  </si>
  <si>
    <t>VR204-04</t>
  </si>
  <si>
    <t>Кран шар. полнопроход. усиленный с полусгоном 1 1/4" вн.-нар. (5/30шт)</t>
  </si>
  <si>
    <t>2 252.04 руб.</t>
  </si>
  <si>
    <t>ZAP-310025</t>
  </si>
  <si>
    <t>VER47</t>
  </si>
  <si>
    <t>Кран шар. полнопроход. усиленный угловой с полусгоном 1/2" вн.-нар. (14/112шт)</t>
  </si>
  <si>
    <t>592.41 руб.</t>
  </si>
  <si>
    <t>ZAP-310026</t>
  </si>
  <si>
    <t>VER48</t>
  </si>
  <si>
    <t>Кран шар. полнопроход. усиленный угловой с полусгоном 3/4" вн.-нар. (10/80шт)</t>
  </si>
  <si>
    <t>ZAP-310027</t>
  </si>
  <si>
    <t>VER49</t>
  </si>
  <si>
    <t>Кран шар. полнопроход. усиленный угловой с полусгоном 1" вн.-нар. (10/60шт)</t>
  </si>
  <si>
    <t>1 484.70 руб.</t>
  </si>
  <si>
    <t>ZAP-310028</t>
  </si>
  <si>
    <t>VR204-01A</t>
  </si>
  <si>
    <t>Кран шар. полнопроход. белая ручка с доп уплотнением  усиленный с полусгоном 1/2" вн.-нар. (10/80шт)</t>
  </si>
  <si>
    <t>617.40 руб.</t>
  </si>
  <si>
    <t>ZAP-310029</t>
  </si>
  <si>
    <t>VR204-02A</t>
  </si>
  <si>
    <t>Кран шар. полнопроход. белая ручка  с доп уплотнением усиленный с полусгоном 3/4" вн.-нар. (8/64шт)</t>
  </si>
  <si>
    <t>912.87 руб.</t>
  </si>
  <si>
    <t>ZAP-310030</t>
  </si>
  <si>
    <t>VR204-03А</t>
  </si>
  <si>
    <t>Кран шар. полнопроход. белая ручка с доп уплотнением усиленный с полусгоном 1" вн.-нар. (6/48шт)</t>
  </si>
  <si>
    <t>1 427.37 руб.</t>
  </si>
  <si>
    <t>ZAP-310031</t>
  </si>
  <si>
    <t>VR204-01B</t>
  </si>
  <si>
    <t>Кран шар. полнопроход. белая ручка усиленный с полусгоном 1/2" вн.-нар. (10/80шт)</t>
  </si>
  <si>
    <t>ZAP-310032</t>
  </si>
  <si>
    <t>VR204-02B</t>
  </si>
  <si>
    <t>Кран шар. полнопроход. белая ручка усиленный с полусгоном 3/4" вн.-нар. (8/64шт)</t>
  </si>
  <si>
    <t>ZAP-310033</t>
  </si>
  <si>
    <t>VR204-03B</t>
  </si>
  <si>
    <t>Кран шар. полнопроход. белая ручка усиленный с полусгоном 1" вн.-нар. (6/48шт)</t>
  </si>
  <si>
    <t>ZAP-310034</t>
  </si>
  <si>
    <t>VERS52</t>
  </si>
  <si>
    <t>Кран угловой с накидной гайкой 1/2" вн-вн VR (14/112шт)</t>
  </si>
  <si>
    <t>540.96 руб.</t>
  </si>
  <si>
    <t>ZAP-310035</t>
  </si>
  <si>
    <t>VERS53</t>
  </si>
  <si>
    <t>Кран угловой с накидной гайкой 3/4" вн-вн VR (8/96шт)</t>
  </si>
  <si>
    <t>817.32 руб.</t>
  </si>
  <si>
    <t>ZAP-310036</t>
  </si>
  <si>
    <t>VERS50</t>
  </si>
  <si>
    <t>Кран прямой с накидной гайкой  1/2" вн-вн VR (14/112шт)</t>
  </si>
  <si>
    <t>ZAP-310037</t>
  </si>
  <si>
    <t>VERS51</t>
  </si>
  <si>
    <t>Кран прямой с накидной гайкой  3/4" вн-вн VR (8/80шт)</t>
  </si>
  <si>
    <t>790.86 руб.</t>
  </si>
  <si>
    <t>ZAP-310038</t>
  </si>
  <si>
    <t>GL192</t>
  </si>
  <si>
    <t>Кран шаровой трехходовой 1/2" VR (1/30шт)</t>
  </si>
  <si>
    <t>715.89 руб.</t>
  </si>
  <si>
    <t>ZAP-310039</t>
  </si>
  <si>
    <t>GL193</t>
  </si>
  <si>
    <t>Кран шаровой трехходовой 3/4" VR (1/30шт)</t>
  </si>
  <si>
    <t>899.64 руб.</t>
  </si>
  <si>
    <t>ZAP-310040</t>
  </si>
  <si>
    <t>GL194</t>
  </si>
  <si>
    <t>Кран шаровой трехходовой 1" VR (1/30шт)</t>
  </si>
  <si>
    <t>1 355.34 руб.</t>
  </si>
  <si>
    <t>ZAP-310041</t>
  </si>
  <si>
    <t>VER47A</t>
  </si>
  <si>
    <t>Кран шар. VIEIR полнопроход. белая ручка с доп уплотнением  усиленный угловой с полусгоном 1/2" вн.-</t>
  </si>
  <si>
    <t>623.28 руб.</t>
  </si>
  <si>
    <t>ZAP-310042</t>
  </si>
  <si>
    <t>VER49A</t>
  </si>
  <si>
    <t>Кран шар. VIEIR полнопроход. белая ручка с доп уплотнением  усиленный угловой с полусгоном 1" вн.-на</t>
  </si>
  <si>
    <t>1 528.80 руб.</t>
  </si>
  <si>
    <t>ZAP-310043</t>
  </si>
  <si>
    <t>VER47B</t>
  </si>
  <si>
    <t>Кран шар. VIEIR полнопроход. белая ручка  усиленный угловой с полусгоном 1/2" вн.-нар. (4/80шт)</t>
  </si>
  <si>
    <t>ZAP-310044</t>
  </si>
  <si>
    <t>VER49B</t>
  </si>
  <si>
    <t>Кран шар. VIEIR полнопроход. белая ручка  усиленный угловой с полусгоном 1" вн.-нар. (2/48шт)</t>
  </si>
  <si>
    <t>1 509.69 руб.</t>
  </si>
  <si>
    <t>ZAP-310045</t>
  </si>
  <si>
    <t>VERS55</t>
  </si>
  <si>
    <t>Кран прямой с накидной гайкой 1" вн-вн VIEIR (6/48шт)</t>
  </si>
  <si>
    <t>1 250.97 руб.</t>
  </si>
  <si>
    <t>ZAP-310046</t>
  </si>
  <si>
    <t>VR203-01A</t>
  </si>
  <si>
    <t>Кран шар. полнопроход. усиленный, БЕЛАЯ бабочка 1/2" вн.-нар. ViEiR (10/112шт)</t>
  </si>
  <si>
    <t>Краны шаровые VIEIR  VER PRO</t>
  </si>
  <si>
    <t>VER-000160</t>
  </si>
  <si>
    <t>VP224-01</t>
  </si>
  <si>
    <t>Кран шаровый с американкой 1/2"  "VER-PRO" (56шт)</t>
  </si>
  <si>
    <t>VER-000161</t>
  </si>
  <si>
    <t>VP224-02</t>
  </si>
  <si>
    <t>Кран шаровый с американкой 3/4""VER-PRO" (40шт)</t>
  </si>
  <si>
    <t>895.23 руб.</t>
  </si>
  <si>
    <t>VER-000162</t>
  </si>
  <si>
    <t>VP224-03</t>
  </si>
  <si>
    <t>Кран шаровый с американкой1" "VER-PRO" (24шт)</t>
  </si>
  <si>
    <t>1 568.49 руб.</t>
  </si>
  <si>
    <t>ZAP-390101</t>
  </si>
  <si>
    <t>VP220-01</t>
  </si>
  <si>
    <t>Кран шаровой 1/2" F/F (бабочка) НИКЕЛЬ "VER-PRO" (120/12шт)</t>
  </si>
  <si>
    <t>386.61 руб.</t>
  </si>
  <si>
    <t>ZAP-390102</t>
  </si>
  <si>
    <t>VP220-02</t>
  </si>
  <si>
    <t>Кран шаровой 3/4" F/F  (бабочка) НИКЕЛЬ"VER-PRO"(100/10шт)</t>
  </si>
  <si>
    <t>585.06 руб.</t>
  </si>
  <si>
    <t>ZAP-390103</t>
  </si>
  <si>
    <t>VP220-03</t>
  </si>
  <si>
    <t>Кран шаровой 1"  F/F (бабочка) НИКЕЛЬ"VER-PRO"(60/6шт)</t>
  </si>
  <si>
    <t>964.32 руб.</t>
  </si>
  <si>
    <t>ZAP-390104</t>
  </si>
  <si>
    <t>VP221-01</t>
  </si>
  <si>
    <t>Кран шаровой 1/2" F/М (бабочка) НИКЕЛЬ" VER-PRO"(120/12шт)</t>
  </si>
  <si>
    <t>443.94 руб.</t>
  </si>
  <si>
    <t>ZAP-390105</t>
  </si>
  <si>
    <t>VP221-02</t>
  </si>
  <si>
    <t>Кран шаровой 3/4" F/М (бабочка) НИКЕЛЬ "VER-PRO"(100/10шт)</t>
  </si>
  <si>
    <t>608.58 руб.</t>
  </si>
  <si>
    <t>ZAP-390106</t>
  </si>
  <si>
    <t>VP221-03</t>
  </si>
  <si>
    <t>Кран шаровой 1"  F/М (бабочка) НИКЕЛЬ"VER-PRO"(60/6шт)</t>
  </si>
  <si>
    <t>976.08 руб.</t>
  </si>
  <si>
    <t>ZAP-390107</t>
  </si>
  <si>
    <t>VP222-01</t>
  </si>
  <si>
    <t>Кран шаровой 1/2" F/F  (ручка) НИКЕЛЬ  "VER-PRO"(120/12шт)</t>
  </si>
  <si>
    <t>ZAP-390108</t>
  </si>
  <si>
    <t>VP222-02</t>
  </si>
  <si>
    <t>Кран шаровой 3/4" F/F  (ручка)  НИКЕЛЬ "VER-PRO"(100/10шт)</t>
  </si>
  <si>
    <t>582.12 руб.</t>
  </si>
  <si>
    <t>ZAP-390109</t>
  </si>
  <si>
    <t>VP222-03</t>
  </si>
  <si>
    <t>Кран шаровой 1" F/F ручка) НИКЕЛЬ  "VER-PRO"(60/6шт)</t>
  </si>
  <si>
    <t>1 002.54 руб.</t>
  </si>
  <si>
    <t>ZAP-390110</t>
  </si>
  <si>
    <t>VP222-04</t>
  </si>
  <si>
    <t>Кран шаровой 1"1/4" F/F (ручка) НИКЕЛЬ "VER-PRO"(32/4шт)</t>
  </si>
  <si>
    <t>1 425.90 руб.</t>
  </si>
  <si>
    <t>ZAP-390111</t>
  </si>
  <si>
    <t>VP222-05</t>
  </si>
  <si>
    <t>Кран шаровой 1"1/2" F/F . (ручка) НИКЕЛЬ  "VER-PRO"(24/2шт)</t>
  </si>
  <si>
    <t>2 184.42 руб.</t>
  </si>
  <si>
    <t>ZAP-390112</t>
  </si>
  <si>
    <t>VP222-06</t>
  </si>
  <si>
    <t>Кран шаровой 2" F/F  (ручка) НИКЕЛЬ  "VER-PRO"(16/2шт)</t>
  </si>
  <si>
    <t>3 306.03 руб.</t>
  </si>
  <si>
    <t>ZAP-390113</t>
  </si>
  <si>
    <t>VP223-01</t>
  </si>
  <si>
    <t>Кран шаровой 1/2" F/М (ручка) НИКЕЛЬ "VER-PRO"(120/12шт)</t>
  </si>
  <si>
    <t>430.71 руб.</t>
  </si>
  <si>
    <t>ZAP-390114</t>
  </si>
  <si>
    <t>VP223-02</t>
  </si>
  <si>
    <t>Кран шаровой 3/4" F/М (ручка) НИКЕЛЬ "VER-PRO"(100/10шт)</t>
  </si>
  <si>
    <t>593.88 руб.</t>
  </si>
  <si>
    <t>ZAP-390115</t>
  </si>
  <si>
    <t>VP223-03</t>
  </si>
  <si>
    <t>Кран шаровой 1" F/М  (ручка) НИКЕЛЬ  "VER-PRO"(60/6шт)</t>
  </si>
  <si>
    <t>1 012.83 руб.</t>
  </si>
  <si>
    <t>ZAP-390116</t>
  </si>
  <si>
    <t>VP223-04</t>
  </si>
  <si>
    <t>Кран шаровой 11/4" F/М  (ручка) НИКЕЛЬ "VER-PRO"(32/4шт)</t>
  </si>
  <si>
    <t>1 515.57 руб.</t>
  </si>
  <si>
    <t>ZAP-390117</t>
  </si>
  <si>
    <t>VP223-05</t>
  </si>
  <si>
    <t>Кран шаровой 11/2" F/М (ручка) НИКЕЛЬ "VER-PRO"(24/2шт)</t>
  </si>
  <si>
    <t>2 240.28 руб.</t>
  </si>
  <si>
    <t>ZAP-390118</t>
  </si>
  <si>
    <t>VP223-06</t>
  </si>
  <si>
    <t>Кран шаровой 2" F/М (ручка) НИКЕЛЬ "VER-PRO"(16/2шт)</t>
  </si>
  <si>
    <t>3 486.84 руб.</t>
  </si>
  <si>
    <t>Краны шаровые ZEGOR</t>
  </si>
  <si>
    <t>Краны шаровые ZEGOR BASIC</t>
  </si>
  <si>
    <t>ZGR-000001</t>
  </si>
  <si>
    <t>FB11</t>
  </si>
  <si>
    <t>Кран шаровый Zegor  полнопроходной Pn40 латунь никель 1/2" вн-вн бабочка (1/80шт)</t>
  </si>
  <si>
    <t>365.91 руб.</t>
  </si>
  <si>
    <t>ZGR-000002</t>
  </si>
  <si>
    <t>FB12</t>
  </si>
  <si>
    <t>Кран шаровый Zegor  полнопроходной Pn40 латунь никель 3/4" вн-вн бабочка (25/100шт)</t>
  </si>
  <si>
    <t>539.31 руб.</t>
  </si>
  <si>
    <t>ZGR-000003</t>
  </si>
  <si>
    <t>FB13</t>
  </si>
  <si>
    <t>Кран шаровый Zegor  полнопроходной Pn40 латунь никель 1" вн-вн бабочка (15/60шт)</t>
  </si>
  <si>
    <t>717.49 руб.</t>
  </si>
  <si>
    <t>ZGR-000004</t>
  </si>
  <si>
    <t>FN11</t>
  </si>
  <si>
    <t>Кран шаровый Zegor  полнопроходной Pn40 латунь никель 1/2" вн-нар бабочка (1/80шт)</t>
  </si>
  <si>
    <t>386.82 руб.</t>
  </si>
  <si>
    <t>ZGR-000005</t>
  </si>
  <si>
    <t>FN12</t>
  </si>
  <si>
    <t>Кран шаровый Zegor  полнопроходной Pn40 латунь никель 3/4" вн-нар бабочка (25/100шт)</t>
  </si>
  <si>
    <t>560.46 руб.</t>
  </si>
  <si>
    <t>ZGR-000006</t>
  </si>
  <si>
    <t>FN13</t>
  </si>
  <si>
    <t>Кран шаровый Zegor  полнопроходной Pn40 латунь никель 1" вн-нар бабочка (15/60шт)</t>
  </si>
  <si>
    <t>842.49 руб.</t>
  </si>
  <si>
    <t>ZGR-000007</t>
  </si>
  <si>
    <t>FNN11</t>
  </si>
  <si>
    <t>Кран шаровый Zegor  полнопроходной Pn40 латунь никель 1/2" нар-нар бабочка (1/80шт)</t>
  </si>
  <si>
    <t>372.84 руб.</t>
  </si>
  <si>
    <t>ZGR-000008</t>
  </si>
  <si>
    <t>FBR11</t>
  </si>
  <si>
    <t>Кран шаровый Zegor  полнопроходной Pn40 латунь никель 1/2" вн-вн ручка (25/100шт)</t>
  </si>
  <si>
    <t>400.64 руб.</t>
  </si>
  <si>
    <t>ZGR-000009</t>
  </si>
  <si>
    <t>FBR12</t>
  </si>
  <si>
    <t>Кран шаровый Zegor  полнопроходной Pn40 латунь никель 3/4" вн-вн ручка (20/80шт)</t>
  </si>
  <si>
    <t>570.94 руб.</t>
  </si>
  <si>
    <t>ZGR-000010</t>
  </si>
  <si>
    <t>FBR13</t>
  </si>
  <si>
    <t>Кран шаровый Zegor  полнопроходной Pn40 латунь никель 1" вн-вн ручка (10/40шт)</t>
  </si>
  <si>
    <t>848.04 руб.</t>
  </si>
  <si>
    <t>ZGR-000011</t>
  </si>
  <si>
    <t>FBR14</t>
  </si>
  <si>
    <t>Кран шаровый Zegor  полнопроходной Pn40 латунь никель 11/4" вн-вн ручка (16/32шт)</t>
  </si>
  <si>
    <t>1 167.12 руб.</t>
  </si>
  <si>
    <t>ZGR-000012</t>
  </si>
  <si>
    <t>FBR15</t>
  </si>
  <si>
    <t>Кран шаровый Zegor  полнопроходной Pn40 латунь никель 11/2" вн-вн ручка (10/20шт)</t>
  </si>
  <si>
    <t>1 901.32 руб.</t>
  </si>
  <si>
    <t>ZGR-000013</t>
  </si>
  <si>
    <t>FBR16</t>
  </si>
  <si>
    <t>Кран шаровый Zegor  полнопроходной Pn40 латунь никель 2" вн-вн ручка (6/12шт)</t>
  </si>
  <si>
    <t>3 104.98 руб.</t>
  </si>
  <si>
    <t>ZGR-000014</t>
  </si>
  <si>
    <t>FNR11</t>
  </si>
  <si>
    <t>Кран шаровый Zegor  полнопроходной Pn40 латунь никель 1/2" вн-нар ручка (25/100шт)</t>
  </si>
  <si>
    <t>339.23 руб.</t>
  </si>
  <si>
    <t>ZGR-000015</t>
  </si>
  <si>
    <t>FNR12</t>
  </si>
  <si>
    <t>Кран шаровый Zegor  полнопроходной Pn40 латунь никель 3/4" вн-нар ручка (15/60шт)</t>
  </si>
  <si>
    <t>559.66 руб.</t>
  </si>
  <si>
    <t>ZGR-000016</t>
  </si>
  <si>
    <t>FNR13</t>
  </si>
  <si>
    <t>Кран шаровый Zegor  полнопроходной Pn40 латунь никель 1" вн-нар ручка (12/48шт)</t>
  </si>
  <si>
    <t>919.99 руб.</t>
  </si>
  <si>
    <t>ZGR-000017</t>
  </si>
  <si>
    <t>FNR14</t>
  </si>
  <si>
    <t>Кран шаровый Zegor  полнопроходной Pn40 латунь никель 11/4" вн-нар ручка (16/32шт)</t>
  </si>
  <si>
    <t>1 379.99 руб.</t>
  </si>
  <si>
    <t>ZGR-000018</t>
  </si>
  <si>
    <t>FNR15</t>
  </si>
  <si>
    <t>Кран шаровый Zegor  полнопроходной Pn40 латунь никель 11/2" вн-нар ручка (10/20шт)</t>
  </si>
  <si>
    <t>2 156.23 руб.</t>
  </si>
  <si>
    <t>ZGR-000019</t>
  </si>
  <si>
    <t>FNR16</t>
  </si>
  <si>
    <t>Кран шаровый Zegor  полнопроходной Pn40 латунь никель 2" вн-нар ручка (6/12шт)</t>
  </si>
  <si>
    <t>3 436.44 руб.</t>
  </si>
  <si>
    <t>ZGR-000020</t>
  </si>
  <si>
    <t>FA11</t>
  </si>
  <si>
    <t>Кран шаровый Zegor  прямой со сгоном полнопроходной Pn40 латунь никель 1/2" вн-нар бабочка (20/80шт)</t>
  </si>
  <si>
    <t>512.27 руб.</t>
  </si>
  <si>
    <t>ZGR-000021</t>
  </si>
  <si>
    <t>FA12</t>
  </si>
  <si>
    <t>Кран шаровый Zegor  прямой со сгоном полнопроходной Pn40 латунь никель 3/4" вн-нар бабочка (18/72шт)</t>
  </si>
  <si>
    <t>744.88 руб.</t>
  </si>
  <si>
    <t>ZGR-000022</t>
  </si>
  <si>
    <t>FA13</t>
  </si>
  <si>
    <t>Кран шаровый Zegor  прямой со сгоном полнопроходной Pn40 латунь никель 1" вн-нар бабочка (10/40шт)</t>
  </si>
  <si>
    <t>1 218.99 руб.</t>
  </si>
  <si>
    <t>ZGR-000023</t>
  </si>
  <si>
    <t>FAL11</t>
  </si>
  <si>
    <t>Кран шаровый Zegor  угловой со сгоном полнопроход Pn40 латунь никель 1/2" вн-нар бабочка (15/90шт)</t>
  </si>
  <si>
    <t>506.49 руб.</t>
  </si>
  <si>
    <t>ZGR-000024</t>
  </si>
  <si>
    <t>FAL12</t>
  </si>
  <si>
    <t>Кран шаровый Zegor  угловой со сгоном полнопроход Pn40 латунь никель 3/4" вн-нар бабочка (15/60шт)</t>
  </si>
  <si>
    <t>827.01 руб.</t>
  </si>
  <si>
    <t>ZGR-000025</t>
  </si>
  <si>
    <t>FAO11</t>
  </si>
  <si>
    <t>Кран шаровый Zegor  прямой со сгоном с доп.уплот. Pn40 латунь ник 1/2" вн-нар белая бабочка (15/</t>
  </si>
  <si>
    <t>524.60 руб.</t>
  </si>
  <si>
    <t>ZGR-000026</t>
  </si>
  <si>
    <t>FAO12</t>
  </si>
  <si>
    <t>Кран шаровый Zegor  прямой со сгоном с доп.уплот. Pn40 латунь ник 3/4" вн-нар белая бабочка (15/</t>
  </si>
  <si>
    <t>791.62 руб.</t>
  </si>
  <si>
    <t>ZGR-000027</t>
  </si>
  <si>
    <t>FAOL11</t>
  </si>
  <si>
    <t>Кран шаровый Zegor  угловой со сгоном с доп.уплот. Pn40 латунь ник 1/2" вн-нар белая бабочка (15</t>
  </si>
  <si>
    <t>580.06 руб.</t>
  </si>
  <si>
    <t>ZGR-000028</t>
  </si>
  <si>
    <t>FAOL12</t>
  </si>
  <si>
    <t>Кран шаровый Zegor  угловой со сгоном с доп.уплот. Pn40 латунь ник 3/4" вн-нар белая бабочка (15</t>
  </si>
  <si>
    <t>1 063.40 руб.</t>
  </si>
  <si>
    <t>ZGR-000031</t>
  </si>
  <si>
    <t>FS11</t>
  </si>
  <si>
    <t>Кран шаровый Zegor  с дренаж и воздухоотвод. полнопроходной Pn40 латунь никель 1/2" вн-вн ручка (15/</t>
  </si>
  <si>
    <t>321.99 руб.</t>
  </si>
  <si>
    <t>ZGR-000032</t>
  </si>
  <si>
    <t>FS12</t>
  </si>
  <si>
    <t>Кран шаровый Zegor  с дренаж и воздухоотвод. полнопроходной Pn40 латунь никель 3/4" вн-вн ручка (15/</t>
  </si>
  <si>
    <t>531.26 руб.</t>
  </si>
  <si>
    <t>ZGR-000033</t>
  </si>
  <si>
    <t>FS13</t>
  </si>
  <si>
    <t>Кран шаровый Zegor  с дренаж и воздухоотвод. полнопроходной Pn40 латунь никель 1" вн-вн ручка (7/42ш</t>
  </si>
  <si>
    <t>807.61 руб.</t>
  </si>
  <si>
    <t>ZGR-000034</t>
  </si>
  <si>
    <t>FS14</t>
  </si>
  <si>
    <t>Кран шаровый Zegor  с дренаж и воздухоотвод. полнопроходной Pn40 латунь никель 11/4" вн-вн ручка (8/</t>
  </si>
  <si>
    <t>1 120.61 руб.</t>
  </si>
  <si>
    <t>ZGR-000035</t>
  </si>
  <si>
    <t>FUB11</t>
  </si>
  <si>
    <t>Кран шаровый Zegor  прямой с накидной гайкой Pn40 латунь никель 1/2" вн-вн бабочка (25/1</t>
  </si>
  <si>
    <t>428.37 руб.</t>
  </si>
  <si>
    <t>ZGR-000036</t>
  </si>
  <si>
    <t>FUB12</t>
  </si>
  <si>
    <t>Кран шаровый Zegor  прямой с накидной гайкой Pn40 латунь никель 3/4" вн-вн бабочка (20/1)</t>
  </si>
  <si>
    <t>595.12 руб.</t>
  </si>
  <si>
    <t>ZGR-000037</t>
  </si>
  <si>
    <t>FUN11</t>
  </si>
  <si>
    <t>Кран шаровый Zegor  прямой с накидной гайкой Pn40 латунь никель 1/2" вн-нар бабочка (25/</t>
  </si>
  <si>
    <t>400.47 руб.</t>
  </si>
  <si>
    <t>ZGR-000038</t>
  </si>
  <si>
    <t>FUN12</t>
  </si>
  <si>
    <t>Кран шаровый Zegor  прямой с накидной гайкой Pn40 латунь никель 3/4" вн-нар бабочка (20/</t>
  </si>
  <si>
    <t>554.70 руб.</t>
  </si>
  <si>
    <t>ZGR-000039</t>
  </si>
  <si>
    <t>FUBL11</t>
  </si>
  <si>
    <t>Кран шаровый Zegor  угловой с накидной гайкой Pn40 латунь никель 1/2" вн-вн бабочка (20/</t>
  </si>
  <si>
    <t>492.47 руб.</t>
  </si>
  <si>
    <t>ZGR-000040</t>
  </si>
  <si>
    <t>FUBL12</t>
  </si>
  <si>
    <t>Кран шаровый Zegor  угловой с накидной гайкой Pn40 латунь никель 3/4" вн-вн бабочка (15/</t>
  </si>
  <si>
    <t>679.17 руб.</t>
  </si>
  <si>
    <t>ZGR-000041</t>
  </si>
  <si>
    <t>FNL11</t>
  </si>
  <si>
    <t>Кран шаровый Zegor  угловой с накидной гайкой Pn40 латунь никель 1/2" вн-нар бабочка (25</t>
  </si>
  <si>
    <t>374.36 руб.</t>
  </si>
  <si>
    <t>ZGR-000042</t>
  </si>
  <si>
    <t>FNL12</t>
  </si>
  <si>
    <t>Кран шаровый Zegor  угловой с накидной гайкой Pn40 латунь никель 3/4" вн-нар бабочка (20</t>
  </si>
  <si>
    <t>526.06 руб.</t>
  </si>
  <si>
    <t>ZGR-000124</t>
  </si>
  <si>
    <t>FNN12</t>
  </si>
  <si>
    <t>Кран шаровый Zegor  полнопроходной Pn40 латунь никель 3/4" нар-нар бабочка (15/90шт)</t>
  </si>
  <si>
    <t>ZGR-000128</t>
  </si>
  <si>
    <t>FNN13</t>
  </si>
  <si>
    <t>Кран шаровый Zegor  полнопроходной Pn40 латунь никель 1" нар-нар бабочка (15/90шт)</t>
  </si>
  <si>
    <t>966.82 руб.</t>
  </si>
  <si>
    <t>ZGR-000133</t>
  </si>
  <si>
    <t>FAL13</t>
  </si>
  <si>
    <t>Кран шаровый Zegor  угловой со сгоном полнопроходной Pn40 латунь никель 1" вн-нар бабочка (5/30шт)</t>
  </si>
  <si>
    <t>1 609.99 руб.</t>
  </si>
  <si>
    <t>Краны шаровые ZEGOR PRO</t>
  </si>
  <si>
    <t>ZGR-000134</t>
  </si>
  <si>
    <t>FB01</t>
  </si>
  <si>
    <t>Кран шаровый Zegor  УСИЛЕННЫЙ PN50 латунь никель 1/2" вн-вн бабочка (20/120шт)</t>
  </si>
  <si>
    <t>403.72 руб.</t>
  </si>
  <si>
    <t>ZGR-000137</t>
  </si>
  <si>
    <t>FN01</t>
  </si>
  <si>
    <t>Кран шаровый Zegor  УСИЛЕННЫЙ PN50 латунь никель 1/2" вн-нар бабочка (20/120шт)</t>
  </si>
  <si>
    <t>423.29 руб.</t>
  </si>
  <si>
    <t>ZGR-000146</t>
  </si>
  <si>
    <t>FBR01</t>
  </si>
  <si>
    <t>Кран шаровый Zegor  УСИЛЕННЫЙ PN50 латунь никель 1/2" вн-вн ручка (20/120шт)</t>
  </si>
  <si>
    <t>406.17 руб.</t>
  </si>
  <si>
    <t>ZGR-000149</t>
  </si>
  <si>
    <t>FNR01</t>
  </si>
  <si>
    <t>Кран шаровый Zegor  УСИЛЕННЫЙ PN50 латунь никель 1/2" вн-нар ручка (20/120шт)</t>
  </si>
  <si>
    <t>423.68 руб.</t>
  </si>
  <si>
    <t>ZGR-000197</t>
  </si>
  <si>
    <t>FAO01</t>
  </si>
  <si>
    <t>Кран шаровый Zegor  УСИЛЕННЫЙ PN50 прямой со сгоном с доп.уплот. 1/2" вн-нар (15/90шт)</t>
  </si>
  <si>
    <t>564.77 руб.</t>
  </si>
  <si>
    <t>ZGR-000198</t>
  </si>
  <si>
    <t>FAO02</t>
  </si>
  <si>
    <t>Кран шаровый Zegor  УСИЛЕННЫЙ PN50 прямой со сгоном с доп.уплот. 3/4" вн-нар (10/60шт)</t>
  </si>
  <si>
    <t>807.55 руб.</t>
  </si>
  <si>
    <t>Краны шаровые БАЗ</t>
  </si>
  <si>
    <t>Краны шаровые БАЗ желтые</t>
  </si>
  <si>
    <t>BAZ-100101</t>
  </si>
  <si>
    <t>БАЗ.А30.0.15.40</t>
  </si>
  <si>
    <t>БАЗ латунь кран шаровой 11Б27п1 Ду15 вр/вр рычаг PN40 (60шт)</t>
  </si>
  <si>
    <t>361.25 руб.</t>
  </si>
  <si>
    <t>BAZ-100102</t>
  </si>
  <si>
    <t>БАЗ.А30.0.20.40</t>
  </si>
  <si>
    <t>БАЗ латунь кран шаровой 11Б27п1 Ду20 вр/вр рычаг PN40 (50шт)</t>
  </si>
  <si>
    <t>467.83 руб.</t>
  </si>
  <si>
    <t>BAZ-100103</t>
  </si>
  <si>
    <t>БАЗ.А30.0.25.40</t>
  </si>
  <si>
    <t>БАЗ латунь кран шаровой 11Б27п1 Ду25 вр/вр рычаг PN40 (25шт)</t>
  </si>
  <si>
    <t>908.43 руб.</t>
  </si>
  <si>
    <t>BAZ-100104</t>
  </si>
  <si>
    <t>БАЗ.А30.0.32.40</t>
  </si>
  <si>
    <t>БАЗ латунь кран шаровой 11Б27п1 Ду32 вр/вр рычаг PN40 (15шт)</t>
  </si>
  <si>
    <t>1 415.03 руб.</t>
  </si>
  <si>
    <t>BAZ-100105</t>
  </si>
  <si>
    <t>БАЗ.А30.0.40.40</t>
  </si>
  <si>
    <t>БАЗ латунь кран шаровой 11Б27п1 Ду40 вр/вр рычаг PN40 (10шт)</t>
  </si>
  <si>
    <t>2 373.07 руб.</t>
  </si>
  <si>
    <t>BAZ-100106</t>
  </si>
  <si>
    <t>БАЗ.А30.0.50.40</t>
  </si>
  <si>
    <t>БАЗ латунь кран шаровой 11Б27п1 Ду50 вр/вр рычаг PN40 (6шт)</t>
  </si>
  <si>
    <t>3 650.51 руб.</t>
  </si>
  <si>
    <t>BAZ-100107</t>
  </si>
  <si>
    <t>БАЗ.А30.1.15.40</t>
  </si>
  <si>
    <t>БАЗ латунь кран шаровой 11Б27п1 Ду15  вр/вр бабочка PN40 (60шт)</t>
  </si>
  <si>
    <t>356.41 руб.</t>
  </si>
  <si>
    <t>BAZ-100108</t>
  </si>
  <si>
    <t>БАЗ.А30.1.20.40</t>
  </si>
  <si>
    <t>БАЗ латунь кран шаровой 11Б27п1 Ду20  вр/вр бабочка PN40  (50шт)</t>
  </si>
  <si>
    <t>462.67 руб.</t>
  </si>
  <si>
    <t>BAZ-100109</t>
  </si>
  <si>
    <t>БАЗ.А30.1.25.40</t>
  </si>
  <si>
    <t>БАЗ латунь кран шаровой 11Б27п1 Ду25  вр/вр бабочка PN40 (25шт)</t>
  </si>
  <si>
    <t>BAZ-100110</t>
  </si>
  <si>
    <t>БАЗ.А31.0.15.40</t>
  </si>
  <si>
    <t>БАЗ латунь кран шаровой 11Б27п1 Ду15 вр/нр рычаг PN40 (60шт)</t>
  </si>
  <si>
    <t>363.45 руб.</t>
  </si>
  <si>
    <t>BAZ-100111</t>
  </si>
  <si>
    <t>БАЗ.А31.0.20.40</t>
  </si>
  <si>
    <t>БАЗ латунь кран шаровой 11Б27п1 Ду20 вр/нр рычаг PN40 (50шт)</t>
  </si>
  <si>
    <t>524.83 руб.</t>
  </si>
  <si>
    <t>BAZ-100112</t>
  </si>
  <si>
    <t>БАЗ.А31.0.25.40</t>
  </si>
  <si>
    <t>БАЗ латунь кран шаровой 11Б27п1 Ду25 вр/нр рычаг PN40 (25шт)</t>
  </si>
  <si>
    <t>952.09 руб.</t>
  </si>
  <si>
    <t>BAZ-100113</t>
  </si>
  <si>
    <t>БАЗ.А31.0.32.40</t>
  </si>
  <si>
    <t>БАЗ латунь кран шаровой 11Б27п1 Ду32 вр/нр рычаг PN40 (15шт)</t>
  </si>
  <si>
    <t>1 619.45 руб.</t>
  </si>
  <si>
    <t>BAZ-100114</t>
  </si>
  <si>
    <t>БАЗ.А31.0.40.40</t>
  </si>
  <si>
    <t>БАЗ латунь кран шаровой 11Б27п1 Ду40 вр/нр рычаг PN40 (10шт)</t>
  </si>
  <si>
    <t>2 450.28 руб.</t>
  </si>
  <si>
    <t>BAZ-100115</t>
  </si>
  <si>
    <t>БАЗ.А31.1.15.40</t>
  </si>
  <si>
    <t>БАЗ латунь кран шаровой 11Б27п1 Ду15 вр/нр бабочка PN40 (60шт)</t>
  </si>
  <si>
    <t>358.59 руб.</t>
  </si>
  <si>
    <t>BAZ-100116</t>
  </si>
  <si>
    <t>БАЗ.А31.1.20.40</t>
  </si>
  <si>
    <t>БАЗ латунь кран шаровой 11Б27п1 Ду20 вр/нр бабочка PN40 (50шт)</t>
  </si>
  <si>
    <t>BAZ-100117</t>
  </si>
  <si>
    <t>БАЗ.А31.1.25.40</t>
  </si>
  <si>
    <t>БАЗ латунь кран шаровой 11Б27п1 Ду25 вр/нр бабочка PN40 (25шт)</t>
  </si>
  <si>
    <t>937.75 руб.</t>
  </si>
  <si>
    <t>BAZ-100118</t>
  </si>
  <si>
    <t>БАЗ.А.А31.1.15.40</t>
  </si>
  <si>
    <t>БАЗ латунь кран шаровой "американка" Ду15 прямой бабочка PN40 (60шт)</t>
  </si>
  <si>
    <t>558.87 руб.</t>
  </si>
  <si>
    <t>BAZ-100119</t>
  </si>
  <si>
    <t>БАЗ.А.А31.1.20.40</t>
  </si>
  <si>
    <t>БАЗ латунь кран шаровой "американка" Ду20 прямой бабочка PN40 (40шт)</t>
  </si>
  <si>
    <t>796.46 руб.</t>
  </si>
  <si>
    <t>BAZ-100120</t>
  </si>
  <si>
    <t>БАЗ.А.А31.1.25.40</t>
  </si>
  <si>
    <t>БАЗ латунь кран шаровой "американка" Ду25 прямой бабочка PN40 (16шт)</t>
  </si>
  <si>
    <t>1 282.57 руб.</t>
  </si>
  <si>
    <t>BAZ-100121</t>
  </si>
  <si>
    <t>БАЗ.А.А31.0.25.40</t>
  </si>
  <si>
    <t>БАЗ латунь кран шаровой "американка" Ду25 прямой рычаг PN40 (16шт)</t>
  </si>
  <si>
    <t>1 291.97 руб.</t>
  </si>
  <si>
    <t>BAZ-100122</t>
  </si>
  <si>
    <t>БАЗ.А.А31.0.32.40</t>
  </si>
  <si>
    <t>БАЗ латунь кран шаровой "американка" Ду32 прямой рычаг PN40 (10шт)</t>
  </si>
  <si>
    <t>1 974.73 руб.</t>
  </si>
  <si>
    <t>BAZ-100123</t>
  </si>
  <si>
    <t>БАЗ.КФ.1.15</t>
  </si>
  <si>
    <t>БАЗ латунь кран-фильтр 11Б27п1 Ду15  вр/вр бабочка (50шт)</t>
  </si>
  <si>
    <t>BAZ-100124</t>
  </si>
  <si>
    <t>БАЗ.А32.0.15.40</t>
  </si>
  <si>
    <t>БАЗ латунь кран шаровой 11Б27П1 Ду15 нр/нр рычаг PN40 (60шт)</t>
  </si>
  <si>
    <t>411.16 руб.</t>
  </si>
  <si>
    <t>BAZ-100125</t>
  </si>
  <si>
    <t>БАЗ.А32.0.20.40</t>
  </si>
  <si>
    <t>БАЗ латунь кран шаровой 11Б27П1 Ду20 нр/нр рычаг PN40 (50шт)</t>
  </si>
  <si>
    <t>581.34 руб.</t>
  </si>
  <si>
    <t>BAZ-100126</t>
  </si>
  <si>
    <t>БАЗ.А32.0.25.40</t>
  </si>
  <si>
    <t>БАЗ латунь кран шаровой 11Б27п1 Ду25 нр/нр рычаг PN40 (25шт)</t>
  </si>
  <si>
    <t>998.52 руб.</t>
  </si>
  <si>
    <t>BAZ-100127</t>
  </si>
  <si>
    <t>БАЗ.А32.1.15.40</t>
  </si>
  <si>
    <t>БАЗ латунь кран шаровой 11Б27П1 Ду15 нр/нр бабочка PN40 (60шт)</t>
  </si>
  <si>
    <t>BAZ-100128</t>
  </si>
  <si>
    <t>БАЗ.А32.1.20.40</t>
  </si>
  <si>
    <t>БАЗ латунь кран шаровой 11Б27П1 Ду20 нр/нр бабочка PN40 (50шт)</t>
  </si>
  <si>
    <t>BAZ-100129</t>
  </si>
  <si>
    <t>БАЗ.А32.1.25.40</t>
  </si>
  <si>
    <t>БАЗ латунь кран шаровой 11Б27п1 Ду25 нр/нр бабочка PN40 (25шт)</t>
  </si>
  <si>
    <t>998.48 руб.</t>
  </si>
  <si>
    <t>Краны шаровые COMPACT</t>
  </si>
  <si>
    <t>OTM-110048</t>
  </si>
  <si>
    <t>кран шаровой 1/2 вр/вр бабочка латунь никель PN40 COMPACT (10/200шт)</t>
  </si>
  <si>
    <t>212.04 руб.</t>
  </si>
  <si>
    <t>OTM-110049</t>
  </si>
  <si>
    <t>кран шаровой 3/4 вр/вр бабочка латунь никель PN40 COMPACT (10/150шт)</t>
  </si>
  <si>
    <t>299.25 руб.</t>
  </si>
  <si>
    <t>OTM-110050</t>
  </si>
  <si>
    <t>кран шаровой 1 вр/вр бабочка латунь никель PN40 COMPACT (10/100шт)</t>
  </si>
  <si>
    <t>388.17 руб.</t>
  </si>
  <si>
    <t>OTM-110051</t>
  </si>
  <si>
    <t>кран шаровой 1/2  вр/нар бабочка латунь никель PN40 COMPACT (10/200шт)</t>
  </si>
  <si>
    <t>OTM-110052</t>
  </si>
  <si>
    <t>кран шаровой 3/4  вр/нар бабочка латунь никель PN40 COMPACT (10/150шт)</t>
  </si>
  <si>
    <t>309.51 руб.</t>
  </si>
  <si>
    <t>OTM-110053</t>
  </si>
  <si>
    <t>кран шаровой 1  вр/нар бабочка латунь никель PN40 COMPACT (10/100шт)</t>
  </si>
  <si>
    <t>396.72 руб.</t>
  </si>
  <si>
    <t>Краны шаровые ТЕБО полнопроходные ГОСТ</t>
  </si>
  <si>
    <t>ALT-120001</t>
  </si>
  <si>
    <t>T-КШ.101.12.КР.CN</t>
  </si>
  <si>
    <t>Кран шаровой полный проход TEBO ВН/ВН  1/2" ручка (10/80)</t>
  </si>
  <si>
    <t>505.48 руб.</t>
  </si>
  <si>
    <t>ALT-120002</t>
  </si>
  <si>
    <t>T-КШ.101.34.КР.CN</t>
  </si>
  <si>
    <t>Кран шаровой полный проход TEBO ВН/ВН  3/4" ручка (7/56)</t>
  </si>
  <si>
    <t>749.21 руб.</t>
  </si>
  <si>
    <t>ALT-120003</t>
  </si>
  <si>
    <t>T-КШ.101.1.КР.CN</t>
  </si>
  <si>
    <t>Кран шаровой полный проход TEBO ВН/ВН  1" ручка (4/32) (шт.)</t>
  </si>
  <si>
    <t>1 181.72 руб.</t>
  </si>
  <si>
    <t>ALT-120004</t>
  </si>
  <si>
    <t>T-КШ.101.114.КР.CN</t>
  </si>
  <si>
    <t>Кран шаровой полный проход TEBO ВН/ВН 1.1/4" ручка (2/18)</t>
  </si>
  <si>
    <t>1 897.19 руб.</t>
  </si>
  <si>
    <t>ALT-120005</t>
  </si>
  <si>
    <t>T-КШ.101.112.КР.CN</t>
  </si>
  <si>
    <t>Кран шаровой полный проход TEBO ВН/ВН 1.1/2" ручка (2/12)</t>
  </si>
  <si>
    <t>2 844.98 руб.</t>
  </si>
  <si>
    <t>ALT-120006</t>
  </si>
  <si>
    <t>T-КШ.101.2.КР.CN</t>
  </si>
  <si>
    <t>Кран шаровой полный проход TEBO ВН/ВН   2" ручка (2/8) (шт.)</t>
  </si>
  <si>
    <t>4 171.03 руб.</t>
  </si>
  <si>
    <t>ALT-120007</t>
  </si>
  <si>
    <t>T-КШ.202.12.КР.CN</t>
  </si>
  <si>
    <t>Кран шаровой полный проход TEBO ВН/НАР  1/2" ручка (8/64)</t>
  </si>
  <si>
    <t>531.01 руб.</t>
  </si>
  <si>
    <t>ALT-120008</t>
  </si>
  <si>
    <t>Т-КШ.202.34.КР.CN</t>
  </si>
  <si>
    <t>Кран шаровой полный проход TEBO ВН/НАР  3/4" ручка (6/48)</t>
  </si>
  <si>
    <t>795.72 руб.</t>
  </si>
  <si>
    <t>ALT-120009</t>
  </si>
  <si>
    <t>T-КШ.202.1.КР.CN</t>
  </si>
  <si>
    <t>Кран шаровой полный проход TEBO ВН/НАР  1" ручка (4/32)</t>
  </si>
  <si>
    <t>1 258.10 руб.</t>
  </si>
  <si>
    <t>ALT-120010</t>
  </si>
  <si>
    <t>T-КШ.202.114.КР.CN</t>
  </si>
  <si>
    <t>Кран шаровой полный проход TEBO ВН/НАР 1.1/4" ручка (2/18)</t>
  </si>
  <si>
    <t>2 165.77 руб.</t>
  </si>
  <si>
    <t>ALT-120011</t>
  </si>
  <si>
    <t>T-КШ.202.112.КР.CN</t>
  </si>
  <si>
    <t>Кран шаровой полный проход TEBO ВН/НАР 1.1/2" ручка (2/12)</t>
  </si>
  <si>
    <t>2 998.66 руб.</t>
  </si>
  <si>
    <t>ALT-120012</t>
  </si>
  <si>
    <t>Кран шаровой полный проход TEBO ВН/НАР 2" ручка ()</t>
  </si>
  <si>
    <t>ALT-120013</t>
  </si>
  <si>
    <t>T-КШ.303.12.КР.CN</t>
  </si>
  <si>
    <t>Кран шаровой полный проход TEBO НАР/НАР  1/2" ручка (8/64)</t>
  </si>
  <si>
    <t>532.61 руб.</t>
  </si>
  <si>
    <t>ALT-120014</t>
  </si>
  <si>
    <t>T-КШ.303.34.КР.CN</t>
  </si>
  <si>
    <t>Кран шаровой полный проход TEBO НАР/НАР  3/4" ручка (6/48)</t>
  </si>
  <si>
    <t>782.72 руб.</t>
  </si>
  <si>
    <t>ALT-120015</t>
  </si>
  <si>
    <t>T-КШ.303.1.КР.CN</t>
  </si>
  <si>
    <t>Кран шаровой полный проход TEBO НАР/НАР  1" ручка (4/32) (шт.)</t>
  </si>
  <si>
    <t>1 295.50 руб.</t>
  </si>
  <si>
    <t>ALT-120016</t>
  </si>
  <si>
    <t>T-КШ.101.12.КБ.CN</t>
  </si>
  <si>
    <t>Кран шаровой полный проход TEBO ВН/ВН  1/2" бабочка (16/128)</t>
  </si>
  <si>
    <t>479.71 руб.</t>
  </si>
  <si>
    <t>ALT-120017</t>
  </si>
  <si>
    <t>T-КШ.101.34.КБ.CN</t>
  </si>
  <si>
    <t>Кран шаровой полный проход TEBO ВН/ВН  3/4" бабочка (10/80)</t>
  </si>
  <si>
    <t>701.56 руб.</t>
  </si>
  <si>
    <t>ALT-120018</t>
  </si>
  <si>
    <t>T-КШ.101.1.КБ.CN</t>
  </si>
  <si>
    <t>Кран шаровой полный проход TEBO ВН/ВН  1" бабочка (5/40)</t>
  </si>
  <si>
    <t>1 161.43 руб.</t>
  </si>
  <si>
    <t>ALT-120019</t>
  </si>
  <si>
    <t>T-КШ.202.38.КБ.CN</t>
  </si>
  <si>
    <t>Кран шаровой полный проход TEBO ВН/НАР  3/8" бабочка (20/160)</t>
  </si>
  <si>
    <t>352.49 руб.</t>
  </si>
  <si>
    <t>ALT-120020</t>
  </si>
  <si>
    <t>Т-КШ.202.12.КБ.CN</t>
  </si>
  <si>
    <t>Кран шаровой полный проход TEBO ВН/НАР  1/2" бабочка (14/112)</t>
  </si>
  <si>
    <t>499.78 руб.</t>
  </si>
  <si>
    <t>ALT-120021</t>
  </si>
  <si>
    <t>Т-КШ.202.34.КБ.CN</t>
  </si>
  <si>
    <t>Кран шаровой полный проход TEBO ВН/НАР  3/4" бабочка (8/64)</t>
  </si>
  <si>
    <t>731.42 руб.</t>
  </si>
  <si>
    <t>ALT-120022</t>
  </si>
  <si>
    <t>Т-КШ.202.1.КБ.CN</t>
  </si>
  <si>
    <t>Кран шаровой полный проход TEBO ВН/НАР  1" бабочка (5/40)</t>
  </si>
  <si>
    <t>1 231.88 руб.</t>
  </si>
  <si>
    <t>ALT-120023</t>
  </si>
  <si>
    <t>T-КШ.303.12.КБ.CN</t>
  </si>
  <si>
    <t>Кран шаровой полный проход TEBO НАР/НАР  1/2" бабочка (14/112)</t>
  </si>
  <si>
    <t>ALT-120024</t>
  </si>
  <si>
    <t>T-КШ.303.34.КБ.CN</t>
  </si>
  <si>
    <t>Кран шаровой полный проход TEBO НАР/НАР  3/4" бабочка (8/64)</t>
  </si>
  <si>
    <t>755.82 руб.</t>
  </si>
  <si>
    <t>ALT-120025</t>
  </si>
  <si>
    <t>T-КШ.303.1.КБ.CN</t>
  </si>
  <si>
    <t>Кран шаровой полный проход TEBO НАР/НАР  1" бабочка (5/40шт)</t>
  </si>
  <si>
    <t>ALT-120026</t>
  </si>
  <si>
    <t>T-КШ.402.12.КБ.CN</t>
  </si>
  <si>
    <t>Кран шаровой полный проход TEBO с полусгоном  1/2" бабочка (10/80)</t>
  </si>
  <si>
    <t>649.80 руб.</t>
  </si>
  <si>
    <t>ALT-120027</t>
  </si>
  <si>
    <t>T-КШ.402.34.КБ.CN</t>
  </si>
  <si>
    <t>Кран шаровой полный проход TEBO с полусгоном  3/4" бабочка (7/56)</t>
  </si>
  <si>
    <t>994.31 руб.</t>
  </si>
  <si>
    <t>ALT-120028</t>
  </si>
  <si>
    <t>Т-КШ.402.1.КБ.CN</t>
  </si>
  <si>
    <t>Кран шаровой полный проход TEBO с полусгоном  1" бабочка (4/32)</t>
  </si>
  <si>
    <t>1 753.55 руб.</t>
  </si>
  <si>
    <t>ALT-120029</t>
  </si>
  <si>
    <t>T-КШ.402.114.КБ.CN</t>
  </si>
  <si>
    <t>Кран шаровой полный проход TEBO с полусгоном 1.1/4" бабочка (3/24) (шт.)</t>
  </si>
  <si>
    <t>2 626.33 руб.</t>
  </si>
  <si>
    <t>ALT-120030</t>
  </si>
  <si>
    <t>T-КШ.452.12.КБ.CN</t>
  </si>
  <si>
    <t>Кран шаровой полный проход TEBO с полусгоном угловой  1/2" бабочка (7/56)</t>
  </si>
  <si>
    <t>779.99 руб.</t>
  </si>
  <si>
    <t>ALT-120031</t>
  </si>
  <si>
    <t>T-КШ.452.34.КБ.CN</t>
  </si>
  <si>
    <t>Кран шаровой полный проход TEBO с полусгоном угловой  3/4" бабочка (6/48)</t>
  </si>
  <si>
    <t>1 212.50 руб.</t>
  </si>
  <si>
    <t>ALT-120032</t>
  </si>
  <si>
    <t>T-КШ.452.1.КБ.CN</t>
  </si>
  <si>
    <t>Кран шаровой полный проход TEBO с полусгоном угловой  1" бабочка (2/18)</t>
  </si>
  <si>
    <t>2 005.26 руб.</t>
  </si>
  <si>
    <t>ALT-120033</t>
  </si>
  <si>
    <t>T-КШ.402.12.ББ.CN</t>
  </si>
  <si>
    <t>Кран шаровой полный проход TEBO с полусгоном  1/2" белая бабочка (10/80)</t>
  </si>
  <si>
    <t>ALT-120034</t>
  </si>
  <si>
    <t>T-КШ.402.34.ББ.CN</t>
  </si>
  <si>
    <t>Кран шаровой полный проход TEBO с полусгоном  3/4" белая бабочка (7/56)</t>
  </si>
  <si>
    <t>ALT-120035</t>
  </si>
  <si>
    <t>T-КШ.452.12.ББ.CN</t>
  </si>
  <si>
    <t>Кран шаровой полный проход TEBO с полусгоном угловой  1/2" белая бабочка (7/56)</t>
  </si>
  <si>
    <t>ALT-120036</t>
  </si>
  <si>
    <t>T-КШ.452.34.ББ.CN</t>
  </si>
  <si>
    <t>Кран шаровой полный проход TEBO с полусгоном угловой  3/4" белая бабочка (6/48)</t>
  </si>
  <si>
    <t>545.84 руб.</t>
  </si>
  <si>
    <t>ALT-120037</t>
  </si>
  <si>
    <t>T-КШ.Ф.501.12.КР.CN</t>
  </si>
  <si>
    <t>Кран шаровой - фильтр TEBO ВН/ВН 1/2" ручка (6/48)</t>
  </si>
  <si>
    <t>914.96 руб.</t>
  </si>
  <si>
    <t>ALT-120038</t>
  </si>
  <si>
    <t>T-КШ.Ф.501.12.КБ.CN</t>
  </si>
  <si>
    <t>Кран шаровой - фильтр TEBO ВН/ВН 1/2" бабочка (7/56)</t>
  </si>
  <si>
    <t>812.82 руб.</t>
  </si>
  <si>
    <t>ALT-120039</t>
  </si>
  <si>
    <t>T-КШ.Д.505.12.БР.CN</t>
  </si>
  <si>
    <t>Кран шаровой дренажный TEBO НАР 1/2" (14/112)</t>
  </si>
  <si>
    <t>513.68 руб.</t>
  </si>
  <si>
    <t>Краны шаровые РОСТУРПЛАСТ (в инд упаковке)</t>
  </si>
  <si>
    <t>RTP-902016</t>
  </si>
  <si>
    <t>Кран шаровой ручка бабочка, латунь, вн/нар резьба  1/2",PN25 еврослот, никель, RTP (80/1шт)</t>
  </si>
  <si>
    <t>320.70 руб.</t>
  </si>
  <si>
    <t>RTP-902039</t>
  </si>
  <si>
    <t>Кран шаровой ручка бабочка, латунь, вн/нар резьба  1/2",PN40 еврослот, никель, RTP (80/1шт)</t>
  </si>
  <si>
    <t>343.86 руб.</t>
  </si>
  <si>
    <t>Краны шаровые GAPPO</t>
  </si>
  <si>
    <t>GAP-100735</t>
  </si>
  <si>
    <t>G214.04</t>
  </si>
  <si>
    <t>GAPPO Кран шаровой со сгоном 1/2" вн-нар, прямой EPDM бабочка белая (80шт)</t>
  </si>
  <si>
    <t>575.69 руб.</t>
  </si>
  <si>
    <t>GAP-100736</t>
  </si>
  <si>
    <t>G214.05</t>
  </si>
  <si>
    <t>GAPPO Кран шаровой со сгоном 3/4" вн-нар, прямой EPDM бабочка белая (60шт)</t>
  </si>
  <si>
    <t>855.18 руб.</t>
  </si>
  <si>
    <t>GAP-100737</t>
  </si>
  <si>
    <t>G214.06</t>
  </si>
  <si>
    <t>GAPPO Кран шаровой со сгоном 1" вн-нар, прямой EPDM бабочка белая ( / )</t>
  </si>
  <si>
    <t>GAP-100741</t>
  </si>
  <si>
    <t>G215.04</t>
  </si>
  <si>
    <t>GAPPO Кран шаровой со сгоном 1/2" вн-нар, EPDM угловой бабочка белая (80шт)</t>
  </si>
  <si>
    <t>595.43 руб.</t>
  </si>
  <si>
    <t>GAP-100742</t>
  </si>
  <si>
    <t>G215.05</t>
  </si>
  <si>
    <t>GAPPO Кран шаровой со сгоном 3/4" вн-нар, EPDM угловой бабочка белая (60шт)</t>
  </si>
  <si>
    <t>912.90 руб.</t>
  </si>
  <si>
    <t>GAP-100743</t>
  </si>
  <si>
    <t>G215.06</t>
  </si>
  <si>
    <t>GAPPO Кран шаровой со сгоном 1" вн-нар, EPDM угловой бабочка белая ( / )</t>
  </si>
  <si>
    <t>GAP-100747</t>
  </si>
  <si>
    <t>G216.04</t>
  </si>
  <si>
    <t>GAPPO Кран шаровой прямой с накидной гайкой бабочка 1/2" (100шт)</t>
  </si>
  <si>
    <t>481.51 руб.</t>
  </si>
  <si>
    <t>GAP-100748</t>
  </si>
  <si>
    <t>G216.05</t>
  </si>
  <si>
    <t>GAPPO Кран шаровой прямой с накидной гайкой бабочка 3/4" (60шт)</t>
  </si>
  <si>
    <t>710.88 руб.</t>
  </si>
  <si>
    <t>GAP-100749</t>
  </si>
  <si>
    <t>G217.04</t>
  </si>
  <si>
    <t>GAPPO Кран шаровой угловой с накидной гайкой бабочка 1/2" (100шт)</t>
  </si>
  <si>
    <t>524.04 руб.</t>
  </si>
  <si>
    <t>GAP-100750</t>
  </si>
  <si>
    <t>G217.05</t>
  </si>
  <si>
    <t>GAPPO Кран шаровой угловой с накидной гайкой бабочка 3/4" (60шт)</t>
  </si>
  <si>
    <t>757.96 руб.</t>
  </si>
  <si>
    <t>GAP-100751</t>
  </si>
  <si>
    <t>G218.05</t>
  </si>
  <si>
    <t>GAPPO Кран шаровой с амерканкой 3/4" вн-нар, черный маховик, полнопроходной (6/48шт)</t>
  </si>
  <si>
    <t>1 330.83 руб.</t>
  </si>
  <si>
    <t>GAP-100752</t>
  </si>
  <si>
    <t>G219.04</t>
  </si>
  <si>
    <t>GAPPO Кран шаровой с американкой 1/2" вн-нар, бабочка, полнопроходной (10/60шт)</t>
  </si>
  <si>
    <t>607.53 руб.</t>
  </si>
  <si>
    <t>GAP-100753</t>
  </si>
  <si>
    <t>G219.05</t>
  </si>
  <si>
    <t>GAPPO Кран шаровой с американкой 3/4" вн-нар, бабочка, полнопроходной (10/60шт)</t>
  </si>
  <si>
    <t>987.37 руб.</t>
  </si>
  <si>
    <t>GAP-100754</t>
  </si>
  <si>
    <t>G219.06</t>
  </si>
  <si>
    <t>GAPPO Кран шаровой с американкой 1" вн-нар, бабочка, полнопроходной (10/40шт)</t>
  </si>
  <si>
    <t>1 310.86 руб.</t>
  </si>
  <si>
    <t>GAP-100755</t>
  </si>
  <si>
    <t>G224.04</t>
  </si>
  <si>
    <t>GAPPO Кран шаровой 1/2" вн-вн, бабочка, полнопроходной (10/100шт)</t>
  </si>
  <si>
    <t>409.15 руб.</t>
  </si>
  <si>
    <t>GAP-100756</t>
  </si>
  <si>
    <t>G224.05</t>
  </si>
  <si>
    <t>GAPPO Кран шаровой 3/4" вн-вн, бабочка, полнопроходной (10/100шт)</t>
  </si>
  <si>
    <t>614.29 руб.</t>
  </si>
  <si>
    <t>GAP-100757</t>
  </si>
  <si>
    <t>G224.06</t>
  </si>
  <si>
    <t>GAPPO Кран шаровой 1" вн-вн, бабочка, полнопроходной (10/60шт)</t>
  </si>
  <si>
    <t>922.00 руб.</t>
  </si>
  <si>
    <t>GAP-100758</t>
  </si>
  <si>
    <t>G225.04</t>
  </si>
  <si>
    <t>GAPPO Кран шаровой 1/2" нар-вн, бабочка, полнопроходной (10/100шт)</t>
  </si>
  <si>
    <t>433.95 руб.</t>
  </si>
  <si>
    <t>GAP-100759</t>
  </si>
  <si>
    <t>G225.05</t>
  </si>
  <si>
    <t>GAPPO Кран шаровой 3/4" нар-вн, бабочка, полнопроходной (10/100шт)</t>
  </si>
  <si>
    <t>635.71 руб.</t>
  </si>
  <si>
    <t>GAP-100760</t>
  </si>
  <si>
    <t>G225.06</t>
  </si>
  <si>
    <t>GAPPO Кран шаровой 1" нар-вн, бабочка, полнопроходной (10/60шт)</t>
  </si>
  <si>
    <t>980.61 руб.</t>
  </si>
  <si>
    <t>GAP-100761</t>
  </si>
  <si>
    <t>G228.04</t>
  </si>
  <si>
    <t>GAPPO Кран шаровой 1/2" нар-нар, бабочка, полнопроходной (10/100шт)</t>
  </si>
  <si>
    <t>429.44 руб.</t>
  </si>
  <si>
    <t>GAP-100762</t>
  </si>
  <si>
    <t>G228.05</t>
  </si>
  <si>
    <t>GAPPO Кран шаровой 3/4" нар-нар, бабочка, полнопроходной (10/60шт)</t>
  </si>
  <si>
    <t>627.82 руб.</t>
  </si>
  <si>
    <t>GAP-100763</t>
  </si>
  <si>
    <t>G226.04</t>
  </si>
  <si>
    <t>GAPPO Кран шаровой 1/2" вн-вн, рычаг, полнопроходной (10/100шт)</t>
  </si>
  <si>
    <t>432.82 руб.</t>
  </si>
  <si>
    <t>GAP-100764</t>
  </si>
  <si>
    <t>G226.05</t>
  </si>
  <si>
    <t>GAPPO Кран шаровой 3/4" вн-вн, рычаг, полнопроходной (10/60шт)</t>
  </si>
  <si>
    <t>658.25 руб.</t>
  </si>
  <si>
    <t>GAP-100765</t>
  </si>
  <si>
    <t>G226.06</t>
  </si>
  <si>
    <t>GAPPO Кран шаровой 1" вн-вн, рычаг, полнопроходной (10/50шт)</t>
  </si>
  <si>
    <t>959.20 руб.</t>
  </si>
  <si>
    <t>GAP-100766</t>
  </si>
  <si>
    <t>G226.07</t>
  </si>
  <si>
    <t>GAPPO Кран шаровой 1 1/4" вн-вн, рычаг, полнопроходной (6/36шт)</t>
  </si>
  <si>
    <t>1 637.73 руб.</t>
  </si>
  <si>
    <t>GAP-100767</t>
  </si>
  <si>
    <t>G226.08</t>
  </si>
  <si>
    <t>GAPPO Кран шаровой 1 1/2" вн-вн, рычаг, полнопроходной (4/24шт)</t>
  </si>
  <si>
    <t>2 332.05 руб.</t>
  </si>
  <si>
    <t>GAP-100768</t>
  </si>
  <si>
    <t>G226.09</t>
  </si>
  <si>
    <t>GAPPO Кран шаровой 2" вн-вн, рычаг, полнопроходной (2/12шт)</t>
  </si>
  <si>
    <t>3 655.32 руб.</t>
  </si>
  <si>
    <t>GAP-100769</t>
  </si>
  <si>
    <t>G227.04</t>
  </si>
  <si>
    <t>GAPPO Кран шаровой 1/2" вн-нар, рычаг, полнопроходной (10/100шт)</t>
  </si>
  <si>
    <t>456.49 руб.</t>
  </si>
  <si>
    <t>GAP-100770</t>
  </si>
  <si>
    <t>G227.05</t>
  </si>
  <si>
    <t>GAPPO Кран шаровой 3/4" вн-нар, рычаг, полнопроходной (10/60шт)</t>
  </si>
  <si>
    <t>659.38 руб.</t>
  </si>
  <si>
    <t>GAP-100771</t>
  </si>
  <si>
    <t>G227.06</t>
  </si>
  <si>
    <t>GAPPO Кран шаровой 1" вн-нар, рычаг, полнопроходной (10/50шт)</t>
  </si>
  <si>
    <t>1 017.81 руб.</t>
  </si>
  <si>
    <t>GAP-100772</t>
  </si>
  <si>
    <t>G227.07</t>
  </si>
  <si>
    <t>GAPPO Кран шаровой 1 1/4" вн-нар, рычаг, полнопроходной (6/36шт)</t>
  </si>
  <si>
    <t>1 699.73 руб.</t>
  </si>
  <si>
    <t>GAP-100773</t>
  </si>
  <si>
    <t>G229.04</t>
  </si>
  <si>
    <t>GAPPO Кран шаровой 1/2" нар-нар, рычаг, полнопроходной (10/100шт)</t>
  </si>
  <si>
    <t>448.60 руб.</t>
  </si>
  <si>
    <t>GAP-100774</t>
  </si>
  <si>
    <t>G229.05</t>
  </si>
  <si>
    <t>GAPPO Кран шаровой 3/4" нар-нар, рычаг, полнопроходной (10/60шт)</t>
  </si>
  <si>
    <t>644.72 руб.</t>
  </si>
  <si>
    <t>GAP-100775</t>
  </si>
  <si>
    <t>G229.06</t>
  </si>
  <si>
    <t>GAPPO Кран шаровой 1"нар-нар, рычаг, полнопроходной (10/50шт)</t>
  </si>
  <si>
    <t>GAP-100786</t>
  </si>
  <si>
    <t>G244.0404</t>
  </si>
  <si>
    <t>GAPPO Кран шаровой угловой для подкл. с/т приборов 1/2" х 1/2" (10/100шт)</t>
  </si>
  <si>
    <t>347.67 руб.</t>
  </si>
  <si>
    <t>GAP-100787</t>
  </si>
  <si>
    <t>G244.0405</t>
  </si>
  <si>
    <t>GAPPO Кран шаровой угловой для подкл. с/т приборов 1/2" х 3/4" (10/100шт)</t>
  </si>
  <si>
    <t>368.41 руб.</t>
  </si>
  <si>
    <t>GAP-100788</t>
  </si>
  <si>
    <t>G245.0405</t>
  </si>
  <si>
    <t>GAPPO Кран шаровой проходной для ст.машины 1/2"х3/4"х1/2 (10/100шт)</t>
  </si>
  <si>
    <t>371.38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</si>
</sst>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37a221d_86a5_11e9_8101_003048fd731b_d2eca8dc_2820_11ed_a30f_00259070b4871.jpeg"/><Relationship Id="rId2" Type="http://schemas.openxmlformats.org/officeDocument/2006/relationships/image" Target="../media/437a2221_86a5_11e9_8101_003048fd731b_d2eca8dd_2820_11ed_a30f_00259070b4872.jpeg"/><Relationship Id="rId3" Type="http://schemas.openxmlformats.org/officeDocument/2006/relationships/image" Target="../media/437a2225_86a5_11e9_8101_003048fd731b_d2eca8de_2820_11ed_a30f_00259070b4873.jpeg"/><Relationship Id="rId4" Type="http://schemas.openxmlformats.org/officeDocument/2006/relationships/image" Target="../media/437a2229_86a5_11e9_8101_003048fd731b_d2eca8df_2820_11ed_a30f_00259070b4874.jpeg"/><Relationship Id="rId5" Type="http://schemas.openxmlformats.org/officeDocument/2006/relationships/image" Target="../media/437a222d_86a5_11e9_8101_003048fd731b_d2eca8e0_2820_11ed_a30f_00259070b4875.jpeg"/><Relationship Id="rId6" Type="http://schemas.openxmlformats.org/officeDocument/2006/relationships/image" Target="../media/437a2231_86a5_11e9_8101_003048fd731b_d2eca8e1_2820_11ed_a30f_00259070b4876.jpeg"/><Relationship Id="rId7" Type="http://schemas.openxmlformats.org/officeDocument/2006/relationships/image" Target="../media/29dd4e17_ba6d_11e9_8105_003048fd731b_d2eca8e2_2820_11ed_a30f_00259070b4877.jpeg"/><Relationship Id="rId8" Type="http://schemas.openxmlformats.org/officeDocument/2006/relationships/image" Target="../media/29dd4e19_ba6d_11e9_8105_003048fd731b_d2eca8e3_2820_11ed_a30f_00259070b4878.jpeg"/><Relationship Id="rId9" Type="http://schemas.openxmlformats.org/officeDocument/2006/relationships/image" Target="../media/9778552d_d539_11e9_8109_003048fd731b_d2eca8e4_2820_11ed_a30f_00259070b4879.jpeg"/><Relationship Id="rId10" Type="http://schemas.openxmlformats.org/officeDocument/2006/relationships/image" Target="../media/4e579de0_de3a_11e9_810a_003048fd731b_a26f33f0_7c1e_11f0_a7a3_047c1617b14310.jpeg"/><Relationship Id="rId11" Type="http://schemas.openxmlformats.org/officeDocument/2006/relationships/image" Target="../media/4e579de2_de3a_11e9_810a_003048fd731b_a26f33f1_7c1e_11f0_a7a3_047c1617b14311.jpeg"/><Relationship Id="rId12" Type="http://schemas.openxmlformats.org/officeDocument/2006/relationships/image" Target="../media/97785535_d539_11e9_8109_003048fd731b_a26f33ef_7c1e_11f0_a7a3_047c1617b14312.jpeg"/><Relationship Id="rId13" Type="http://schemas.openxmlformats.org/officeDocument/2006/relationships/image" Target="../media/3d0cfd58_86a5_11e9_8101_003048fd731b_c530e0e6_2820_11ed_a30f_00259070b48713.jpeg"/><Relationship Id="rId14" Type="http://schemas.openxmlformats.org/officeDocument/2006/relationships/image" Target="../media/3d0cfd5c_86a5_11e9_8101_003048fd731b_c530e0ea_2820_11ed_a30f_00259070b48714.jpeg"/><Relationship Id="rId15" Type="http://schemas.openxmlformats.org/officeDocument/2006/relationships/image" Target="../media/3d0cfd60_86a5_11e9_8101_003048fd731b_c530e0ee_2820_11ed_a30f_00259070b48715.jpeg"/><Relationship Id="rId16" Type="http://schemas.openxmlformats.org/officeDocument/2006/relationships/image" Target="../media/3d0cfd64_86a5_11e9_8101_003048fd731b_c530e0f2_2820_11ed_a30f_00259070b48716.jpeg"/><Relationship Id="rId17" Type="http://schemas.openxmlformats.org/officeDocument/2006/relationships/image" Target="../media/3d0cfd68_86a5_11e9_8101_003048fd731b_c530e0f6_2820_11ed_a30f_00259070b48717.jpeg"/><Relationship Id="rId18" Type="http://schemas.openxmlformats.org/officeDocument/2006/relationships/image" Target="../media/3d0cfd6c_86a5_11e9_8101_003048fd731b_c530e0fa_2820_11ed_a30f_00259070b48718.jpeg"/><Relationship Id="rId19" Type="http://schemas.openxmlformats.org/officeDocument/2006/relationships/image" Target="../media/3d0cfd70_86a5_11e9_8101_003048fd731b_c530e0fe_2820_11ed_a30f_00259070b48719.jpeg"/><Relationship Id="rId20" Type="http://schemas.openxmlformats.org/officeDocument/2006/relationships/image" Target="../media/3d0cfd74_86a5_11e9_8101_003048fd731b_c530e102_2820_11ed_a30f_00259070b48720.jpeg"/><Relationship Id="rId21" Type="http://schemas.openxmlformats.org/officeDocument/2006/relationships/image" Target="../media/3d0cfd78_86a5_11e9_8101_003048fd731b_c530e106_2820_11ed_a30f_00259070b48721.jpeg"/><Relationship Id="rId22" Type="http://schemas.openxmlformats.org/officeDocument/2006/relationships/image" Target="../media/3d0cfd7c_86a5_11e9_8101_003048fd731b_c530e10a_2820_11ed_a30f_00259070b48722.jpeg"/><Relationship Id="rId23" Type="http://schemas.openxmlformats.org/officeDocument/2006/relationships/image" Target="../media/3d0cfd80_86a5_11e9_8101_003048fd731b_c530e10e_2820_11ed_a30f_00259070b48723.jpeg"/><Relationship Id="rId24" Type="http://schemas.openxmlformats.org/officeDocument/2006/relationships/image" Target="../media/370cf68e_86a5_11e9_8101_003048fd731b_c530e112_2820_11ed_a30f_00259070b48724.jpeg"/><Relationship Id="rId25" Type="http://schemas.openxmlformats.org/officeDocument/2006/relationships/image" Target="../media/370cf692_86a5_11e9_8101_003048fd731b_c530e116_2820_11ed_a30f_00259070b48725.jpeg"/><Relationship Id="rId26" Type="http://schemas.openxmlformats.org/officeDocument/2006/relationships/image" Target="../media/370cf696_86a5_11e9_8101_003048fd731b_c530e11a_2820_11ed_a30f_00259070b48726.jpeg"/><Relationship Id="rId27" Type="http://schemas.openxmlformats.org/officeDocument/2006/relationships/image" Target="../media/370cf69a_86a5_11e9_8101_003048fd731b_c530e11e_2820_11ed_a30f_00259070b48727.jpeg"/><Relationship Id="rId28" Type="http://schemas.openxmlformats.org/officeDocument/2006/relationships/image" Target="../media/370cf69e_86a5_11e9_8101_003048fd731b_c530e122_2820_11ed_a30f_00259070b48728.jpeg"/><Relationship Id="rId29" Type="http://schemas.openxmlformats.org/officeDocument/2006/relationships/image" Target="../media/370cf6a2_86a5_11e9_8101_003048fd731b_c530e126_2820_11ed_a30f_00259070b48729.jpeg"/><Relationship Id="rId30" Type="http://schemas.openxmlformats.org/officeDocument/2006/relationships/image" Target="../media/370cf6a6_86a5_11e9_8101_003048fd731b_c530e12a_2820_11ed_a30f_00259070b48730.jpeg"/><Relationship Id="rId31" Type="http://schemas.openxmlformats.org/officeDocument/2006/relationships/image" Target="../media/370cf6a9_86a5_11e9_8101_003048fd731b_c530e12e_2820_11ed_a30f_00259070b48731.jpeg"/><Relationship Id="rId32" Type="http://schemas.openxmlformats.org/officeDocument/2006/relationships/image" Target="../media/370cf6ac_86a5_11e9_8101_003048fd731b_c530e132_2820_11ed_a30f_00259070b48732.jpeg"/><Relationship Id="rId33" Type="http://schemas.openxmlformats.org/officeDocument/2006/relationships/image" Target="../media/370cf6af_86a5_11e9_8101_003048fd731b_c530e136_2820_11ed_a30f_00259070b48733.jpeg"/><Relationship Id="rId34" Type="http://schemas.openxmlformats.org/officeDocument/2006/relationships/image" Target="../media/370cf6b3_86a5_11e9_8101_003048fd731b_c530e13a_2820_11ed_a30f_00259070b48734.jpeg"/><Relationship Id="rId35" Type="http://schemas.openxmlformats.org/officeDocument/2006/relationships/image" Target="../media/370cf6b7_86a5_11e9_8101_003048fd731b_c530e13e_2820_11ed_a30f_00259070b48735.jpeg"/><Relationship Id="rId36" Type="http://schemas.openxmlformats.org/officeDocument/2006/relationships/image" Target="../media/370cf6bb_86a5_11e9_8101_003048fd731b_c530e142_2820_11ed_a30f_00259070b48736.jpeg"/><Relationship Id="rId37" Type="http://schemas.openxmlformats.org/officeDocument/2006/relationships/image" Target="../media/370cf6bf_86a5_11e9_8101_003048fd731b_c530e146_2820_11ed_a30f_00259070b48737.jpeg"/><Relationship Id="rId38" Type="http://schemas.openxmlformats.org/officeDocument/2006/relationships/image" Target="../media/370cf6c3_86a5_11e9_8101_003048fd731b_c530e14a_2820_11ed_a30f_00259070b48738.jpeg"/><Relationship Id="rId39" Type="http://schemas.openxmlformats.org/officeDocument/2006/relationships/image" Target="../media/370cf6c7_86a5_11e9_8101_003048fd731b_c530e14e_2820_11ed_a30f_00259070b48739.jpeg"/><Relationship Id="rId40" Type="http://schemas.openxmlformats.org/officeDocument/2006/relationships/image" Target="../media/370cf6cb_86a5_11e9_8101_003048fd731b_c530e152_2820_11ed_a30f_00259070b48740.jpeg"/><Relationship Id="rId41" Type="http://schemas.openxmlformats.org/officeDocument/2006/relationships/image" Target="../media/370cf6cf_86a5_11e9_8101_003048fd731b_c530e156_2820_11ed_a30f_00259070b48741.jpeg"/><Relationship Id="rId42" Type="http://schemas.openxmlformats.org/officeDocument/2006/relationships/image" Target="../media/370cf6d3_86a5_11e9_8101_003048fd731b_c530e15a_2820_11ed_a30f_00259070b48742.jpeg"/><Relationship Id="rId43" Type="http://schemas.openxmlformats.org/officeDocument/2006/relationships/image" Target="../media/370cf6d7_86a5_11e9_8101_003048fd731b_c530e15e_2820_11ed_a30f_00259070b48743.jpeg"/><Relationship Id="rId44" Type="http://schemas.openxmlformats.org/officeDocument/2006/relationships/image" Target="../media/370cf6db_86a5_11e9_8101_003048fd731b_c530e162_2820_11ed_a30f_00259070b48744.jpeg"/><Relationship Id="rId45" Type="http://schemas.openxmlformats.org/officeDocument/2006/relationships/image" Target="../media/370cf6df_86a5_11e9_8101_003048fd731b_c530e166_2820_11ed_a30f_00259070b48745.jpeg"/><Relationship Id="rId46" Type="http://schemas.openxmlformats.org/officeDocument/2006/relationships/image" Target="../media/370cf6e3_86a5_11e9_8101_003048fd731b_c530e16a_2820_11ed_a30f_00259070b48746.jpeg"/><Relationship Id="rId47" Type="http://schemas.openxmlformats.org/officeDocument/2006/relationships/image" Target="../media/370cf6e7_86a5_11e9_8101_003048fd731b_c530e16e_2820_11ed_a30f_00259070b48747.jpeg"/><Relationship Id="rId48" Type="http://schemas.openxmlformats.org/officeDocument/2006/relationships/image" Target="../media/370cf6eb_86a5_11e9_8101_003048fd731b_c530e172_2820_11ed_a30f_00259070b48748.jpeg"/><Relationship Id="rId49" Type="http://schemas.openxmlformats.org/officeDocument/2006/relationships/image" Target="../media/370cf6ef_86a5_11e9_8101_003048fd731b_c530e176_2820_11ed_a30f_00259070b48749.jpeg"/><Relationship Id="rId50" Type="http://schemas.openxmlformats.org/officeDocument/2006/relationships/image" Target="../media/370cf6f3_86a5_11e9_8101_003048fd731b_c530e17a_2820_11ed_a30f_00259070b48750.jpeg"/><Relationship Id="rId51" Type="http://schemas.openxmlformats.org/officeDocument/2006/relationships/image" Target="../media/370cf6f7_86a5_11e9_8101_003048fd731b_c530e17e_2820_11ed_a30f_00259070b48751.jpeg"/><Relationship Id="rId52" Type="http://schemas.openxmlformats.org/officeDocument/2006/relationships/image" Target="../media/370cf6fb_86a5_11e9_8101_003048fd731b_c530e182_2820_11ed_a30f_00259070b48752.jpeg"/><Relationship Id="rId53" Type="http://schemas.openxmlformats.org/officeDocument/2006/relationships/image" Target="../media/370cf6ff_86a5_11e9_8101_003048fd731b_c530e186_2820_11ed_a30f_00259070b48753.jpeg"/><Relationship Id="rId54" Type="http://schemas.openxmlformats.org/officeDocument/2006/relationships/image" Target="../media/370cf703_86a5_11e9_8101_003048fd731b_c530e18a_2820_11ed_a30f_00259070b48754.jpeg"/><Relationship Id="rId55" Type="http://schemas.openxmlformats.org/officeDocument/2006/relationships/image" Target="../media/370cf707_86a5_11e9_8101_003048fd731b_c530e18e_2820_11ed_a30f_00259070b48755.jpeg"/><Relationship Id="rId56" Type="http://schemas.openxmlformats.org/officeDocument/2006/relationships/image" Target="../media/370cf70b_86a5_11e9_8101_003048fd731b_c530e192_2820_11ed_a30f_00259070b48756.jpeg"/><Relationship Id="rId57" Type="http://schemas.openxmlformats.org/officeDocument/2006/relationships/image" Target="../media/370cf70f_86a5_11e9_8101_003048fd731b_c530e196_2820_11ed_a30f_00259070b48757.jpeg"/><Relationship Id="rId58" Type="http://schemas.openxmlformats.org/officeDocument/2006/relationships/image" Target="../media/370cf713_86a5_11e9_8101_003048fd731b_c530e19a_2820_11ed_a30f_00259070b48758.jpeg"/><Relationship Id="rId59" Type="http://schemas.openxmlformats.org/officeDocument/2006/relationships/image" Target="../media/370cf717_86a5_11e9_8101_003048fd731b_c530e19e_2820_11ed_a30f_00259070b48759.jpeg"/><Relationship Id="rId60" Type="http://schemas.openxmlformats.org/officeDocument/2006/relationships/image" Target="../media/370cf71b_86a5_11e9_8101_003048fd731b_c530e1a2_2820_11ed_a30f_00259070b48760.jpeg"/><Relationship Id="rId61" Type="http://schemas.openxmlformats.org/officeDocument/2006/relationships/image" Target="../media/370cf71f_86a5_11e9_8101_003048fd731b_c530e1a6_2820_11ed_a30f_00259070b48761.jpeg"/><Relationship Id="rId62" Type="http://schemas.openxmlformats.org/officeDocument/2006/relationships/image" Target="../media/370cf723_86a5_11e9_8101_003048fd731b_c530e1aa_2820_11ed_a30f_00259070b48762.jpeg"/><Relationship Id="rId63" Type="http://schemas.openxmlformats.org/officeDocument/2006/relationships/image" Target="../media/370cf727_86a5_11e9_8101_003048fd731b_c530e1ae_2820_11ed_a30f_00259070b48763.jpeg"/><Relationship Id="rId64" Type="http://schemas.openxmlformats.org/officeDocument/2006/relationships/image" Target="../media/370cf72b_86a5_11e9_8101_003048fd731b_c530e1b2_2820_11ed_a30f_00259070b48764.jpeg"/><Relationship Id="rId65" Type="http://schemas.openxmlformats.org/officeDocument/2006/relationships/image" Target="../media/370cf72f_86a5_11e9_8101_003048fd731b_c530e1b6_2820_11ed_a30f_00259070b48765.jpeg"/><Relationship Id="rId66" Type="http://schemas.openxmlformats.org/officeDocument/2006/relationships/image" Target="../media/370cf733_86a5_11e9_8101_003048fd731b_c530e1ba_2820_11ed_a30f_00259070b48766.jpeg"/><Relationship Id="rId67" Type="http://schemas.openxmlformats.org/officeDocument/2006/relationships/image" Target="../media/370cf737_86a5_11e9_8101_003048fd731b_cbe1917f_2820_11ed_a30f_00259070b48767.jpeg"/><Relationship Id="rId68" Type="http://schemas.openxmlformats.org/officeDocument/2006/relationships/image" Target="../media/370cf73b_86a5_11e9_8101_003048fd731b_cbe19183_2820_11ed_a30f_00259070b48768.jpeg"/><Relationship Id="rId69" Type="http://schemas.openxmlformats.org/officeDocument/2006/relationships/image" Target="../media/370cf73f_86a5_11e9_8101_003048fd731b_cbe19187_2820_11ed_a30f_00259070b48769.jpeg"/><Relationship Id="rId70" Type="http://schemas.openxmlformats.org/officeDocument/2006/relationships/image" Target="../media/370cf743_86a5_11e9_8101_003048fd731b_cbe1918b_2820_11ed_a30f_00259070b48770.jpeg"/><Relationship Id="rId71" Type="http://schemas.openxmlformats.org/officeDocument/2006/relationships/image" Target="../media/370cf747_86a5_11e9_8101_003048fd731b_cbe1918f_2820_11ed_a30f_00259070b48771.jpeg"/><Relationship Id="rId72" Type="http://schemas.openxmlformats.org/officeDocument/2006/relationships/image" Target="../media/370cf74b_86a5_11e9_8101_003048fd731b_cbe19193_2820_11ed_a30f_00259070b48772.jpeg"/><Relationship Id="rId73" Type="http://schemas.openxmlformats.org/officeDocument/2006/relationships/image" Target="../media/370cf74f_86a5_11e9_8101_003048fd731b_cbe19197_2820_11ed_a30f_00259070b48773.jpeg"/><Relationship Id="rId74" Type="http://schemas.openxmlformats.org/officeDocument/2006/relationships/image" Target="../media/370cf753_86a5_11e9_8101_003048fd731b_cbe1919b_2820_11ed_a30f_00259070b48774.jpeg"/><Relationship Id="rId75" Type="http://schemas.openxmlformats.org/officeDocument/2006/relationships/image" Target="../media/370cf757_86a5_11e9_8101_003048fd731b_cbe1919f_2820_11ed_a30f_00259070b48775.jpeg"/><Relationship Id="rId76" Type="http://schemas.openxmlformats.org/officeDocument/2006/relationships/image" Target="../media/370cf75b_86a5_11e9_8101_003048fd731b_cbe191a3_2820_11ed_a30f_00259070b48776.jpeg"/><Relationship Id="rId77" Type="http://schemas.openxmlformats.org/officeDocument/2006/relationships/image" Target="../media/370cf75f_86a5_11e9_8101_003048fd731b_cbe191a7_2820_11ed_a30f_00259070b48777.jpeg"/><Relationship Id="rId78" Type="http://schemas.openxmlformats.org/officeDocument/2006/relationships/image" Target="../media/370cf763_86a5_11e9_8101_003048fd731b_cbe191ab_2820_11ed_a30f_00259070b48778.jpeg"/><Relationship Id="rId79" Type="http://schemas.openxmlformats.org/officeDocument/2006/relationships/image" Target="../media/370cf766_86a5_11e9_8101_003048fd731b_cbe191af_2820_11ed_a30f_00259070b48779.jpeg"/><Relationship Id="rId80" Type="http://schemas.openxmlformats.org/officeDocument/2006/relationships/image" Target="../media/370cf769_86a5_11e9_8101_003048fd731b_cbe191b3_2820_11ed_a30f_00259070b48780.jpeg"/><Relationship Id="rId81" Type="http://schemas.openxmlformats.org/officeDocument/2006/relationships/image" Target="../media/370cf76d_86a5_11e9_8101_003048fd731b_cbe191b7_2820_11ed_a30f_00259070b48781.jpeg"/><Relationship Id="rId82" Type="http://schemas.openxmlformats.org/officeDocument/2006/relationships/image" Target="../media/370cf771_86a5_11e9_8101_003048fd731b_cbe191bb_2820_11ed_a30f_00259070b48782.jpeg"/><Relationship Id="rId83" Type="http://schemas.openxmlformats.org/officeDocument/2006/relationships/image" Target="../media/370cf775_86a5_11e9_8101_003048fd731b_cbe191bf_2820_11ed_a30f_00259070b48783.jpeg"/><Relationship Id="rId84" Type="http://schemas.openxmlformats.org/officeDocument/2006/relationships/image" Target="../media/370cf779_86a5_11e9_8101_003048fd731b_cbe191c3_2820_11ed_a30f_00259070b48784.jpeg"/><Relationship Id="rId85" Type="http://schemas.openxmlformats.org/officeDocument/2006/relationships/image" Target="../media/370cf77d_86a5_11e9_8101_003048fd731b_cbe191c7_2820_11ed_a30f_00259070b48785.jpeg"/><Relationship Id="rId86" Type="http://schemas.openxmlformats.org/officeDocument/2006/relationships/image" Target="../media/370cf781_86a5_11e9_8101_003048fd731b_cbe191cb_2820_11ed_a30f_00259070b48786.jpeg"/><Relationship Id="rId87" Type="http://schemas.openxmlformats.org/officeDocument/2006/relationships/image" Target="../media/370cf785_86a5_11e9_8101_003048fd731b_cbe191cf_2820_11ed_a30f_00259070b48787.jpeg"/><Relationship Id="rId88" Type="http://schemas.openxmlformats.org/officeDocument/2006/relationships/image" Target="../media/370cf789_86a5_11e9_8101_003048fd731b_cbe191d3_2820_11ed_a30f_00259070b48788.jpeg"/><Relationship Id="rId89" Type="http://schemas.openxmlformats.org/officeDocument/2006/relationships/image" Target="../media/3d0cfd1a_86a5_11e9_8101_003048fd731b_cbe191d7_2820_11ed_a30f_00259070b48789.jpeg"/><Relationship Id="rId90" Type="http://schemas.openxmlformats.org/officeDocument/2006/relationships/image" Target="../media/3d0cfd1e_86a5_11e9_8101_003048fd731b_cbe191db_2820_11ed_a30f_00259070b48790.jpeg"/><Relationship Id="rId91" Type="http://schemas.openxmlformats.org/officeDocument/2006/relationships/image" Target="../media/3d0cfd22_86a5_11e9_8101_003048fd731b_cbe191df_2820_11ed_a30f_00259070b48791.jpeg"/><Relationship Id="rId92" Type="http://schemas.openxmlformats.org/officeDocument/2006/relationships/image" Target="../media/3d0cfd26_86a5_11e9_8101_003048fd731b_57339629_f953_11e9_810b_003048fd731b92.jpeg"/><Relationship Id="rId93" Type="http://schemas.openxmlformats.org/officeDocument/2006/relationships/image" Target="../media/3d0cfd29_86a5_11e9_8101_003048fd731b_5733962a_f953_11e9_810b_003048fd731b93.jpeg"/><Relationship Id="rId94" Type="http://schemas.openxmlformats.org/officeDocument/2006/relationships/image" Target="../media/3d0cfd2c_86a5_11e9_8101_003048fd731b_cbe191e3_2820_11ed_a30f_00259070b48794.jpeg"/><Relationship Id="rId95" Type="http://schemas.openxmlformats.org/officeDocument/2006/relationships/image" Target="../media/3d0cfd30_86a5_11e9_8101_003048fd731b_cbe191e7_2820_11ed_a30f_00259070b48795.jpeg"/><Relationship Id="rId96" Type="http://schemas.openxmlformats.org/officeDocument/2006/relationships/image" Target="../media/3d0cfd34_86a5_11e9_8101_003048fd731b_cbe191eb_2820_11ed_a30f_00259070b48796.jpeg"/><Relationship Id="rId97" Type="http://schemas.openxmlformats.org/officeDocument/2006/relationships/image" Target="../media/3d0cfd38_86a5_11e9_8101_003048fd731b_cbe191ef_2820_11ed_a30f_00259070b48797.jpeg"/><Relationship Id="rId98" Type="http://schemas.openxmlformats.org/officeDocument/2006/relationships/image" Target="../media/3d0cfd3c_86a5_11e9_8101_003048fd731b_cbe191f3_2820_11ed_a30f_00259070b48798.jpeg"/><Relationship Id="rId99" Type="http://schemas.openxmlformats.org/officeDocument/2006/relationships/image" Target="../media/3d0cfd40_86a5_11e9_8101_003048fd731b_cbe191f7_2820_11ed_a30f_00259070b48799.jpeg"/><Relationship Id="rId100" Type="http://schemas.openxmlformats.org/officeDocument/2006/relationships/image" Target="../media/3d0cfd44_86a5_11e9_8101_003048fd731b_cbe191fb_2820_11ed_a30f_00259070b487100.jpeg"/><Relationship Id="rId101" Type="http://schemas.openxmlformats.org/officeDocument/2006/relationships/image" Target="../media/3d0cfd48_86a5_11e9_8101_003048fd731b_cbe191ff_2820_11ed_a30f_00259070b487101.jpeg"/><Relationship Id="rId102" Type="http://schemas.openxmlformats.org/officeDocument/2006/relationships/image" Target="../media/3d0cfd4c_86a5_11e9_8101_003048fd731b_cbe19203_2820_11ed_a30f_00259070b487102.jpeg"/><Relationship Id="rId103" Type="http://schemas.openxmlformats.org/officeDocument/2006/relationships/image" Target="../media/3d0cfd50_86a5_11e9_8101_003048fd731b_cbe19207_2820_11ed_a30f_00259070b487103.jpeg"/><Relationship Id="rId104" Type="http://schemas.openxmlformats.org/officeDocument/2006/relationships/image" Target="../media/ccf1937d_ffba_11e9_810b_003048fd731b_cbe1920b_2820_11ed_a30f_00259070b487104.jpeg"/><Relationship Id="rId105" Type="http://schemas.openxmlformats.org/officeDocument/2006/relationships/image" Target="../media/b33536b1_3462_11eb_81f3_003048fd731b_cbe1920f_2820_11ed_a30f_00259070b487105.jpeg"/><Relationship Id="rId106" Type="http://schemas.openxmlformats.org/officeDocument/2006/relationships/image" Target="../media/3a76c3ab_0b65_11ec_831e_003048fd731b_cbe19213_2820_11ed_a30f_00259070b487106.jpeg"/><Relationship Id="rId107" Type="http://schemas.openxmlformats.org/officeDocument/2006/relationships/image" Target="../media/3a76c3ad_0b65_11ec_831e_003048fd731b_cbe19217_2820_11ed_a30f_00259070b487107.jpeg"/><Relationship Id="rId108" Type="http://schemas.openxmlformats.org/officeDocument/2006/relationships/image" Target="../media/3a76c3af_0b65_11ec_831e_003048fd731b_cbe1921b_2820_11ed_a30f_00259070b487108.jpeg"/><Relationship Id="rId109" Type="http://schemas.openxmlformats.org/officeDocument/2006/relationships/image" Target="../media/3a76c3b1_0b65_11ec_831e_003048fd731b_cbe1921f_2820_11ed_a30f_00259070b487109.jpeg"/><Relationship Id="rId110" Type="http://schemas.openxmlformats.org/officeDocument/2006/relationships/image" Target="../media/3a76c3b3_0b65_11ec_831e_003048fd731b_cbe19223_2820_11ed_a30f_00259070b487110.jpeg"/><Relationship Id="rId111" Type="http://schemas.openxmlformats.org/officeDocument/2006/relationships/image" Target="../media/3d0cfd85_86a5_11e9_8101_003048fd731b_cbe19227_2820_11ed_a30f_00259070b487111.jpeg"/><Relationship Id="rId112" Type="http://schemas.openxmlformats.org/officeDocument/2006/relationships/image" Target="../media/3d0cfd89_86a5_11e9_8101_003048fd731b_cbe1922b_2820_11ed_a30f_00259070b487112.jpeg"/><Relationship Id="rId113" Type="http://schemas.openxmlformats.org/officeDocument/2006/relationships/image" Target="../media/3d0cfd8d_86a5_11e9_8101_003048fd731b_cbe1922f_2820_11ed_a30f_00259070b487113.jpeg"/><Relationship Id="rId114" Type="http://schemas.openxmlformats.org/officeDocument/2006/relationships/image" Target="../media/3d0cfd91_86a5_11e9_8101_003048fd731b_cbe19233_2820_11ed_a30f_00259070b487114.jpeg"/><Relationship Id="rId115" Type="http://schemas.openxmlformats.org/officeDocument/2006/relationships/image" Target="../media/3d0cfd95_86a5_11e9_8101_003048fd731b_cbe19237_2820_11ed_a30f_00259070b487115.jpeg"/><Relationship Id="rId116" Type="http://schemas.openxmlformats.org/officeDocument/2006/relationships/image" Target="../media/3d0cfd99_86a5_11e9_8101_003048fd731b_cbe1923b_2820_11ed_a30f_00259070b487116.jpeg"/><Relationship Id="rId117" Type="http://schemas.openxmlformats.org/officeDocument/2006/relationships/image" Target="../media/36303af8_3acc_11ec_8367_003048fd731b_d2eca871_2820_11ed_a30f_00259070b487117.jpeg"/><Relationship Id="rId118" Type="http://schemas.openxmlformats.org/officeDocument/2006/relationships/image" Target="../media/36303afa_3acc_11ec_8367_003048fd731b_d2eca875_2820_11ed_a30f_00259070b487118.jpeg"/><Relationship Id="rId119" Type="http://schemas.openxmlformats.org/officeDocument/2006/relationships/image" Target="../media/36303afc_3acc_11ec_8367_003048fd731b_d2eca879_2820_11ed_a30f_00259070b487119.jpeg"/><Relationship Id="rId120" Type="http://schemas.openxmlformats.org/officeDocument/2006/relationships/image" Target="../media/36303afe_3acc_11ec_8367_003048fd731b_d2eca87d_2820_11ed_a30f_00259070b487120.jpeg"/><Relationship Id="rId121" Type="http://schemas.openxmlformats.org/officeDocument/2006/relationships/image" Target="../media/36303b00_3acc_11ec_8367_003048fd731b_d2eca881_2820_11ed_a30f_00259070b487121.jpeg"/><Relationship Id="rId122" Type="http://schemas.openxmlformats.org/officeDocument/2006/relationships/image" Target="../media/36303b02_3acc_11ec_8367_003048fd731b_d2eca885_2820_11ed_a30f_00259070b487122.jpeg"/><Relationship Id="rId123" Type="http://schemas.openxmlformats.org/officeDocument/2006/relationships/image" Target="../media/36303b04_3acc_11ec_8367_003048fd731b_d2eca889_2820_11ed_a30f_00259070b487123.jpeg"/><Relationship Id="rId124" Type="http://schemas.openxmlformats.org/officeDocument/2006/relationships/image" Target="../media/36303b06_3acc_11ec_8367_003048fd731b_d2eca88d_2820_11ed_a30f_00259070b487124.jpeg"/><Relationship Id="rId125" Type="http://schemas.openxmlformats.org/officeDocument/2006/relationships/image" Target="../media/36303b08_3acc_11ec_8367_003048fd731b_d2eca891_2820_11ed_a30f_00259070b487125.jpeg"/><Relationship Id="rId126" Type="http://schemas.openxmlformats.org/officeDocument/2006/relationships/image" Target="../media/fed9789b_46f7_11ec_8393_003048fd731b_d2eca895_2820_11ed_a30f_00259070b487126.jpeg"/><Relationship Id="rId127" Type="http://schemas.openxmlformats.org/officeDocument/2006/relationships/image" Target="../media/fed9789d_46f7_11ec_8393_003048fd731b_d2eca899_2820_11ed_a30f_00259070b487127.jpeg"/><Relationship Id="rId128" Type="http://schemas.openxmlformats.org/officeDocument/2006/relationships/image" Target="../media/fed9789f_46f7_11ec_8393_003048fd731b_d2eca89d_2820_11ed_a30f_00259070b487128.jpeg"/><Relationship Id="rId129" Type="http://schemas.openxmlformats.org/officeDocument/2006/relationships/image" Target="../media/fed978a1_46f7_11ec_8393_003048fd731b_d2eca8a1_2820_11ed_a30f_00259070b487129.jpeg"/><Relationship Id="rId130" Type="http://schemas.openxmlformats.org/officeDocument/2006/relationships/image" Target="../media/3d0cfd9e_86a5_11e9_8101_003048fd731b_cbe1923f_2820_11ed_a30f_00259070b487130.jpeg"/><Relationship Id="rId131" Type="http://schemas.openxmlformats.org/officeDocument/2006/relationships/image" Target="../media/3d0cfda2_86a5_11e9_8101_003048fd731b_cbe19243_2820_11ed_a30f_00259070b487131.jpeg"/><Relationship Id="rId132" Type="http://schemas.openxmlformats.org/officeDocument/2006/relationships/image" Target="../media/3d0cfda6_86a5_11e9_8101_003048fd731b_cbe19247_2820_11ed_a30f_00259070b487132.jpeg"/><Relationship Id="rId133" Type="http://schemas.openxmlformats.org/officeDocument/2006/relationships/image" Target="../media/3d0cfdaa_86a5_11e9_8101_003048fd731b_cbe1924b_2820_11ed_a30f_00259070b487133.jpeg"/><Relationship Id="rId134" Type="http://schemas.openxmlformats.org/officeDocument/2006/relationships/image" Target="../media/3d0cfdae_86a5_11e9_8101_003048fd731b_cbe1924f_2820_11ed_a30f_00259070b487134.jpeg"/><Relationship Id="rId135" Type="http://schemas.openxmlformats.org/officeDocument/2006/relationships/image" Target="../media/3d0cfdb2_86a5_11e9_8101_003048fd731b_cbe19253_2820_11ed_a30f_00259070b487135.jpeg"/><Relationship Id="rId136" Type="http://schemas.openxmlformats.org/officeDocument/2006/relationships/image" Target="../media/3d0cfdb6_86a5_11e9_8101_003048fd731b_cbe19257_2820_11ed_a30f_00259070b487136.jpeg"/><Relationship Id="rId137" Type="http://schemas.openxmlformats.org/officeDocument/2006/relationships/image" Target="../media/3d0cfdba_86a5_11e9_8101_003048fd731b_cbe1925b_2820_11ed_a30f_00259070b487137.jpeg"/><Relationship Id="rId138" Type="http://schemas.openxmlformats.org/officeDocument/2006/relationships/image" Target="../media/3d0cfdbe_86a5_11e9_8101_003048fd731b_cbe1925f_2820_11ed_a30f_00259070b487138.jpeg"/><Relationship Id="rId139" Type="http://schemas.openxmlformats.org/officeDocument/2006/relationships/image" Target="../media/3d0cfdc2_86a5_11e9_8101_003048fd731b_cbe19263_2820_11ed_a30f_00259070b487139.jpeg"/><Relationship Id="rId140" Type="http://schemas.openxmlformats.org/officeDocument/2006/relationships/image" Target="../media/3d0cfdc6_86a5_11e9_8101_003048fd731b_cbe19267_2820_11ed_a30f_00259070b487140.jpeg"/><Relationship Id="rId141" Type="http://schemas.openxmlformats.org/officeDocument/2006/relationships/image" Target="../media/3d0cfdca_86a5_11e9_8101_003048fd731b_cbe1926b_2820_11ed_a30f_00259070b487141.jpeg"/><Relationship Id="rId142" Type="http://schemas.openxmlformats.org/officeDocument/2006/relationships/image" Target="../media/3d0cfdce_86a5_11e9_8101_003048fd731b_cbe1926f_2820_11ed_a30f_00259070b487142.jpeg"/><Relationship Id="rId143" Type="http://schemas.openxmlformats.org/officeDocument/2006/relationships/image" Target="../media/3d0cfdd2_86a5_11e9_8101_003048fd731b_cbe19273_2820_11ed_a30f_00259070b487143.jpeg"/><Relationship Id="rId144" Type="http://schemas.openxmlformats.org/officeDocument/2006/relationships/image" Target="../media/3d0cfdd6_86a5_11e9_8101_003048fd731b_cbe19277_2820_11ed_a30f_00259070b487144.jpeg"/><Relationship Id="rId145" Type="http://schemas.openxmlformats.org/officeDocument/2006/relationships/image" Target="../media/3d0cfdda_86a5_11e9_8101_003048fd731b_cbe1927b_2820_11ed_a30f_00259070b487145.jpeg"/><Relationship Id="rId146" Type="http://schemas.openxmlformats.org/officeDocument/2006/relationships/image" Target="../media/3d0cfdde_86a5_11e9_8101_003048fd731b_d2eca855_2820_11ed_a30f_00259070b487146.jpeg"/><Relationship Id="rId147" Type="http://schemas.openxmlformats.org/officeDocument/2006/relationships/image" Target="../media/3d0cfde2_86a5_11e9_8101_003048fd731b_d2eca859_2820_11ed_a30f_00259070b487147.jpeg"/><Relationship Id="rId148" Type="http://schemas.openxmlformats.org/officeDocument/2006/relationships/image" Target="../media/3d0cfde6_86a5_11e9_8101_003048fd731b_d2eca85d_2820_11ed_a30f_00259070b487148.jpeg"/><Relationship Id="rId149" Type="http://schemas.openxmlformats.org/officeDocument/2006/relationships/image" Target="../media/3d0cfdea_86a5_11e9_8101_003048fd731b_d2eca861_2820_11ed_a30f_00259070b487149.jpeg"/><Relationship Id="rId150" Type="http://schemas.openxmlformats.org/officeDocument/2006/relationships/image" Target="../media/3d0cfdee_86a5_11e9_8101_003048fd731b_d2eca865_2820_11ed_a30f_00259070b487150.jpeg"/><Relationship Id="rId151" Type="http://schemas.openxmlformats.org/officeDocument/2006/relationships/image" Target="../media/8184924f_7270_11ef_a636_047c1617b143_d9a656a8_f1e4_11ef_a6e1_047c1617b143151.jpeg"/><Relationship Id="rId152" Type="http://schemas.openxmlformats.org/officeDocument/2006/relationships/image" Target="../media/81849251_7270_11ef_a636_047c1617b143_d9a656ac_f1e4_11ef_a6e1_047c1617b143152.jpeg"/><Relationship Id="rId153" Type="http://schemas.openxmlformats.org/officeDocument/2006/relationships/image" Target="../media/1c2dfd4d_7288_11ef_a636_047c1617b143_d9a656b0_f1e4_11ef_a6e1_047c1617b143153.jpeg"/><Relationship Id="rId154" Type="http://schemas.openxmlformats.org/officeDocument/2006/relationships/image" Target="../media/1c2dfd57_7288_11ef_a636_047c1617b143_d9a656b4_f1e4_11ef_a6e1_047c1617b143154.jpeg"/><Relationship Id="rId155" Type="http://schemas.openxmlformats.org/officeDocument/2006/relationships/image" Target="../media/1c2dfd5d_7288_11ef_a636_047c1617b143_d9a656b8_f1e4_11ef_a6e1_047c1617b143155.jpeg"/><Relationship Id="rId156" Type="http://schemas.openxmlformats.org/officeDocument/2006/relationships/image" Target="../media/1c2dfd5f_7288_11ef_a636_047c1617b143_dfe10842_f1e4_11ef_a6e1_047c1617b143156.jpeg"/><Relationship Id="rId157" Type="http://schemas.openxmlformats.org/officeDocument/2006/relationships/image" Target="../media/2a5d6597_54b7_11f0_a76e_047c1617b143_579e2326_5a46_11f0_a775_047c1617b143157.jpeg"/><Relationship Id="rId158" Type="http://schemas.openxmlformats.org/officeDocument/2006/relationships/image" Target="../media/ce47d2bd_9e6d_11ef_a670_047c1617b143_dfe10846_f1e4_11ef_a6e1_047c1617b143158.jpeg"/><Relationship Id="rId159" Type="http://schemas.openxmlformats.org/officeDocument/2006/relationships/image" Target="../media/ce47d2bf_9e6d_11ef_a670_047c1617b143_dfe1084a_f1e4_11ef_a6e1_047c1617b143159.jpeg"/><Relationship Id="rId160" Type="http://schemas.openxmlformats.org/officeDocument/2006/relationships/image" Target="../media/ce47d2c1_9e6d_11ef_a670_047c1617b143_dfe1084e_f1e4_11ef_a6e1_047c1617b143160.jpeg"/><Relationship Id="rId161" Type="http://schemas.openxmlformats.org/officeDocument/2006/relationships/image" Target="../media/ce47d2cf_9e6d_11ef_a670_047c1617b143_dfe10852_f1e4_11ef_a6e1_047c1617b143161.jpeg"/><Relationship Id="rId162" Type="http://schemas.openxmlformats.org/officeDocument/2006/relationships/image" Target="../media/0ef53ee9_9e75_11ef_a670_047c1617b143_dfe10853_f1e4_11ef_a6e1_047c1617b143162.jpeg"/><Relationship Id="rId163" Type="http://schemas.openxmlformats.org/officeDocument/2006/relationships/image" Target="../media/0ef53ef3_9e75_11ef_a670_047c1617b143_dfe10854_f1e4_11ef_a6e1_047c1617b143163.jpeg"/><Relationship Id="rId164" Type="http://schemas.openxmlformats.org/officeDocument/2006/relationships/image" Target="../media/0ef53ef5_9e75_11ef_a670_047c1617b143_dfe10858_f1e4_11ef_a6e1_047c1617b143164.jpeg"/><Relationship Id="rId165" Type="http://schemas.openxmlformats.org/officeDocument/2006/relationships/image" Target="../media/0ef53ef9_9e75_11ef_a670_047c1617b143_dfe1085c_f1e4_11ef_a6e1_047c1617b143165.jpeg"/><Relationship Id="rId166" Type="http://schemas.openxmlformats.org/officeDocument/2006/relationships/image" Target="../media/0ef53efb_9e75_11ef_a670_047c1617b143_dfe10860_f1e4_11ef_a6e1_047c1617b143166.jpeg"/><Relationship Id="rId167" Type="http://schemas.openxmlformats.org/officeDocument/2006/relationships/image" Target="../media/0ef53f11_9e75_11ef_a670_047c1617b143_dfe10864_f1e4_11ef_a6e1_047c1617b143167.jpeg"/><Relationship Id="rId168" Type="http://schemas.openxmlformats.org/officeDocument/2006/relationships/image" Target="../media/0ef53f13_9e75_11ef_a670_047c1617b143_dfe10868_f1e4_11ef_a6e1_047c1617b143168.jpeg"/><Relationship Id="rId169" Type="http://schemas.openxmlformats.org/officeDocument/2006/relationships/image" Target="../media/0ef53f1d_9e75_11ef_a670_047c1617b143_dfe1086c_f1e4_11ef_a6e1_047c1617b143169.jpeg"/><Relationship Id="rId170" Type="http://schemas.openxmlformats.org/officeDocument/2006/relationships/image" Target="../media/2a5d6599_54b7_11f0_a76e_047c1617b143_579e232a_5a46_11f0_a775_047c1617b143170.jpeg"/><Relationship Id="rId171" Type="http://schemas.openxmlformats.org/officeDocument/2006/relationships/image" Target="../media/a5fad502_86a5_11e9_8101_003048fd731b_d2eca8a5_2820_11ed_a30f_00259070b487171.jpeg"/><Relationship Id="rId172" Type="http://schemas.openxmlformats.org/officeDocument/2006/relationships/image" Target="../media/45f59290_4009_11ec_8370_003048fd731b_d2eca8a6_2820_11ed_a30f_00259070b487172.jpeg"/><Relationship Id="rId173" Type="http://schemas.openxmlformats.org/officeDocument/2006/relationships/image" Target="../media/f3d2eb74_7759_11ec_a212_00259070b487_d2eca8aa_2820_11ed_a30f_00259070b487173.jpeg"/><Relationship Id="rId174" Type="http://schemas.openxmlformats.org/officeDocument/2006/relationships/image" Target="../media/f3d2eb76_7759_11ec_a212_00259070b487_d2eca8ab_2820_11ed_a30f_00259070b487174.jpeg"/><Relationship Id="rId175" Type="http://schemas.openxmlformats.org/officeDocument/2006/relationships/image" Target="../media/f3d2eb78_7759_11ec_a212_00259070b487_d2eca8ac_2820_11ed_a30f_00259070b487175.jpeg"/><Relationship Id="rId176" Type="http://schemas.openxmlformats.org/officeDocument/2006/relationships/image" Target="../media/13e8ca46_5853_11ed_a364_047c1617b143_21d4f5b0_793a_11f0_a79f_047c1617b143176.jpeg"/><Relationship Id="rId177" Type="http://schemas.openxmlformats.org/officeDocument/2006/relationships/image" Target="../media/a0751d93_0af9_11ee_a45c_047c1617b143_64c8bb7b_5a46_11f0_a775_047c1617b143177.jpeg"/><Relationship Id="rId178" Type="http://schemas.openxmlformats.org/officeDocument/2006/relationships/image" Target="../media/a0751d95_0af9_11ee_a45c_047c1617b143_64c8bb7e_5a46_11f0_a775_047c1617b143178.jpeg"/><Relationship Id="rId179" Type="http://schemas.openxmlformats.org/officeDocument/2006/relationships/image" Target="../media/3e84721c_afd7_11ef_a68d_047c1617b143_64c8bb80_5a46_11f0_a775_047c1617b143179.jpeg"/><Relationship Id="rId180" Type="http://schemas.openxmlformats.org/officeDocument/2006/relationships/image" Target="../media/3e8472bc_afd7_11ef_a68d_047c1617b143_64c8bb84_5a46_11f0_a775_047c1617b143180.jpeg"/><Relationship Id="rId181" Type="http://schemas.openxmlformats.org/officeDocument/2006/relationships/image" Target="../media/3e8472be_afd7_11ef_a68d_047c1617b143_64c8bb85_5a46_11f0_a775_047c1617b143181.jpeg"/><Relationship Id="rId182" Type="http://schemas.openxmlformats.org/officeDocument/2006/relationships/image" Target="../media/3e8472cc_afd7_11ef_a68d_047c1617b143_781c63ee_5a46_11f0_a775_047c1617b143182.jpeg"/><Relationship Id="rId183" Type="http://schemas.openxmlformats.org/officeDocument/2006/relationships/image" Target="../media/3e8472ce_afd7_11ef_a68d_047c1617b143_781c63ef_5a46_11f0_a775_047c1617b143183.jpeg"/><Relationship Id="rId184" Type="http://schemas.openxmlformats.org/officeDocument/2006/relationships/image" Target="../media/437a214f_86a5_11e9_8101_003048fd731b_d2eca8ad_2820_11ed_a30f_00259070b487184.jpeg"/><Relationship Id="rId185" Type="http://schemas.openxmlformats.org/officeDocument/2006/relationships/image" Target="../media/437a2153_86a5_11e9_8101_003048fd731b_d2eca8ae_2820_11ed_a30f_00259070b487185.jpeg"/><Relationship Id="rId186" Type="http://schemas.openxmlformats.org/officeDocument/2006/relationships/image" Target="../media/437a2157_86a5_11e9_8101_003048fd731b_d2eca8af_2820_11ed_a30f_00259070b487186.jpeg"/><Relationship Id="rId187" Type="http://schemas.openxmlformats.org/officeDocument/2006/relationships/image" Target="../media/437a215b_86a5_11e9_8101_003048fd731b_d2eca8b0_2820_11ed_a30f_00259070b487187.jpeg"/><Relationship Id="rId188" Type="http://schemas.openxmlformats.org/officeDocument/2006/relationships/image" Target="../media/437a215f_86a5_11e9_8101_003048fd731b_d2eca8b1_2820_11ed_a30f_00259070b487188.jpeg"/><Relationship Id="rId189" Type="http://schemas.openxmlformats.org/officeDocument/2006/relationships/image" Target="../media/437a2163_86a5_11e9_8101_003048fd731b_d2eca8b2_2820_11ed_a30f_00259070b487189.jpeg"/><Relationship Id="rId190" Type="http://schemas.openxmlformats.org/officeDocument/2006/relationships/image" Target="../media/437a2167_86a5_11e9_8101_003048fd731b_d2eca8b3_2820_11ed_a30f_00259070b487190.jpeg"/><Relationship Id="rId191" Type="http://schemas.openxmlformats.org/officeDocument/2006/relationships/image" Target="../media/437a216b_86a5_11e9_8101_003048fd731b_d2eca8b4_2820_11ed_a30f_00259070b487191.jpeg"/><Relationship Id="rId192" Type="http://schemas.openxmlformats.org/officeDocument/2006/relationships/image" Target="../media/437a216f_86a5_11e9_8101_003048fd731b_d2eca8b5_2820_11ed_a30f_00259070b487192.jpeg"/><Relationship Id="rId193" Type="http://schemas.openxmlformats.org/officeDocument/2006/relationships/image" Target="../media/437a2173_86a5_11e9_8101_003048fd731b_d2eca8b6_2820_11ed_a30f_00259070b487193.jpeg"/><Relationship Id="rId194" Type="http://schemas.openxmlformats.org/officeDocument/2006/relationships/image" Target="../media/437a2177_86a5_11e9_8101_003048fd731b_d2eca8b7_2820_11ed_a30f_00259070b487194.jpeg"/><Relationship Id="rId195" Type="http://schemas.openxmlformats.org/officeDocument/2006/relationships/image" Target="../media/437a217b_86a5_11e9_8101_003048fd731b_d2eca8b8_2820_11ed_a30f_00259070b487195.jpeg"/><Relationship Id="rId196" Type="http://schemas.openxmlformats.org/officeDocument/2006/relationships/image" Target="../media/437a217f_86a5_11e9_8101_003048fd731b_d2eca8b9_2820_11ed_a30f_00259070b487196.jpeg"/><Relationship Id="rId197" Type="http://schemas.openxmlformats.org/officeDocument/2006/relationships/image" Target="../media/437a2183_86a5_11e9_8101_003048fd731b_d2eca8ba_2820_11ed_a30f_00259070b487197.jpeg"/><Relationship Id="rId198" Type="http://schemas.openxmlformats.org/officeDocument/2006/relationships/image" Target="../media/437a2187_86a5_11e9_8101_003048fd731b_d2eca8bb_2820_11ed_a30f_00259070b487198.jpeg"/><Relationship Id="rId199" Type="http://schemas.openxmlformats.org/officeDocument/2006/relationships/image" Target="../media/437a218b_86a5_11e9_8101_003048fd731b_d2eca8bc_2820_11ed_a30f_00259070b487199.jpeg"/><Relationship Id="rId200" Type="http://schemas.openxmlformats.org/officeDocument/2006/relationships/image" Target="../media/437a218f_86a5_11e9_8101_003048fd731b_d2eca8bd_2820_11ed_a30f_00259070b487200.jpeg"/><Relationship Id="rId201" Type="http://schemas.openxmlformats.org/officeDocument/2006/relationships/image" Target="../media/437a2193_86a5_11e9_8101_003048fd731b_d2eca8be_2820_11ed_a30f_00259070b487201.jpeg"/><Relationship Id="rId202" Type="http://schemas.openxmlformats.org/officeDocument/2006/relationships/image" Target="../media/437a2197_86a5_11e9_8101_003048fd731b_d2eca8bf_2820_11ed_a30f_00259070b487202.jpeg"/><Relationship Id="rId203" Type="http://schemas.openxmlformats.org/officeDocument/2006/relationships/image" Target="../media/437a219b_86a5_11e9_8101_003048fd731b_d2eca8c1_2820_11ed_a30f_00259070b487203.jpeg"/><Relationship Id="rId204" Type="http://schemas.openxmlformats.org/officeDocument/2006/relationships/image" Target="../media/437a219f_86a5_11e9_8101_003048fd731b_d2eca8c3_2820_11ed_a30f_00259070b487204.jpeg"/><Relationship Id="rId205" Type="http://schemas.openxmlformats.org/officeDocument/2006/relationships/image" Target="../media/437a21a3_86a5_11e9_8101_003048fd731b_d2eca8c4_2820_11ed_a30f_00259070b487205.jpeg"/><Relationship Id="rId206" Type="http://schemas.openxmlformats.org/officeDocument/2006/relationships/image" Target="../media/437a21a7_86a5_11e9_8101_003048fd731b_d2eca8c5_2820_11ed_a30f_00259070b487206.jpeg"/><Relationship Id="rId207" Type="http://schemas.openxmlformats.org/officeDocument/2006/relationships/image" Target="../media/437a21ab_86a5_11e9_8101_003048fd731b_d2eca8c6_2820_11ed_a30f_00259070b487207.jpeg"/><Relationship Id="rId208" Type="http://schemas.openxmlformats.org/officeDocument/2006/relationships/image" Target="../media/437a21af_86a5_11e9_8101_003048fd731b_d2eca8c7_2820_11ed_a30f_00259070b487208.jpeg"/><Relationship Id="rId209" Type="http://schemas.openxmlformats.org/officeDocument/2006/relationships/image" Target="../media/437a21b3_86a5_11e9_8101_003048fd731b_d2eca8c8_2820_11ed_a30f_00259070b487209.jpeg"/><Relationship Id="rId210" Type="http://schemas.openxmlformats.org/officeDocument/2006/relationships/image" Target="../media/437a21b7_86a5_11e9_8101_003048fd731b_d2eca8c9_2820_11ed_a30f_00259070b487210.jpeg"/><Relationship Id="rId211" Type="http://schemas.openxmlformats.org/officeDocument/2006/relationships/image" Target="../media/68a7bd91_a71a_11e9_8103_003048fd731b_d2eca8ca_2820_11ed_a30f_00259070b487211.jpeg"/><Relationship Id="rId212" Type="http://schemas.openxmlformats.org/officeDocument/2006/relationships/image" Target="../media/97785522_d539_11e9_8109_003048fd731b_d2eca8cb_2820_11ed_a30f_00259070b487212.jpeg"/><Relationship Id="rId213" Type="http://schemas.openxmlformats.org/officeDocument/2006/relationships/image" Target="../media/2af66c31_addf_11e9_8103_003048fd731b_d2eca8cc_2820_11ed_a30f_00259070b487213.jpeg"/><Relationship Id="rId214" Type="http://schemas.openxmlformats.org/officeDocument/2006/relationships/image" Target="../media/68a7bd93_a71a_11e9_8103_003048fd731b_d2eca8cd_2820_11ed_a30f_00259070b487214.jpeg"/><Relationship Id="rId215" Type="http://schemas.openxmlformats.org/officeDocument/2006/relationships/image" Target="../media/c6c8b03a_b1f9_11e9_8103_003048fd731b_d2eca8ce_2820_11ed_a30f_00259070b487215.jpeg"/><Relationship Id="rId216" Type="http://schemas.openxmlformats.org/officeDocument/2006/relationships/image" Target="../media/97785527_d539_11e9_8109_003048fd731b_d2eca8cf_2820_11ed_a30f_00259070b487216.jpeg"/><Relationship Id="rId217" Type="http://schemas.openxmlformats.org/officeDocument/2006/relationships/image" Target="../media/dab7a67b_3767_11ea_810f_003048fd731b_d2eca8d0_2820_11ed_a30f_00259070b487217.jpeg"/><Relationship Id="rId218" Type="http://schemas.openxmlformats.org/officeDocument/2006/relationships/image" Target="../media/dab7a67d_3767_11ea_810f_003048fd731b_d2eca8d1_2820_11ed_a30f_00259070b487218.jpeg"/><Relationship Id="rId219" Type="http://schemas.openxmlformats.org/officeDocument/2006/relationships/image" Target="../media/dab7a67f_3767_11ea_810f_003048fd731b_d2eca8d2_2820_11ed_a30f_00259070b487219.jpeg"/><Relationship Id="rId220" Type="http://schemas.openxmlformats.org/officeDocument/2006/relationships/image" Target="../media/dab7a681_3767_11ea_810f_003048fd731b_d2eca8d3_2820_11ed_a30f_00259070b487220.jpeg"/><Relationship Id="rId221" Type="http://schemas.openxmlformats.org/officeDocument/2006/relationships/image" Target="../media/dab7a683_3767_11ea_810f_003048fd731b_d2eca8d4_2820_11ed_a30f_00259070b487221.jpeg"/><Relationship Id="rId222" Type="http://schemas.openxmlformats.org/officeDocument/2006/relationships/image" Target="../media/dab7a685_3767_11ea_810f_003048fd731b_d2eca8d5_2820_11ed_a30f_00259070b487222.jpeg"/><Relationship Id="rId223" Type="http://schemas.openxmlformats.org/officeDocument/2006/relationships/image" Target="../media/dab7a687_3767_11ea_810f_003048fd731b_d2eca8d6_2820_11ed_a30f_00259070b487223.jpeg"/><Relationship Id="rId224" Type="http://schemas.openxmlformats.org/officeDocument/2006/relationships/image" Target="../media/5eb5c522_7c9e_11ea_8111_003048fd731b_d2eca8d7_2820_11ed_a30f_00259070b487224.jpeg"/><Relationship Id="rId225" Type="http://schemas.openxmlformats.org/officeDocument/2006/relationships/image" Target="../media/5eb5c524_7c9e_11ea_8111_003048fd731b_d2eca8d8_2820_11ed_a30f_00259070b487225.jpeg"/><Relationship Id="rId226" Type="http://schemas.openxmlformats.org/officeDocument/2006/relationships/image" Target="../media/5eb5c526_7c9e_11ea_8111_003048fd731b_d2eca8d9_2820_11ed_a30f_00259070b487226.jpeg"/><Relationship Id="rId227" Type="http://schemas.openxmlformats.org/officeDocument/2006/relationships/image" Target="../media/5eb5c528_7c9e_11ea_8111_003048fd731b_d2eca8da_2820_11ed_a30f_00259070b487227.jpeg"/><Relationship Id="rId228" Type="http://schemas.openxmlformats.org/officeDocument/2006/relationships/image" Target="../media/5eb5c52a_7c9e_11ea_8111_003048fd731b_d2eca8db_2820_11ed_a30f_00259070b487228.jpeg"/><Relationship Id="rId229" Type="http://schemas.openxmlformats.org/officeDocument/2006/relationships/image" Target="../media/4e6eaa18_5f90_11eb_822d_003048fd731b_64c8bb81_5a46_11f0_a775_047c1617b143229.jpeg"/><Relationship Id="rId230" Type="http://schemas.openxmlformats.org/officeDocument/2006/relationships/image" Target="../media/f3d2eb7a_7759_11ec_a212_00259070b487_6b95d4b9_5a46_11f0_a775_047c1617b143230.jpeg"/><Relationship Id="rId231" Type="http://schemas.openxmlformats.org/officeDocument/2006/relationships/image" Target="../media/f3d2eb7c_7759_11ec_a212_00259070b487_6b95d4bd_5a46_11f0_a775_047c1617b143231.jpeg"/><Relationship Id="rId232" Type="http://schemas.openxmlformats.org/officeDocument/2006/relationships/image" Target="../media/f3d2eb7e_7759_11ec_a212_00259070b487_7195a3c0_5a46_11f0_a775_047c1617b143232.jpeg"/><Relationship Id="rId233" Type="http://schemas.openxmlformats.org/officeDocument/2006/relationships/image" Target="../media/f093111c_0c72_11ec_8321_003048fd731b_83eb96d8_5d58_11f0_a779_047c1617b143233.jpeg"/><Relationship Id="rId234" Type="http://schemas.openxmlformats.org/officeDocument/2006/relationships/image" Target="../media/f093111e_0c72_11ec_8321_003048fd731b_83eb96d9_5d58_11f0_a779_047c1617b143234.jpeg"/><Relationship Id="rId235" Type="http://schemas.openxmlformats.org/officeDocument/2006/relationships/image" Target="../media/f0931120_0c72_11ec_8321_003048fd731b_83eb96d7_5d58_11f0_a779_047c1617b143235.jpeg"/><Relationship Id="rId236" Type="http://schemas.openxmlformats.org/officeDocument/2006/relationships/image" Target="../media/f0931122_0c72_11ec_8321_003048fd731b_6b95d47d_5a46_11f0_a775_047c1617b143236.jpeg"/><Relationship Id="rId237" Type="http://schemas.openxmlformats.org/officeDocument/2006/relationships/image" Target="../media/f0931124_0c72_11ec_8321_003048fd731b_6b95d481_5a46_11f0_a775_047c1617b143237.jpeg"/><Relationship Id="rId238" Type="http://schemas.openxmlformats.org/officeDocument/2006/relationships/image" Target="../media/f0931126_0c72_11ec_8321_003048fd731b_6b95d485_5a46_11f0_a775_047c1617b143238.jpeg"/><Relationship Id="rId239" Type="http://schemas.openxmlformats.org/officeDocument/2006/relationships/image" Target="../media/f0931128_0c72_11ec_8321_003048fd731b_6b95d489_5a46_11f0_a775_047c1617b143239.jpeg"/><Relationship Id="rId240" Type="http://schemas.openxmlformats.org/officeDocument/2006/relationships/image" Target="../media/f093112a_0c72_11ec_8321_003048fd731b_6b95d48d_5a46_11f0_a775_047c1617b143240.jpeg"/><Relationship Id="rId241" Type="http://schemas.openxmlformats.org/officeDocument/2006/relationships/image" Target="../media/f093112c_0c72_11ec_8321_003048fd731b_6b95d491_5a46_11f0_a775_047c1617b143241.jpeg"/><Relationship Id="rId242" Type="http://schemas.openxmlformats.org/officeDocument/2006/relationships/image" Target="../media/f093112e_0c72_11ec_8321_003048fd731b_6b95d495_5a46_11f0_a775_047c1617b143242.jpeg"/><Relationship Id="rId243" Type="http://schemas.openxmlformats.org/officeDocument/2006/relationships/image" Target="../media/f0931130_0c72_11ec_8321_003048fd731b_6b95d499_5a46_11f0_a775_047c1617b143243.jpeg"/><Relationship Id="rId244" Type="http://schemas.openxmlformats.org/officeDocument/2006/relationships/image" Target="../media/f0931132_0c72_11ec_8321_003048fd731b_6b95d49d_5a46_11f0_a775_047c1617b143244.jpeg"/><Relationship Id="rId245" Type="http://schemas.openxmlformats.org/officeDocument/2006/relationships/image" Target="../media/f0931134_0c72_11ec_8321_003048fd731b_6b95d4a1_5a46_11f0_a775_047c1617b143245.jpeg"/><Relationship Id="rId246" Type="http://schemas.openxmlformats.org/officeDocument/2006/relationships/image" Target="../media/f0931136_0c72_11ec_8321_003048fd731b_6b95d4a5_5a46_11f0_a775_047c1617b143246.jpeg"/><Relationship Id="rId247" Type="http://schemas.openxmlformats.org/officeDocument/2006/relationships/image" Target="../media/f0931138_0c72_11ec_8321_003048fd731b_6b95d4a9_5a46_11f0_a775_047c1617b143247.jpeg"/><Relationship Id="rId248" Type="http://schemas.openxmlformats.org/officeDocument/2006/relationships/image" Target="../media/f093113a_0c72_11ec_8321_003048fd731b_6b95d4ad_5a46_11f0_a775_047c1617b143248.jpeg"/><Relationship Id="rId249" Type="http://schemas.openxmlformats.org/officeDocument/2006/relationships/image" Target="../media/f093113c_0c72_11ec_8321_003048fd731b_6b95d4b1_5a46_11f0_a775_047c1617b143249.jpeg"/><Relationship Id="rId250" Type="http://schemas.openxmlformats.org/officeDocument/2006/relationships/image" Target="../media/f093113e_0c72_11ec_8321_003048fd731b_6b95d4b5_5a46_11f0_a775_047c1617b143250.jpeg"/><Relationship Id="rId251" Type="http://schemas.openxmlformats.org/officeDocument/2006/relationships/image" Target="../media/f423f3eb_c461_11eb_82be_003048fd731b_a1555456_602e_11ec_a20b_00259070b487251.jpeg"/><Relationship Id="rId252" Type="http://schemas.openxmlformats.org/officeDocument/2006/relationships/image" Target="../media/f423f3ed_c461_11eb_82be_003048fd731b_a1555457_602e_11ec_a20b_00259070b487252.jpeg"/><Relationship Id="rId253" Type="http://schemas.openxmlformats.org/officeDocument/2006/relationships/image" Target="../media/f423f3ef_c461_11eb_82be_003048fd731b_a1555458_602e_11ec_a20b_00259070b487253.jpeg"/><Relationship Id="rId254" Type="http://schemas.openxmlformats.org/officeDocument/2006/relationships/image" Target="../media/f423f3f1_c461_11eb_82be_003048fd731b_a1555459_602e_11ec_a20b_00259070b487254.jpeg"/><Relationship Id="rId255" Type="http://schemas.openxmlformats.org/officeDocument/2006/relationships/image" Target="../media/f423f3f3_c461_11eb_82be_003048fd731b_a155545a_602e_11ec_a20b_00259070b487255.jpeg"/><Relationship Id="rId256" Type="http://schemas.openxmlformats.org/officeDocument/2006/relationships/image" Target="../media/f423f3f5_c461_11eb_82be_003048fd731b_a155545b_602e_11ec_a20b_00259070b487256.jpeg"/><Relationship Id="rId257" Type="http://schemas.openxmlformats.org/officeDocument/2006/relationships/image" Target="../media/f423f3f7_c461_11eb_82be_003048fd731b_a155545c_602e_11ec_a20b_00259070b487257.jpeg"/><Relationship Id="rId258" Type="http://schemas.openxmlformats.org/officeDocument/2006/relationships/image" Target="../media/f423f3f9_c461_11eb_82be_003048fd731b_a155545d_602e_11ec_a20b_00259070b487258.jpeg"/><Relationship Id="rId259" Type="http://schemas.openxmlformats.org/officeDocument/2006/relationships/image" Target="../media/f423f3fb_c461_11eb_82be_003048fd731b_a155545e_602e_11ec_a20b_00259070b487259.jpeg"/><Relationship Id="rId260" Type="http://schemas.openxmlformats.org/officeDocument/2006/relationships/image" Target="../media/f423f3fd_c461_11eb_82be_003048fd731b_a155545f_602e_11ec_a20b_00259070b487260.jpeg"/><Relationship Id="rId261" Type="http://schemas.openxmlformats.org/officeDocument/2006/relationships/image" Target="../media/f423f3ff_c461_11eb_82be_003048fd731b_a1555460_602e_11ec_a20b_00259070b487261.jpeg"/><Relationship Id="rId262" Type="http://schemas.openxmlformats.org/officeDocument/2006/relationships/image" Target="../media/f423f401_c461_11eb_82be_003048fd731b_a1555461_602e_11ec_a20b_00259070b487262.jpeg"/><Relationship Id="rId263" Type="http://schemas.openxmlformats.org/officeDocument/2006/relationships/image" Target="../media/f423f403_c461_11eb_82be_003048fd731b_a1555462_602e_11ec_a20b_00259070b487263.jpeg"/><Relationship Id="rId264" Type="http://schemas.openxmlformats.org/officeDocument/2006/relationships/image" Target="../media/f423f405_c461_11eb_82be_003048fd731b_a1555463_602e_11ec_a20b_00259070b487264.jpeg"/><Relationship Id="rId265" Type="http://schemas.openxmlformats.org/officeDocument/2006/relationships/image" Target="../media/f423f407_c461_11eb_82be_003048fd731b_a1555464_602e_11ec_a20b_00259070b487265.jpeg"/><Relationship Id="rId266" Type="http://schemas.openxmlformats.org/officeDocument/2006/relationships/image" Target="../media/f423f409_c461_11eb_82be_003048fd731b_a1555465_602e_11ec_a20b_00259070b487266.jpeg"/><Relationship Id="rId267" Type="http://schemas.openxmlformats.org/officeDocument/2006/relationships/image" Target="../media/f423f40b_c461_11eb_82be_003048fd731b_a1555466_602e_11ec_a20b_00259070b487267.jpeg"/><Relationship Id="rId268" Type="http://schemas.openxmlformats.org/officeDocument/2006/relationships/image" Target="../media/f423f40d_c461_11eb_82be_003048fd731b_aaacbdff_602e_11ec_a20b_00259070b487268.jpeg"/><Relationship Id="rId269" Type="http://schemas.openxmlformats.org/officeDocument/2006/relationships/image" Target="../media/f423f40f_c461_11eb_82be_003048fd731b_aaacbe00_602e_11ec_a20b_00259070b487269.jpeg"/><Relationship Id="rId270" Type="http://schemas.openxmlformats.org/officeDocument/2006/relationships/image" Target="../media/f423f411_c461_11eb_82be_003048fd731b_aaacbe01_602e_11ec_a20b_00259070b487270.jpeg"/><Relationship Id="rId271" Type="http://schemas.openxmlformats.org/officeDocument/2006/relationships/image" Target="../media/f423f413_c461_11eb_82be_003048fd731b_aaacbe02_602e_11ec_a20b_00259070b487271.jpeg"/><Relationship Id="rId272" Type="http://schemas.openxmlformats.org/officeDocument/2006/relationships/image" Target="../media/f423f415_c461_11eb_82be_003048fd731b_aaacbe03_602e_11ec_a20b_00259070b487272.jpeg"/><Relationship Id="rId273" Type="http://schemas.openxmlformats.org/officeDocument/2006/relationships/image" Target="../media/f423f417_c461_11eb_82be_003048fd731b_aaacbe04_602e_11ec_a20b_00259070b487273.jpeg"/><Relationship Id="rId274" Type="http://schemas.openxmlformats.org/officeDocument/2006/relationships/image" Target="../media/f423f419_c461_11eb_82be_003048fd731b_aaacbe05_602e_11ec_a20b_00259070b487274.jpeg"/><Relationship Id="rId275" Type="http://schemas.openxmlformats.org/officeDocument/2006/relationships/image" Target="../media/f423f41b_c461_11eb_82be_003048fd731b_aaacbe06_602e_11ec_a20b_00259070b487275.jpeg"/><Relationship Id="rId276" Type="http://schemas.openxmlformats.org/officeDocument/2006/relationships/image" Target="../media/f423f41d_c461_11eb_82be_003048fd731b_aaacbe07_602e_11ec_a20b_00259070b487276.jpeg"/><Relationship Id="rId277" Type="http://schemas.openxmlformats.org/officeDocument/2006/relationships/image" Target="../media/f423f41f_c461_11eb_82be_003048fd731b_aaacbe08_602e_11ec_a20b_00259070b487277.jpeg"/><Relationship Id="rId278" Type="http://schemas.openxmlformats.org/officeDocument/2006/relationships/image" Target="../media/f423f421_c461_11eb_82be_003048fd731b_aaacbe09_602e_11ec_a20b_00259070b487278.jpeg"/><Relationship Id="rId279" Type="http://schemas.openxmlformats.org/officeDocument/2006/relationships/image" Target="../media/f423f427_c461_11eb_82be_003048fd731b_aaacbe0a_602e_11ec_a20b_00259070b487279.jpeg"/><Relationship Id="rId280" Type="http://schemas.openxmlformats.org/officeDocument/2006/relationships/image" Target="../media/f423f429_c461_11eb_82be_003048fd731b_aaacbe0b_602e_11ec_a20b_00259070b487280.jpeg"/><Relationship Id="rId281" Type="http://schemas.openxmlformats.org/officeDocument/2006/relationships/image" Target="../media/f423f42b_c461_11eb_82be_003048fd731b_aaacbe0c_602e_11ec_a20b_00259070b487281.jpeg"/><Relationship Id="rId282" Type="http://schemas.openxmlformats.org/officeDocument/2006/relationships/image" Target="../media/f423f42d_c461_11eb_82be_003048fd731b_aaacbe0d_602e_11ec_a20b_00259070b487282.jpeg"/><Relationship Id="rId283" Type="http://schemas.openxmlformats.org/officeDocument/2006/relationships/image" Target="../media/f423f42f_c461_11eb_82be_003048fd731b_aaacbe0e_602e_11ec_a20b_00259070b487283.jpeg"/><Relationship Id="rId284" Type="http://schemas.openxmlformats.org/officeDocument/2006/relationships/image" Target="../media/f423f431_c461_11eb_82be_003048fd731b_aaacbe0f_602e_11ec_a20b_00259070b487284.jpeg"/><Relationship Id="rId285" Type="http://schemas.openxmlformats.org/officeDocument/2006/relationships/image" Target="../media/f423f433_c461_11eb_82be_003048fd731b_aaacbe10_602e_11ec_a20b_00259070b487285.jpeg"/><Relationship Id="rId286" Type="http://schemas.openxmlformats.org/officeDocument/2006/relationships/image" Target="../media/f423f435_c461_11eb_82be_003048fd731b_aaacbe11_602e_11ec_a20b_00259070b487286.jpeg"/><Relationship Id="rId287" Type="http://schemas.openxmlformats.org/officeDocument/2006/relationships/image" Target="../media/f423f437_c461_11eb_82be_003048fd731b_aaacbe12_602e_11ec_a20b_00259070b487287.jpeg"/><Relationship Id="rId288" Type="http://schemas.openxmlformats.org/officeDocument/2006/relationships/image" Target="../media/f423f439_c461_11eb_82be_003048fd731b_aaacbe13_602e_11ec_a20b_00259070b487288.jpeg"/><Relationship Id="rId289" Type="http://schemas.openxmlformats.org/officeDocument/2006/relationships/image" Target="../media/f423f43b_c461_11eb_82be_003048fd731b_aaacbe14_602e_11ec_a20b_00259070b487289.jpeg"/><Relationship Id="rId290" Type="http://schemas.openxmlformats.org/officeDocument/2006/relationships/image" Target="../media/f423f43d_c461_11eb_82be_003048fd731b_aaacbe15_602e_11ec_a20b_00259070b487290.jpeg"/><Relationship Id="rId291" Type="http://schemas.openxmlformats.org/officeDocument/2006/relationships/image" Target="../media/29b1cbcb_3e5b_11ec_836e_003048fd731b_aaacbe16_602e_11ec_a20b_00259070b487291.jpeg"/><Relationship Id="rId292" Type="http://schemas.openxmlformats.org/officeDocument/2006/relationships/image" Target="../media/29b1cbd3_3e5b_11ec_836e_003048fd731b_aaacbe17_602e_11ec_a20b_00259070b487292.jpeg"/><Relationship Id="rId293" Type="http://schemas.openxmlformats.org/officeDocument/2006/relationships/image" Target="../media/6652a12d_b63d_11ec_a26a_00259070b487_14e1e0db_f93d_11ef_a6ea_047c1617b143293.jpeg"/><Relationship Id="rId294" Type="http://schemas.openxmlformats.org/officeDocument/2006/relationships/image" Target="../media/6652a12f_b63d_11ec_a26a_00259070b487_49c4afac_056a_11f0_a6fc_047c1617b143294.jpeg"/><Relationship Id="rId295" Type="http://schemas.openxmlformats.org/officeDocument/2006/relationships/image" Target="../media/6652a135_b63d_11ec_a26a_00259070b487_49c4afae_056a_11f0_a6fc_047c1617b143295.jpeg"/><Relationship Id="rId296" Type="http://schemas.openxmlformats.org/officeDocument/2006/relationships/image" Target="../media/6652a13b_b63d_11ec_a26a_00259070b487_49c4afad_056a_11f0_a6fc_047c1617b143296.jpeg"/><Relationship Id="rId297" Type="http://schemas.openxmlformats.org/officeDocument/2006/relationships/image" Target="../media/6652a141_b63d_11ec_a26a_00259070b487_49c4afaf_056a_11f0_a6fc_047c1617b143297.jpeg"/><Relationship Id="rId298" Type="http://schemas.openxmlformats.org/officeDocument/2006/relationships/image" Target="../media/9e5408af_9114_11ed_a3b7_047c1617b143_49c4afb0_056a_11f0_a6fc_047c1617b143298.jpeg"/><Relationship Id="rId299" Type="http://schemas.openxmlformats.org/officeDocument/2006/relationships/image" Target="../media/9e5408b1_9114_11ed_a3b7_047c1617b143_49c4afb1_056a_11f0_a6fc_047c1617b143299.jpeg"/><Relationship Id="rId300" Type="http://schemas.openxmlformats.org/officeDocument/2006/relationships/image" Target="../media/d0417e7d_d7fd_11ee_a56a_047c1617b143_0161eca5_02f2_11ef_a5a4_047c1617b143300.jpeg"/><Relationship Id="rId301" Type="http://schemas.openxmlformats.org/officeDocument/2006/relationships/image" Target="../media/d0417e7f_d7fd_11ee_a56a_047c1617b143_0161eca8_02f2_11ef_a5a4_047c1617b143301.jpeg"/><Relationship Id="rId302" Type="http://schemas.openxmlformats.org/officeDocument/2006/relationships/image" Target="../media/d0417e81_d7fd_11ee_a56a_047c1617b143_0161ecab_02f2_11ef_a5a4_047c1617b143302.jpeg"/><Relationship Id="rId303" Type="http://schemas.openxmlformats.org/officeDocument/2006/relationships/image" Target="../media/d0417e83_d7fd_11ee_a56a_047c1617b143_0161ecae_02f2_11ef_a5a4_047c1617b143303.jpeg"/><Relationship Id="rId304" Type="http://schemas.openxmlformats.org/officeDocument/2006/relationships/image" Target="../media/d0417e85_d7fd_11ee_a56a_047c1617b143_0161ecb1_02f2_11ef_a5a4_047c1617b143304.jpeg"/><Relationship Id="rId305" Type="http://schemas.openxmlformats.org/officeDocument/2006/relationships/image" Target="../media/d0417e87_d7fd_11ee_a56a_047c1617b143_0161ecb4_02f2_11ef_a5a4_047c1617b143305.jpeg"/><Relationship Id="rId306" Type="http://schemas.openxmlformats.org/officeDocument/2006/relationships/image" Target="../media/d0417e89_d7fd_11ee_a56a_047c1617b143_0161ecb7_02f2_11ef_a5a4_047c1617b143306.jpeg"/><Relationship Id="rId307" Type="http://schemas.openxmlformats.org/officeDocument/2006/relationships/image" Target="../media/d0417e8b_d7fd_11ee_a56a_047c1617b143_0161ecba_02f2_11ef_a5a4_047c1617b143307.jpeg"/><Relationship Id="rId308" Type="http://schemas.openxmlformats.org/officeDocument/2006/relationships/image" Target="../media/d0417e8d_d7fd_11ee_a56a_047c1617b143_3063257f_0312_11ef_a5a4_047c1617b143308.jpeg"/><Relationship Id="rId309" Type="http://schemas.openxmlformats.org/officeDocument/2006/relationships/image" Target="../media/d0417e8f_d7fd_11ee_a56a_047c1617b143_30632582_0312_11ef_a5a4_047c1617b143309.jpeg"/><Relationship Id="rId310" Type="http://schemas.openxmlformats.org/officeDocument/2006/relationships/image" Target="../media/d0417e91_d7fd_11ee_a56a_047c1617b143_30632585_0312_11ef_a5a4_047c1617b143310.jpeg"/><Relationship Id="rId311" Type="http://schemas.openxmlformats.org/officeDocument/2006/relationships/image" Target="../media/d0417e93_d7fd_11ee_a56a_047c1617b143_30632588_0312_11ef_a5a4_047c1617b143311.jpeg"/><Relationship Id="rId312" Type="http://schemas.openxmlformats.org/officeDocument/2006/relationships/image" Target="../media/d0417e95_d7fd_11ee_a56a_047c1617b143_3063258b_0312_11ef_a5a4_047c1617b143312.jpeg"/><Relationship Id="rId313" Type="http://schemas.openxmlformats.org/officeDocument/2006/relationships/image" Target="../media/d0417e97_d7fd_11ee_a56a_047c1617b143_3063258e_0312_11ef_a5a4_047c1617b143313.jpeg"/><Relationship Id="rId314" Type="http://schemas.openxmlformats.org/officeDocument/2006/relationships/image" Target="../media/d0417e99_d7fd_11ee_a56a_047c1617b143_30632591_0312_11ef_a5a4_047c1617b143314.jpeg"/><Relationship Id="rId315" Type="http://schemas.openxmlformats.org/officeDocument/2006/relationships/image" Target="../media/d0417e9b_d7fd_11ee_a56a_047c1617b143_30632594_0312_11ef_a5a4_047c1617b143315.jpeg"/><Relationship Id="rId316" Type="http://schemas.openxmlformats.org/officeDocument/2006/relationships/image" Target="../media/d0417e9d_d7fd_11ee_a56a_047c1617b143_30632597_0312_11ef_a5a4_047c1617b143316.jpeg"/><Relationship Id="rId317" Type="http://schemas.openxmlformats.org/officeDocument/2006/relationships/image" Target="../media/d0417e9f_d7fd_11ee_a56a_047c1617b143_0161ec9c_02f2_11ef_a5a4_047c1617b143317.jpeg"/><Relationship Id="rId318" Type="http://schemas.openxmlformats.org/officeDocument/2006/relationships/image" Target="../media/d0417ea1_d7fd_11ee_a56a_047c1617b143_0161ec9f_02f2_11ef_a5a4_047c1617b143318.jpeg"/><Relationship Id="rId319" Type="http://schemas.openxmlformats.org/officeDocument/2006/relationships/image" Target="../media/d0417ea3_d7fd_11ee_a56a_047c1617b143_0161eca2_02f2_11ef_a5a4_047c1617b143319.jpeg"/><Relationship Id="rId320" Type="http://schemas.openxmlformats.org/officeDocument/2006/relationships/image" Target="../media/d0417ea5_d7fd_11ee_a56a_047c1617b143_0161ec96_02f2_11ef_a5a4_047c1617b143320.jpeg"/><Relationship Id="rId321" Type="http://schemas.openxmlformats.org/officeDocument/2006/relationships/image" Target="../media/d0417ea7_d7fd_11ee_a56a_047c1617b143_0161ec99_02f2_11ef_a5a4_047c1617b143321.jpeg"/><Relationship Id="rId322" Type="http://schemas.openxmlformats.org/officeDocument/2006/relationships/image" Target="../media/b4307ec8_d80d_11ee_a56a_047c1617b143_306325ac_0312_11ef_a5a4_047c1617b143322.jpeg"/><Relationship Id="rId323" Type="http://schemas.openxmlformats.org/officeDocument/2006/relationships/image" Target="../media/b4307eca_d80d_11ee_a56a_047c1617b143_3063259a_0312_11ef_a5a4_047c1617b143323.jpeg"/><Relationship Id="rId324" Type="http://schemas.openxmlformats.org/officeDocument/2006/relationships/image" Target="../media/b4307ecc_d80d_11ee_a56a_047c1617b143_3063259d_0312_11ef_a5a4_047c1617b143324.jpeg"/><Relationship Id="rId325" Type="http://schemas.openxmlformats.org/officeDocument/2006/relationships/image" Target="../media/b4307ece_d80d_11ee_a56a_047c1617b143_306325a0_0312_11ef_a5a4_047c1617b143325.jpeg"/><Relationship Id="rId326" Type="http://schemas.openxmlformats.org/officeDocument/2006/relationships/image" Target="../media/b4307ed0_d80d_11ee_a56a_047c1617b143_306325a3_0312_11ef_a5a4_047c1617b143326.jpeg"/><Relationship Id="rId327" Type="http://schemas.openxmlformats.org/officeDocument/2006/relationships/image" Target="../media/b4307ed2_d80d_11ee_a56a_047c1617b143_306325a6_0312_11ef_a5a4_047c1617b143327.jpeg"/><Relationship Id="rId328" Type="http://schemas.openxmlformats.org/officeDocument/2006/relationships/image" Target="../media/b4307ed4_d80d_11ee_a56a_047c1617b143_306325a9_0312_11ef_a5a4_047c1617b143328.jpeg"/><Relationship Id="rId329" Type="http://schemas.openxmlformats.org/officeDocument/2006/relationships/image" Target="../media/a12550bd_da6d_11ee_a56d_047c1617b143_d159fa13_42c7_11ef_a5f7_047c1617b143329.png"/><Relationship Id="rId330" Type="http://schemas.openxmlformats.org/officeDocument/2006/relationships/image" Target="../media/a12550bf_da6d_11ee_a56d_047c1617b143_9db7fc45_42ce_11ef_a5f7_047c1617b143330.png"/><Relationship Id="rId331" Type="http://schemas.openxmlformats.org/officeDocument/2006/relationships/image" Target="../media/a12550c1_da6d_11ee_a56d_047c1617b143_9db7fc47_42ce_11ef_a5f7_047c1617b143331.png"/><Relationship Id="rId332" Type="http://schemas.openxmlformats.org/officeDocument/2006/relationships/image" Target="../media/a12550c3_da6d_11ee_a56d_047c1617b143_9db7fc49_42ce_11ef_a5f7_047c1617b143332.jpeg"/><Relationship Id="rId333" Type="http://schemas.openxmlformats.org/officeDocument/2006/relationships/image" Target="../media/a12550c5_da6d_11ee_a56d_047c1617b143_9db7fc4b_42ce_11ef_a5f7_047c1617b143333.jpeg"/><Relationship Id="rId334" Type="http://schemas.openxmlformats.org/officeDocument/2006/relationships/image" Target="../media/a12550c7_da6d_11ee_a56d_047c1617b143_9db7fc4d_42ce_11ef_a5f7_047c1617b143334.jpeg"/><Relationship Id="rId335" Type="http://schemas.openxmlformats.org/officeDocument/2006/relationships/image" Target="../media/e090ddcb_b9ee_11ef_a69a_047c1617b143_b7afc1d0_e218_11ef_a6cd_047c1617b143335.jpeg"/><Relationship Id="rId336" Type="http://schemas.openxmlformats.org/officeDocument/2006/relationships/image" Target="../media/e090ddcd_b9ee_11ef_a69a_047c1617b143_b7afc1d3_e218_11ef_a6cd_047c1617b143336.jpeg"/><Relationship Id="rId337" Type="http://schemas.openxmlformats.org/officeDocument/2006/relationships/image" Target="../media/e090ddcf_b9ee_11ef_a69a_047c1617b143_55c6eb36_e210_11ef_a6cd_047c1617b143337.jpeg"/><Relationship Id="rId338" Type="http://schemas.openxmlformats.org/officeDocument/2006/relationships/image" Target="../media/e090ddd1_b9ee_11ef_a69a_047c1617b143_55c6eb39_e210_11ef_a6cd_047c1617b143338.jpeg"/><Relationship Id="rId339" Type="http://schemas.openxmlformats.org/officeDocument/2006/relationships/image" Target="../media/e090ddd3_b9ee_11ef_a69a_047c1617b143_55c6eb3c_e210_11ef_a6cd_047c1617b143339.jpeg"/><Relationship Id="rId340" Type="http://schemas.openxmlformats.org/officeDocument/2006/relationships/image" Target="../media/e090ddd5_b9ee_11ef_a69a_047c1617b143_55c6eb3f_e210_11ef_a6cd_047c1617b143340.jpeg"/><Relationship Id="rId341" Type="http://schemas.openxmlformats.org/officeDocument/2006/relationships/image" Target="../media/e090ddd7_b9ee_11ef_a69a_047c1617b143_55c6eb42_e210_11ef_a6cd_047c1617b143341.jpeg"/><Relationship Id="rId342" Type="http://schemas.openxmlformats.org/officeDocument/2006/relationships/image" Target="../media/e090ddd9_b9ee_11ef_a69a_047c1617b143_55c6eb45_e210_11ef_a6cd_047c1617b143342.jpeg"/><Relationship Id="rId343" Type="http://schemas.openxmlformats.org/officeDocument/2006/relationships/image" Target="../media/7b151efa_ba14_11ef_a69a_047c1617b143_55c6eb48_e210_11ef_a6cd_047c1617b143343.jpeg"/><Relationship Id="rId344" Type="http://schemas.openxmlformats.org/officeDocument/2006/relationships/image" Target="../media/7b151efc_ba14_11ef_a69a_047c1617b143_bb06b622_e214_11ef_a6cd_047c1617b143344.jpeg"/><Relationship Id="rId345" Type="http://schemas.openxmlformats.org/officeDocument/2006/relationships/image" Target="../media/7b151efe_ba14_11ef_a69a_047c1617b143_bb06b625_e214_11ef_a6cd_047c1617b143345.jpeg"/><Relationship Id="rId346" Type="http://schemas.openxmlformats.org/officeDocument/2006/relationships/image" Target="../media/7b151f00_ba14_11ef_a69a_047c1617b143_bb06b628_e214_11ef_a6cd_047c1617b143346.jpeg"/><Relationship Id="rId347" Type="http://schemas.openxmlformats.org/officeDocument/2006/relationships/image" Target="../media/7b151f02_ba14_11ef_a69a_047c1617b143_bb06b62b_e214_11ef_a6cd_047c1617b143347.jpeg"/><Relationship Id="rId348" Type="http://schemas.openxmlformats.org/officeDocument/2006/relationships/image" Target="../media/7b151f04_ba14_11ef_a69a_047c1617b143_bb06b62c_e214_11ef_a6cd_047c1617b143348.jpeg"/><Relationship Id="rId349" Type="http://schemas.openxmlformats.org/officeDocument/2006/relationships/image" Target="../media/7b151f06_ba14_11ef_a69a_047c1617b143_bb06b62d_e214_11ef_a6cd_047c1617b143349.jpeg"/><Relationship Id="rId350" Type="http://schemas.openxmlformats.org/officeDocument/2006/relationships/image" Target="../media/7b151f08_ba14_11ef_a69a_047c1617b143_bb06b62e_e214_11ef_a6cd_047c1617b143350.jpeg"/><Relationship Id="rId351" Type="http://schemas.openxmlformats.org/officeDocument/2006/relationships/image" Target="../media/7b151f0a_ba14_11ef_a69a_047c1617b143_bb06b630_e214_11ef_a6cd_047c1617b143351.jpeg"/><Relationship Id="rId352" Type="http://schemas.openxmlformats.org/officeDocument/2006/relationships/image" Target="../media/7b151f0c_ba14_11ef_a69a_047c1617b143_bb06b632_e214_11ef_a6cd_047c1617b143352.jpeg"/><Relationship Id="rId353" Type="http://schemas.openxmlformats.org/officeDocument/2006/relationships/image" Target="../media/974fdcf9_cf51_11ee_a55e_047c1617b143_bb06b634_e214_11ef_a6cd_047c1617b143353.jpeg"/><Relationship Id="rId354" Type="http://schemas.openxmlformats.org/officeDocument/2006/relationships/image" Target="../media/7b151f0e_ba14_11ef_a69a_047c1617b143_bb06b637_e214_11ef_a6cd_047c1617b143354.jpeg"/><Relationship Id="rId355" Type="http://schemas.openxmlformats.org/officeDocument/2006/relationships/image" Target="../media/7b151f10_ba14_11ef_a69a_047c1617b143_bb06b63a_e214_11ef_a6cd_047c1617b143355.jpeg"/><Relationship Id="rId356" Type="http://schemas.openxmlformats.org/officeDocument/2006/relationships/image" Target="../media/7b151f12_ba14_11ef_a69a_047c1617b143_bb06b63d_e214_11ef_a6cd_047c1617b143356.jpeg"/><Relationship Id="rId357" Type="http://schemas.openxmlformats.org/officeDocument/2006/relationships/image" Target="../media/7b151f14_ba14_11ef_a69a_047c1617b143_b7afc1d6_e218_11ef_a6cd_047c1617b143357.jpeg"/><Relationship Id="rId358" Type="http://schemas.openxmlformats.org/officeDocument/2006/relationships/image" Target="../media/7b151f16_ba14_11ef_a69a_047c1617b143_b7afc1d7_e218_11ef_a6cd_047c1617b143358.jpeg"/><Relationship Id="rId359" Type="http://schemas.openxmlformats.org/officeDocument/2006/relationships/image" Target="../media/7b151f18_ba14_11ef_a69a_047c1617b143_b7afc1d8_e218_11ef_a6cd_047c1617b143359.jpeg"/><Relationship Id="rId360" Type="http://schemas.openxmlformats.org/officeDocument/2006/relationships/image" Target="../media/7b151f1a_ba14_11ef_a69a_047c1617b143_bb06b640_e214_11ef_a6cd_047c1617b143360.jpeg"/><Relationship Id="rId361" Type="http://schemas.openxmlformats.org/officeDocument/2006/relationships/image" Target="../media/7b151f1c_ba14_11ef_a69a_047c1617b143_bb06b643_e214_11ef_a6cd_047c1617b143361.jpeg"/><Relationship Id="rId362" Type="http://schemas.openxmlformats.org/officeDocument/2006/relationships/image" Target="../media/7b151f1e_ba14_11ef_a69a_047c1617b143_bb06b646_e214_11ef_a6cd_047c1617b143362.jpeg"/><Relationship Id="rId363" Type="http://schemas.openxmlformats.org/officeDocument/2006/relationships/image" Target="../media/7b151f20_ba14_11ef_a69a_047c1617b143_bb06b649_e214_11ef_a6cd_047c1617b143363.jpeg"/><Relationship Id="rId364" Type="http://schemas.openxmlformats.org/officeDocument/2006/relationships/image" Target="../media/7b151f22_ba14_11ef_a69a_047c1617b143_bb06b64c_e214_11ef_a6cd_047c1617b143364.jpeg"/><Relationship Id="rId365" Type="http://schemas.openxmlformats.org/officeDocument/2006/relationships/image" Target="../media/7b151f24_ba14_11ef_a69a_047c1617b143_bb06b64d_e214_11ef_a6cd_047c1617b143365.jpeg"/><Relationship Id="rId366" Type="http://schemas.openxmlformats.org/officeDocument/2006/relationships/image" Target="../media/7b151f26_ba14_11ef_a69a_047c1617b143_bb06b64e_e214_11ef_a6cd_047c1617b143366.jpeg"/><Relationship Id="rId367" Type="http://schemas.openxmlformats.org/officeDocument/2006/relationships/image" Target="../media/7b151f28_ba14_11ef_a69a_047c1617b143_bb06b64f_e214_11ef_a6cd_047c1617b143367.jpeg"/><Relationship Id="rId368" Type="http://schemas.openxmlformats.org/officeDocument/2006/relationships/image" Target="../media/7b151f2a_ba14_11ef_a69a_047c1617b143_bb06b651_e214_11ef_a6cd_047c1617b143368.jpeg"/><Relationship Id="rId369" Type="http://schemas.openxmlformats.org/officeDocument/2006/relationships/image" Target="../media/7b151f2c_ba14_11ef_a69a_047c1617b143_bb06b653_e214_11ef_a6cd_047c1617b143369.jpeg"/><Relationship Id="rId370" Type="http://schemas.openxmlformats.org/officeDocument/2006/relationships/image" Target="../media/7b151f2e_ba14_11ef_a69a_047c1617b143_bb06b654_e214_11ef_a6cd_047c1617b143370.jpeg"/><Relationship Id="rId371" Type="http://schemas.openxmlformats.org/officeDocument/2006/relationships/image" Target="../media/7b151f30_ba14_11ef_a69a_047c1617b143_bb06b655_e214_11ef_a6cd_047c1617b143371.jpeg"/><Relationship Id="rId372" Type="http://schemas.openxmlformats.org/officeDocument/2006/relationships/image" Target="../media/7b151f32_ba14_11ef_a69a_047c1617b143_bb06b656_e214_11ef_a6cd_047c1617b143372.jpeg"/><Relationship Id="rId373" Type="http://schemas.openxmlformats.org/officeDocument/2006/relationships/image" Target="../media/7b151f34_ba14_11ef_a69a_047c1617b143_bb06b657_e214_11ef_a6cd_047c1617b143373.jpeg"/><Relationship Id="rId374" Type="http://schemas.openxmlformats.org/officeDocument/2006/relationships/image" Target="../media/e6d464c1_12f8_11f0_a70e_047c1617b143_0172d6b4_229c_11f1_a889_047c1617b143374.jpeg"/><Relationship Id="rId375" Type="http://schemas.openxmlformats.org/officeDocument/2006/relationships/image" Target="../media/5acc0337_12fb_11f0_a70e_047c1617b143_0172d6b5_229c_11f1_a889_047c1617b143375.jpeg"/><Relationship Id="rId376" Type="http://schemas.openxmlformats.org/officeDocument/2006/relationships/image" Target="../media/14ba1596_ce2b_11f0_a80d_047c1617b143_b4b9bca8_d8cb_11f0_a81b_047c1617b143376.jpeg"/><Relationship Id="rId377" Type="http://schemas.openxmlformats.org/officeDocument/2006/relationships/image" Target="../media/14ba1598_ce2b_11f0_a80d_047c1617b143_b4b9bcaa_d8cb_11f0_a81b_047c1617b143377.jpeg"/><Relationship Id="rId378" Type="http://schemas.openxmlformats.org/officeDocument/2006/relationships/image" Target="../media/14ba159a_ce2b_11f0_a80d_047c1617b143_b4b9bcac_d8cb_11f0_a81b_047c1617b143378.jpeg"/><Relationship Id="rId379" Type="http://schemas.openxmlformats.org/officeDocument/2006/relationships/image" Target="../media/14ba15a2_ce2b_11f0_a80d_047c1617b143_4d4add13_d917_11f0_a81b_047c1617b143379.jpeg"/><Relationship Id="rId380" Type="http://schemas.openxmlformats.org/officeDocument/2006/relationships/image" Target="../media/14ba15a4_ce2b_11f0_a80d_047c1617b143_4d4add15_d917_11f0_a81b_047c1617b143380.jpeg"/><Relationship Id="rId381" Type="http://schemas.openxmlformats.org/officeDocument/2006/relationships/image" Target="../media/14ba15a6_ce2b_11f0_a80d_047c1617b143_4d4add17_d917_11f0_a81b_047c1617b143381.jpeg"/><Relationship Id="rId382" Type="http://schemas.openxmlformats.org/officeDocument/2006/relationships/image" Target="../media/14ba15d8_ce2b_11f0_a80d_047c1617b143_4d4add19_d917_11f0_a81b_047c1617b143382.png"/><Relationship Id="rId383" Type="http://schemas.openxmlformats.org/officeDocument/2006/relationships/image" Target="../media/14ba15da_ce2b_11f0_a80d_047c1617b143_4d4add1a_d917_11f0_a81b_047c1617b143383.png"/><Relationship Id="rId384" Type="http://schemas.openxmlformats.org/officeDocument/2006/relationships/image" Target="../media/14ba15dc_ce2b_11f0_a80d_047c1617b143_4d4add1b_d917_11f0_a81b_047c1617b143384.png"/><Relationship Id="rId385" Type="http://schemas.openxmlformats.org/officeDocument/2006/relationships/image" Target="../media/14ba15de_ce2b_11f0_a80d_047c1617b143_4d4add1c_d917_11f0_a81b_047c1617b143385.png"/><Relationship Id="rId386" Type="http://schemas.openxmlformats.org/officeDocument/2006/relationships/image" Target="../media/14ba15e0_ce2b_11f0_a80d_047c1617b143_4d4add1d_d917_11f0_a81b_047c1617b143386.jpeg"/><Relationship Id="rId387" Type="http://schemas.openxmlformats.org/officeDocument/2006/relationships/image" Target="../media/14ba15e2_ce2b_11f0_a80d_047c1617b143_4d4add1e_d917_11f0_a81b_047c1617b143387.jpeg"/><Relationship Id="rId388" Type="http://schemas.openxmlformats.org/officeDocument/2006/relationships/image" Target="../media/14ba15e4_ce2b_11f0_a80d_047c1617b143_4d4add1f_d917_11f0_a81b_047c1617b143388.jpeg"/><Relationship Id="rId389" Type="http://schemas.openxmlformats.org/officeDocument/2006/relationships/image" Target="../media/14ba15e6_ce2b_11f0_a80d_047c1617b143_4d4add20_d917_11f0_a81b_047c1617b143389.jpeg"/><Relationship Id="rId390" Type="http://schemas.openxmlformats.org/officeDocument/2006/relationships/image" Target="../media/14ba15e8_ce2b_11f0_a80d_047c1617b143_4d4add21_d917_11f0_a81b_047c1617b143390.jpeg"/><Relationship Id="rId391" Type="http://schemas.openxmlformats.org/officeDocument/2006/relationships/image" Target="../media/14ba15ea_ce2b_11f0_a80d_047c1617b143_4d4add22_d917_11f0_a81b_047c1617b143391.jpeg"/><Relationship Id="rId392" Type="http://schemas.openxmlformats.org/officeDocument/2006/relationships/image" Target="../media/14ba15ec_ce2b_11f0_a80d_047c1617b143_4d4add23_d917_11f0_a81b_047c1617b143392.jpeg"/><Relationship Id="rId393" Type="http://schemas.openxmlformats.org/officeDocument/2006/relationships/image" Target="../media/14ba15ee_ce2b_11f0_a80d_047c1617b143_4d4add24_d917_11f0_a81b_047c1617b143393.jpeg"/><Relationship Id="rId394" Type="http://schemas.openxmlformats.org/officeDocument/2006/relationships/image" Target="../media/14ba15f0_ce2b_11f0_a80d_047c1617b143_4d4add25_d917_11f0_a81b_047c1617b143394.jpeg"/><Relationship Id="rId395" Type="http://schemas.openxmlformats.org/officeDocument/2006/relationships/image" Target="../media/14ba15f2_ce2b_11f0_a80d_047c1617b143_4d4add26_d917_11f0_a81b_047c1617b143395.jpeg"/><Relationship Id="rId396" Type="http://schemas.openxmlformats.org/officeDocument/2006/relationships/image" Target="../media/14ba15f4_ce2b_11f0_a80d_047c1617b143_4d4add32_d917_11f0_a81b_047c1617b143396.jpeg"/><Relationship Id="rId397" Type="http://schemas.openxmlformats.org/officeDocument/2006/relationships/image" Target="../media/14ba15f6_ce2b_11f0_a80d_047c1617b143_4d4add33_d917_11f0_a81b_047c1617b143397.jpeg"/><Relationship Id="rId398" Type="http://schemas.openxmlformats.org/officeDocument/2006/relationships/image" Target="../media/14ba15f8_ce2b_11f0_a80d_047c1617b143_4d4add27_d917_11f0_a81b_047c1617b143398.jpeg"/><Relationship Id="rId399" Type="http://schemas.openxmlformats.org/officeDocument/2006/relationships/image" Target="../media/14ba15fa_ce2b_11f0_a80d_047c1617b143_4d4add28_d917_11f0_a81b_047c1617b143399.jpeg"/><Relationship Id="rId400" Type="http://schemas.openxmlformats.org/officeDocument/2006/relationships/image" Target="../media/14ba15fc_ce2b_11f0_a80d_047c1617b143_4d4add29_d917_11f0_a81b_047c1617b143400.jpeg"/><Relationship Id="rId401" Type="http://schemas.openxmlformats.org/officeDocument/2006/relationships/image" Target="../media/14ba15fe_ce2b_11f0_a80d_047c1617b143_4d4add2a_d917_11f0_a81b_047c1617b143401.jpeg"/><Relationship Id="rId402" Type="http://schemas.openxmlformats.org/officeDocument/2006/relationships/image" Target="../media/14ba1600_ce2b_11f0_a80d_047c1617b143_4d4add2b_d917_11f0_a81b_047c1617b143402.jpeg"/><Relationship Id="rId403" Type="http://schemas.openxmlformats.org/officeDocument/2006/relationships/image" Target="../media/14ba1602_ce2b_11f0_a80d_047c1617b143_4d4add2c_d917_11f0_a81b_047c1617b143403.jpeg"/><Relationship Id="rId404" Type="http://schemas.openxmlformats.org/officeDocument/2006/relationships/image" Target="../media/14ba1604_ce2b_11f0_a80d_047c1617b143_4d4add2d_d917_11f0_a81b_047c1617b143404.jpeg"/><Relationship Id="rId405" Type="http://schemas.openxmlformats.org/officeDocument/2006/relationships/image" Target="../media/14ba1606_ce2b_11f0_a80d_047c1617b143_4d4add2e_d917_11f0_a81b_047c1617b143405.jpeg"/><Relationship Id="rId406" Type="http://schemas.openxmlformats.org/officeDocument/2006/relationships/image" Target="../media/14ba1608_ce2b_11f0_a80d_047c1617b143_4d4add2f_d917_11f0_a81b_047c1617b143406.jpeg"/><Relationship Id="rId407" Type="http://schemas.openxmlformats.org/officeDocument/2006/relationships/image" Target="../media/14ba160a_ce2b_11f0_a80d_047c1617b143_4d4add30_d917_11f0_a81b_047c1617b143407.jpeg"/><Relationship Id="rId408" Type="http://schemas.openxmlformats.org/officeDocument/2006/relationships/image" Target="../media/14ba160c_ce2b_11f0_a80d_047c1617b143_4d4add34_d917_11f0_a81b_047c1617b143408.jpeg"/><Relationship Id="rId409" Type="http://schemas.openxmlformats.org/officeDocument/2006/relationships/image" Target="../media/14ba160e_ce2b_11f0_a80d_047c1617b143_4d4add35_d917_11f0_a81b_047c1617b143409.jpeg"/><Relationship Id="rId410" Type="http://schemas.openxmlformats.org/officeDocument/2006/relationships/image" Target="../media/14ba1610_ce2b_11f0_a80d_047c1617b143_4d4add36_d917_11f0_a81b_047c1617b143410.jpeg"/><Relationship Id="rId411" Type="http://schemas.openxmlformats.org/officeDocument/2006/relationships/image" Target="../media/1af32c8c_ce2b_11f0_a80d_047c1617b143_4d4add3d_d917_11f0_a81b_047c1617b143411.jpeg"/><Relationship Id="rId412" Type="http://schemas.openxmlformats.org/officeDocument/2006/relationships/image" Target="../media/1af32c8e_ce2b_11f0_a80d_047c1617b143_4d4add3e_d917_11f0_a81b_047c1617b143412.jpeg"/><Relationship Id="rId413" Type="http://schemas.openxmlformats.org/officeDocument/2006/relationships/image" Target="../media/1af32c90_ce2b_11f0_a80d_047c1617b143_4d4add3f_d917_11f0_a81b_047c1617b1434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4" name="Image_70" descr="Image_7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0" name="Image_76" descr="Image_7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1" name="Image_77" descr="Image_7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2" name="Image_78" descr="Image_7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3" name="Image_79" descr="Image_7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4" name="Image_80" descr="Image_8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9" name="Image_85" descr="Image_8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0" name="Image_86" descr="Image_8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1" name="Image_87" descr="Image_87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2" name="Image_88" descr="Image_88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3" name="Image_89" descr="Image_89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4" name="Image_90" descr="Image_90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5" name="Image_91" descr="Image_91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6" name="Image_92" descr="Image_92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7" name="Image_93" descr="Image_93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8" name="Image_94" descr="Image_94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9" name="Image_95" descr="Image_95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0" name="Image_96" descr="Image_96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1" name="Image_97" descr="Image_97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2" name="Image_98" descr="Image_98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3" name="Image_99" descr="Image_99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4" name="Image_100" descr="Image_100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5" name="Image_101" descr="Image_101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6" name="Image_102" descr="Image_102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7" name="Image_103" descr="Image_103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8" name="Image_104" descr="Image_104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9" name="Image_105" descr="Image_105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0" name="Image_106" descr="Image_106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1" name="Image_107" descr="Image_107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2" name="Image_108" descr="Image_108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3" name="Image_109" descr="Image_109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4" name="Image_110" descr="Image_110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5" name="Image_111" descr="Image_111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6" name="Image_112" descr="Image_112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7" name="Image_113" descr="Image_113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8" name="Image_114" descr="Image_114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9" name="Image_115" descr="Image_115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0" name="Image_116" descr="Image_116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1" name="Image_118" descr="Image_11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2" name="Image_119" descr="Image_11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3" name="Image_120" descr="Image_12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4" name="Image_121" descr="Image_12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5" name="Image_122" descr="Image_12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6" name="Image_123" descr="Image_123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7" name="Image_125" descr="Image_12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8" name="Image_126" descr="Image_12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9" name="Image_127" descr="Image_12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0" name="Image_128" descr="Image_12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1" name="Image_129" descr="Image_12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2" name="Image_130" descr="Image_13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3" name="Image_131" descr="Image_13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4" name="Image_132" descr="Image_132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5" name="Image_133" descr="Image_133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6" name="Image_134" descr="Image_134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7" name="Image_135" descr="Image_135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8" name="Image_136" descr="Image_136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9" name="Image_137" descr="Image_13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0" name="Image_139" descr="Image_13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1" name="Image_140" descr="Image_140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2" name="Image_141" descr="Image_141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3" name="Image_142" descr="Image_142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4" name="Image_143" descr="Image_143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5" name="Image_144" descr="Image_144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6" name="Image_145" descr="Image_145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7" name="Image_146" descr="Image_146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8" name="Image_147" descr="Image_147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9" name="Image_148" descr="Image_148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0" name="Image_149" descr="Image_149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1" name="Image_150" descr="Image_150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2" name="Image_151" descr="Image_151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3" name="Image_152" descr="Image_152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4" name="Image_153" descr="Image_153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5" name="Image_154" descr="Image_154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6" name="Image_155" descr="Image_155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7" name="Image_156" descr="Image_156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8" name="Image_157" descr="Image_157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9" name="Image_158" descr="Image_158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0" name="Image_159" descr="Image_159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1" name="Image_161" descr="Image_161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2" name="Image_162" descr="Image_162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3" name="Image_163" descr="Image_163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4" name="Image_164" descr="Image_164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5" name="Image_165" descr="Image_165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6" name="Image_166" descr="Image_166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7" name="Image_167" descr="Image_167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8" name="Image_169" descr="Image_169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9" name="Image_170" descr="Image_170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0" name="Image_171" descr="Image_171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1" name="Image_172" descr="Image_172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2" name="Image_173" descr="Image_173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3" name="Image_174" descr="Image_174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4" name="Image_175" descr="Image_175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5" name="Image_176" descr="Image_176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6" name="Image_177" descr="Image_177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7" name="Image_178" descr="Image_178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8" name="Image_179" descr="Image_179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9" name="Image_180" descr="Image_180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0" name="Image_181" descr="Image_181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1" name="Image_184" descr="Image_18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2" name="Image_185" descr="Image_18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3" name="Image_186" descr="Image_18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4" name="Image_187" descr="Image_18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5" name="Image_188" descr="Image_18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6" name="Image_189" descr="Image_18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7" name="Image_190" descr="Image_19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8" name="Image_191" descr="Image_19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9" name="Image_192" descr="Image_19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0" name="Image_193" descr="Image_193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1" name="Image_194" descr="Image_194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2" name="Image_195" descr="Image_195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3" name="Image_196" descr="Image_196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4" name="Image_201" descr="Image_201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5" name="Image_202" descr="Image_202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6" name="Image_203" descr="Image_203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7" name="Image_204" descr="Image_204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8" name="Image_205" descr="Image_205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9" name="Image_206" descr="Image_206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0" name="Image_207" descr="Image_207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1" name="Image_208" descr="Image_208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2" name="Image_209" descr="Image_209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3" name="Image_210" descr="Image_210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4" name="Image_211" descr="Image_211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5" name="Image_212" descr="Image_212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6" name="Image_213" descr="Image_213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7" name="Image_214" descr="Image_214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8" name="Image_215" descr="Image_215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9" name="Image_216" descr="Image_216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0" name="Image_217" descr="Image_217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1" name="Image_218" descr="Image_218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2" name="Image_219" descr="Image_219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3" name="Image_220" descr="Image_220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4" name="Image_221" descr="Image_221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5" name="Image_222" descr="Image_222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6" name="Image_223" descr="Image_223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7" name="Image_224" descr="Image_224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08" name="Image_225" descr="Image_225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09" name="Image_226" descr="Image_226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0" name="Image_227" descr="Image_227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1" name="Image_228" descr="Image_228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2" name="Image_229" descr="Image_229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3" name="Image_230" descr="Image_230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4" name="Image_231" descr="Image_231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5" name="Image_232" descr="Image_232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6" name="Image_233" descr="Image_233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17" name="Image_234" descr="Image_234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18" name="Image_235" descr="Image_235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19" name="Image_236" descr="Image_236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0" name="Image_237" descr="Image_237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1" name="Image_238" descr="Image_238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2" name="Image_239" descr="Image_239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3" name="Image_240" descr="Image_240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4" name="Image_241" descr="Image_241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5" name="Image_242" descr="Image_242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6" name="Image_243" descr="Image_243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27" name="Image_244" descr="Image_244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28" name="Image_245" descr="Image_245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29" name="Image_246" descr="Image_246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0" name="Image_248" descr="Image_248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1" name="Image_249" descr="Image_249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2" name="Image_250" descr="Image_250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33" name="Image_251" descr="Image_251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4" name="Image_252" descr="Image_252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35" name="Image_253" descr="Image_253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36" name="Image_254" descr="Image_254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37" name="Image_255" descr="Image_255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38" name="Image_256" descr="Image_256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39" name="Image_257" descr="Image_257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0" name="Image_258" descr="Image_258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41" name="Image_259" descr="Image_259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42" name="Image_260" descr="Image_260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43" name="Image_261" descr="Image_261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44" name="Image_262" descr="Image_262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45" name="Image_263" descr="Image_263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46" name="Image_264" descr="Image_264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47" name="Image_265" descr="Image_265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48" name="Image_266" descr="Image_266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49" name="Image_267" descr="Image_267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50" name="Image_268" descr="Image_268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51" name="Image_271" descr="Image_271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52" name="Image_272" descr="Image_272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53" name="Image_273" descr="Image_273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54" name="Image_274" descr="Image_274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55" name="Image_275" descr="Image_275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56" name="Image_276" descr="Image_276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57" name="Image_277" descr="Image_277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58" name="Image_278" descr="Image_278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59" name="Image_279" descr="Image_279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60" name="Image_280" descr="Image_280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61" name="Image_281" descr="Image_281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62" name="Image_282" descr="Image_282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63" name="Image_283" descr="Image_283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64" name="Image_284" descr="Image_284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65" name="Image_285" descr="Image_285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66" name="Image_286" descr="Image_286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67" name="Image_287" descr="Image_287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68" name="Image_288" descr="Image_288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69" name="Image_289" descr="Image_289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70" name="Image_290" descr="Image_290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71" name="Image_291" descr="Image_291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72" name="Image_292" descr="Image_292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73" name="Image_293" descr="Image_293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74" name="Image_294" descr="Image_294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75" name="Image_295" descr="Image_295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76" name="Image_296" descr="Image_296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77" name="Image_297" descr="Image_297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78" name="Image_298" descr="Image_298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79" name="Image_299" descr="Image_299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80" name="Image_300" descr="Image_300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81" name="Image_301" descr="Image_301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82" name="Image_302" descr="Image_302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83" name="Image_303" descr="Image_303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84" name="Image_304" descr="Image_304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85" name="Image_305" descr="Image_305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86" name="Image_306" descr="Image_306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87" name="Image_307" descr="Image_307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88" name="Image_308" descr="Image_308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89" name="Image_309" descr="Image_309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90" name="Image_310" descr="Image_310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91" name="Image_311" descr="Image_311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92" name="Image_312" descr="Image_312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93" name="Image_313" descr="Image_313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94" name="Image_315" descr="Image_315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95" name="Image_316" descr="Image_316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96" name="Image_317" descr="Image_317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97" name="Image_318" descr="Image_318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298" name="Image_319" descr="Image_319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299" name="Image_320" descr="Image_320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00" name="Image_323" descr="Image_323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01" name="Image_324" descr="Image_324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02" name="Image_325" descr="Image_325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03" name="Image_326" descr="Image_326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04" name="Image_327" descr="Image_327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05" name="Image_328" descr="Image_328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06" name="Image_329" descr="Image_329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07" name="Image_330" descr="Image_330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08" name="Image_331" descr="Image_331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09" name="Image_332" descr="Image_332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10" name="Image_333" descr="Image_333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11" name="Image_334" descr="Image_334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12" name="Image_335" descr="Image_335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13" name="Image_336" descr="Image_336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14" name="Image_337" descr="Image_337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15" name="Image_338" descr="Image_338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16" name="Image_339" descr="Image_339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17" name="Image_340" descr="Image_340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18" name="Image_341" descr="Image_341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19" name="Image_342" descr="Image_342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20" name="Image_343" descr="Image_343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21" name="Image_344" descr="Image_344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22" name="Image_345" descr="Image_345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23" name="Image_346" descr="Image_346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24" name="Image_347" descr="Image_347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25" name="Image_348" descr="Image_348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26" name="Image_349" descr="Image_349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27" name="Image_350" descr="Image_350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28" name="Image_351" descr="Image_351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29" name="Image_353" descr="Image_353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30" name="Image_354" descr="Image_354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31" name="Image_355" descr="Image_355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32" name="Image_356" descr="Image_356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33" name="Image_357" descr="Image_357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34" name="Image_358" descr="Image_358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35" name="Image_360" descr="Image_360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36" name="Image_361" descr="Image_361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37" name="Image_362" descr="Image_362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38" name="Image_363" descr="Image_363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39" name="Image_364" descr="Image_364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40" name="Image_365" descr="Image_365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41" name="Image_366" descr="Image_366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42" name="Image_367" descr="Image_367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43" name="Image_368" descr="Image_368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44" name="Image_369" descr="Image_369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45" name="Image_370" descr="Image_370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46" name="Image_371" descr="Image_371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47" name="Image_372" descr="Image_372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48" name="Image_373" descr="Image_373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49" name="Image_374" descr="Image_374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50" name="Image_375" descr="Image_375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51" name="Image_376" descr="Image_376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52" name="Image_377" descr="Image_377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53" name="Image_378" descr="Image_378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54" name="Image_379" descr="Image_379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55" name="Image_380" descr="Image_380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56" name="Image_381" descr="Image_381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57" name="Image_382" descr="Image_382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58" name="Image_383" descr="Image_383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59" name="Image_384" descr="Image_384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60" name="Image_385" descr="Image_385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61" name="Image_386" descr="Image_386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62" name="Image_387" descr="Image_387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63" name="Image_388" descr="Image_388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64" name="Image_389" descr="Image_389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65" name="Image_390" descr="Image_390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66" name="Image_391" descr="Image_391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67" name="Image_392" descr="Image_392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68" name="Image_393" descr="Image_393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69" name="Image_394" descr="Image_394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70" name="Image_395" descr="Image_395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71" name="Image_396" descr="Image_396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72" name="Image_397" descr="Image_397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73" name="Image_398" descr="Image_398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74" name="Image_400" descr="Image_400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75" name="Image_401" descr="Image_401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76" name="Image_403" descr="Image_403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77" name="Image_404" descr="Image_404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78" name="Image_405" descr="Image_405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79" name="Image_406" descr="Image_406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80" name="Image_407" descr="Image_407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81" name="Image_408" descr="Image_408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82" name="Image_409" descr="Image_409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383" name="Image_410" descr="Image_410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384" name="Image_411" descr="Image_411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385" name="Image_412" descr="Image_412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386" name="Image_413" descr="Image_413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387" name="Image_414" descr="Image_414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388" name="Image_415" descr="Image_415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389" name="Image_416" descr="Image_416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390" name="Image_417" descr="Image_417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391" name="Image_418" descr="Image_418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392" name="Image_419" descr="Image_419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393" name="Image_420" descr="Image_420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394" name="Image_421" descr="Image_421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395" name="Image_422" descr="Image_422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396" name="Image_423" descr="Image_423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397" name="Image_424" descr="Image_424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398" name="Image_425" descr="Image_425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399" name="Image_426" descr="Image_426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400" name="Image_427" descr="Image_427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01" name="Image_428" descr="Image_428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02" name="Image_429" descr="Image_429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03" name="Image_430" descr="Image_430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04" name="Image_431" descr="Image_431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05" name="Image_432" descr="Image_432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06" name="Image_433" descr="Image_433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07" name="Image_434" descr="Image_434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08" name="Image_435" descr="Image_435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09" name="Image_436" descr="Image_436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10" name="Image_437" descr="Image_437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11" name="Image_438" descr="Image_438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12" name="Image_439" descr="Image_439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13" name="Image_440" descr="Image_440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4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SUM(J2:J440)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811019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J5*224.91</f>
        <v>0</v>
      </c>
      <c r="L5" s="5"/>
    </row>
    <row r="6" spans="1:12" customHeight="1" ht="105" outlineLevel="4">
      <c r="A6" s="1"/>
      <c r="B6" s="1">
        <v>811020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J6*311.64</f>
        <v>0</v>
      </c>
      <c r="L6" s="5"/>
    </row>
    <row r="7" spans="1:12" customHeight="1" ht="105" outlineLevel="4">
      <c r="A7" s="1"/>
      <c r="B7" s="1">
        <v>811021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23</v>
      </c>
      <c r="H7" s="2">
        <v>0</v>
      </c>
      <c r="I7" s="1">
        <v>0</v>
      </c>
      <c r="J7" s="3" t="s">
        <v>18</v>
      </c>
      <c r="K7" s="2" t="str">
        <f>J7*486.57</f>
        <v>0</v>
      </c>
      <c r="L7" s="5"/>
    </row>
    <row r="8" spans="1:12" customHeight="1" ht="105" outlineLevel="4">
      <c r="A8" s="1"/>
      <c r="B8" s="1">
        <v>811022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18</v>
      </c>
      <c r="K8" s="2" t="str">
        <f>J8*232.26</f>
        <v>0</v>
      </c>
      <c r="L8" s="5"/>
    </row>
    <row r="9" spans="1:12" customHeight="1" ht="105" outlineLevel="4">
      <c r="A9" s="1"/>
      <c r="B9" s="1">
        <v>811023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23</v>
      </c>
      <c r="H9" s="2">
        <v>0</v>
      </c>
      <c r="I9" s="1">
        <v>0</v>
      </c>
      <c r="J9" s="3" t="s">
        <v>18</v>
      </c>
      <c r="K9" s="2" t="str">
        <f>J9*324.87</f>
        <v>0</v>
      </c>
      <c r="L9" s="5"/>
    </row>
    <row r="10" spans="1:12" customHeight="1" ht="105" outlineLevel="4">
      <c r="A10" s="1"/>
      <c r="B10" s="1">
        <v>811024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8</v>
      </c>
      <c r="H10" s="2">
        <v>0</v>
      </c>
      <c r="I10" s="1">
        <v>0</v>
      </c>
      <c r="J10" s="3" t="s">
        <v>18</v>
      </c>
      <c r="K10" s="2" t="str">
        <f>J10*508.62</f>
        <v>0</v>
      </c>
      <c r="L10" s="5"/>
    </row>
    <row r="11" spans="1:12" customHeight="1" ht="105" outlineLevel="4">
      <c r="A11" s="1"/>
      <c r="B11" s="1">
        <v>823091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23</v>
      </c>
      <c r="H11" s="2">
        <v>0</v>
      </c>
      <c r="I11" s="1">
        <v>0</v>
      </c>
      <c r="J11" s="3" t="s">
        <v>18</v>
      </c>
      <c r="K11" s="2" t="str">
        <f>J11*227.85</f>
        <v>0</v>
      </c>
      <c r="L11" s="5"/>
    </row>
    <row r="12" spans="1:12" customHeight="1" ht="105" outlineLevel="4">
      <c r="A12" s="1"/>
      <c r="B12" s="1">
        <v>823092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48</v>
      </c>
      <c r="H12" s="2">
        <v>0</v>
      </c>
      <c r="I12" s="1">
        <v>0</v>
      </c>
      <c r="J12" s="3" t="s">
        <v>18</v>
      </c>
      <c r="K12" s="2" t="str">
        <f>J12*318.99</f>
        <v>0</v>
      </c>
      <c r="L12" s="5"/>
    </row>
    <row r="13" spans="1:12" customHeight="1" ht="105" outlineLevel="4">
      <c r="A13" s="1"/>
      <c r="B13" s="1">
        <v>823118</v>
      </c>
      <c r="C13" s="1" t="s">
        <v>49</v>
      </c>
      <c r="D13" s="1" t="s">
        <v>50</v>
      </c>
      <c r="E13" s="2" t="s">
        <v>51</v>
      </c>
      <c r="F13" s="2" t="s">
        <v>52</v>
      </c>
      <c r="G13" s="2" t="s">
        <v>48</v>
      </c>
      <c r="H13" s="2">
        <v>0</v>
      </c>
      <c r="I13" s="1">
        <v>0</v>
      </c>
      <c r="J13" s="3" t="s">
        <v>18</v>
      </c>
      <c r="K13" s="2" t="str">
        <f>J13*483.63</f>
        <v>0</v>
      </c>
      <c r="L13" s="5"/>
    </row>
    <row r="14" spans="1:12" customHeight="1" ht="105" outlineLevel="4">
      <c r="A14" s="1"/>
      <c r="B14" s="1">
        <v>823971</v>
      </c>
      <c r="C14" s="1" t="s">
        <v>53</v>
      </c>
      <c r="D14" s="1" t="s">
        <v>54</v>
      </c>
      <c r="E14" s="2" t="s">
        <v>55</v>
      </c>
      <c r="F14" s="2" t="s">
        <v>31</v>
      </c>
      <c r="G14" s="2">
        <v>1</v>
      </c>
      <c r="H14" s="2">
        <v>0</v>
      </c>
      <c r="I14" s="1">
        <v>0</v>
      </c>
      <c r="J14" s="3" t="s">
        <v>18</v>
      </c>
      <c r="K14" s="2" t="str">
        <f>J14*232.26</f>
        <v>0</v>
      </c>
      <c r="L14" s="5"/>
    </row>
    <row r="15" spans="1:12" customHeight="1" ht="105" outlineLevel="4">
      <c r="A15" s="1"/>
      <c r="B15" s="1">
        <v>823972</v>
      </c>
      <c r="C15" s="1" t="s">
        <v>56</v>
      </c>
      <c r="D15" s="1" t="s">
        <v>57</v>
      </c>
      <c r="E15" s="2" t="s">
        <v>58</v>
      </c>
      <c r="F15" s="2" t="s">
        <v>59</v>
      </c>
      <c r="G15" s="2" t="s">
        <v>48</v>
      </c>
      <c r="H15" s="2">
        <v>0</v>
      </c>
      <c r="I15" s="1">
        <v>0</v>
      </c>
      <c r="J15" s="3" t="s">
        <v>18</v>
      </c>
      <c r="K15" s="2" t="str">
        <f>J15*329.28</f>
        <v>0</v>
      </c>
      <c r="L15" s="5"/>
    </row>
    <row r="16" spans="1:12" customHeight="1" ht="105" outlineLevel="4">
      <c r="A16" s="1"/>
      <c r="B16" s="1">
        <v>823122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3</v>
      </c>
      <c r="H16" s="2">
        <v>0</v>
      </c>
      <c r="I16" s="1">
        <v>0</v>
      </c>
      <c r="J16" s="3" t="s">
        <v>18</v>
      </c>
      <c r="K16" s="2" t="str">
        <f>J16*502.74</f>
        <v>0</v>
      </c>
      <c r="L16" s="5"/>
    </row>
    <row r="17" spans="1:12" outlineLevel="2">
      <c r="A17" s="8" t="s">
        <v>64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5"/>
    </row>
    <row r="18" spans="1:12" outlineLevel="3">
      <c r="A18" s="9" t="s">
        <v>65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</row>
    <row r="19" spans="1:12" customHeight="1" ht="105" outlineLevel="5">
      <c r="A19" s="1"/>
      <c r="B19" s="1">
        <v>810906</v>
      </c>
      <c r="C19" s="1" t="s">
        <v>66</v>
      </c>
      <c r="D19" s="1" t="s">
        <v>67</v>
      </c>
      <c r="E19" s="2" t="s">
        <v>68</v>
      </c>
      <c r="F19" s="2" t="s">
        <v>69</v>
      </c>
      <c r="G19" s="2">
        <v>0</v>
      </c>
      <c r="H19" s="2" t="s">
        <v>17</v>
      </c>
      <c r="I19" s="1">
        <v>0</v>
      </c>
      <c r="J19" s="3" t="s">
        <v>18</v>
      </c>
      <c r="K19" s="2" t="str">
        <f>J19*640.00</f>
        <v>0</v>
      </c>
      <c r="L19" s="5"/>
    </row>
    <row r="20" spans="1:12" customHeight="1" ht="105" outlineLevel="5">
      <c r="A20" s="1"/>
      <c r="B20" s="1">
        <v>810907</v>
      </c>
      <c r="C20" s="1" t="s">
        <v>70</v>
      </c>
      <c r="D20" s="1" t="s">
        <v>71</v>
      </c>
      <c r="E20" s="2" t="s">
        <v>72</v>
      </c>
      <c r="F20" s="2" t="s">
        <v>73</v>
      </c>
      <c r="G20" s="2">
        <v>0</v>
      </c>
      <c r="H20" s="2" t="s">
        <v>17</v>
      </c>
      <c r="I20" s="1">
        <v>0</v>
      </c>
      <c r="J20" s="3" t="s">
        <v>18</v>
      </c>
      <c r="K20" s="2" t="str">
        <f>J20*934.00</f>
        <v>0</v>
      </c>
      <c r="L20" s="5"/>
    </row>
    <row r="21" spans="1:12" customHeight="1" ht="105" outlineLevel="5">
      <c r="A21" s="1"/>
      <c r="B21" s="1">
        <v>810908</v>
      </c>
      <c r="C21" s="1" t="s">
        <v>74</v>
      </c>
      <c r="D21" s="1" t="s">
        <v>75</v>
      </c>
      <c r="E21" s="2" t="s">
        <v>76</v>
      </c>
      <c r="F21" s="2" t="s">
        <v>77</v>
      </c>
      <c r="G21" s="2">
        <v>0</v>
      </c>
      <c r="H21" s="2">
        <v>1</v>
      </c>
      <c r="I21" s="1">
        <v>0</v>
      </c>
      <c r="J21" s="3" t="s">
        <v>18</v>
      </c>
      <c r="K21" s="2" t="str">
        <f>J21*1424.00</f>
        <v>0</v>
      </c>
      <c r="L21" s="5"/>
    </row>
    <row r="22" spans="1:12" customHeight="1" ht="105" outlineLevel="5">
      <c r="A22" s="1"/>
      <c r="B22" s="1">
        <v>810909</v>
      </c>
      <c r="C22" s="1" t="s">
        <v>78</v>
      </c>
      <c r="D22" s="1" t="s">
        <v>79</v>
      </c>
      <c r="E22" s="2" t="s">
        <v>80</v>
      </c>
      <c r="F22" s="2" t="s">
        <v>81</v>
      </c>
      <c r="G22" s="2">
        <v>0</v>
      </c>
      <c r="H22" s="2" t="s">
        <v>82</v>
      </c>
      <c r="I22" s="1">
        <v>0</v>
      </c>
      <c r="J22" s="3" t="s">
        <v>18</v>
      </c>
      <c r="K22" s="2" t="str">
        <f>J22*658.00</f>
        <v>0</v>
      </c>
      <c r="L22" s="5"/>
    </row>
    <row r="23" spans="1:12" customHeight="1" ht="105" outlineLevel="5">
      <c r="A23" s="1"/>
      <c r="B23" s="1">
        <v>810910</v>
      </c>
      <c r="C23" s="1" t="s">
        <v>83</v>
      </c>
      <c r="D23" s="1" t="s">
        <v>84</v>
      </c>
      <c r="E23" s="2" t="s">
        <v>85</v>
      </c>
      <c r="F23" s="2" t="s">
        <v>86</v>
      </c>
      <c r="G23" s="2" t="s">
        <v>87</v>
      </c>
      <c r="H23" s="2">
        <v>0</v>
      </c>
      <c r="I23" s="1">
        <v>0</v>
      </c>
      <c r="J23" s="3" t="s">
        <v>18</v>
      </c>
      <c r="K23" s="2" t="str">
        <f>J23*569.00</f>
        <v>0</v>
      </c>
      <c r="L23" s="5"/>
    </row>
    <row r="24" spans="1:12" customHeight="1" ht="105" outlineLevel="5">
      <c r="A24" s="1"/>
      <c r="B24" s="1">
        <v>810911</v>
      </c>
      <c r="C24" s="1" t="s">
        <v>88</v>
      </c>
      <c r="D24" s="1" t="s">
        <v>89</v>
      </c>
      <c r="E24" s="2" t="s">
        <v>90</v>
      </c>
      <c r="F24" s="2" t="s">
        <v>91</v>
      </c>
      <c r="G24" s="2">
        <v>0</v>
      </c>
      <c r="H24" s="2" t="s">
        <v>17</v>
      </c>
      <c r="I24" s="1">
        <v>0</v>
      </c>
      <c r="J24" s="3" t="s">
        <v>18</v>
      </c>
      <c r="K24" s="2" t="str">
        <f>J24*541.00</f>
        <v>0</v>
      </c>
      <c r="L24" s="5"/>
    </row>
    <row r="25" spans="1:12" customHeight="1" ht="105" outlineLevel="5">
      <c r="A25" s="1"/>
      <c r="B25" s="1">
        <v>810912</v>
      </c>
      <c r="C25" s="1" t="s">
        <v>92</v>
      </c>
      <c r="D25" s="1" t="s">
        <v>93</v>
      </c>
      <c r="E25" s="2" t="s">
        <v>94</v>
      </c>
      <c r="F25" s="2" t="s">
        <v>95</v>
      </c>
      <c r="G25" s="2" t="s">
        <v>17</v>
      </c>
      <c r="H25" s="2" t="s">
        <v>96</v>
      </c>
      <c r="I25" s="1">
        <v>0</v>
      </c>
      <c r="J25" s="3" t="s">
        <v>18</v>
      </c>
      <c r="K25" s="2" t="str">
        <f>J25*550.00</f>
        <v>0</v>
      </c>
      <c r="L25" s="5"/>
    </row>
    <row r="26" spans="1:12" customHeight="1" ht="105" outlineLevel="5">
      <c r="A26" s="1"/>
      <c r="B26" s="1">
        <v>810913</v>
      </c>
      <c r="C26" s="1" t="s">
        <v>97</v>
      </c>
      <c r="D26" s="1" t="s">
        <v>98</v>
      </c>
      <c r="E26" s="2" t="s">
        <v>99</v>
      </c>
      <c r="F26" s="2" t="s">
        <v>100</v>
      </c>
      <c r="G26" s="2" t="s">
        <v>87</v>
      </c>
      <c r="H26" s="2">
        <v>7</v>
      </c>
      <c r="I26" s="1">
        <v>0</v>
      </c>
      <c r="J26" s="3" t="s">
        <v>18</v>
      </c>
      <c r="K26" s="2" t="str">
        <f>J26*506.00</f>
        <v>0</v>
      </c>
      <c r="L26" s="5"/>
    </row>
    <row r="27" spans="1:12" customHeight="1" ht="105" outlineLevel="5">
      <c r="A27" s="1"/>
      <c r="B27" s="1">
        <v>810914</v>
      </c>
      <c r="C27" s="1" t="s">
        <v>101</v>
      </c>
      <c r="D27" s="1" t="s">
        <v>102</v>
      </c>
      <c r="E27" s="2" t="s">
        <v>103</v>
      </c>
      <c r="F27" s="2" t="s">
        <v>104</v>
      </c>
      <c r="G27" s="2">
        <v>0</v>
      </c>
      <c r="H27" s="2" t="s">
        <v>87</v>
      </c>
      <c r="I27" s="1">
        <v>0</v>
      </c>
      <c r="J27" s="3" t="s">
        <v>18</v>
      </c>
      <c r="K27" s="2" t="str">
        <f>J27*511.00</f>
        <v>0</v>
      </c>
      <c r="L27" s="5"/>
    </row>
    <row r="28" spans="1:12" customHeight="1" ht="105" outlineLevel="5">
      <c r="A28" s="1"/>
      <c r="B28" s="1">
        <v>810915</v>
      </c>
      <c r="C28" s="1" t="s">
        <v>105</v>
      </c>
      <c r="D28" s="1" t="s">
        <v>106</v>
      </c>
      <c r="E28" s="2" t="s">
        <v>107</v>
      </c>
      <c r="F28" s="2" t="s">
        <v>108</v>
      </c>
      <c r="G28" s="2">
        <v>7</v>
      </c>
      <c r="H28" s="2">
        <v>0</v>
      </c>
      <c r="I28" s="1">
        <v>0</v>
      </c>
      <c r="J28" s="3" t="s">
        <v>18</v>
      </c>
      <c r="K28" s="2" t="str">
        <f>J28*1105.00</f>
        <v>0</v>
      </c>
      <c r="L28" s="5"/>
    </row>
    <row r="29" spans="1:12" customHeight="1" ht="105" outlineLevel="5">
      <c r="A29" s="1"/>
      <c r="B29" s="1">
        <v>810916</v>
      </c>
      <c r="C29" s="1" t="s">
        <v>109</v>
      </c>
      <c r="D29" s="1" t="s">
        <v>110</v>
      </c>
      <c r="E29" s="2" t="s">
        <v>111</v>
      </c>
      <c r="F29" s="2" t="s">
        <v>112</v>
      </c>
      <c r="G29" s="2">
        <v>0</v>
      </c>
      <c r="H29" s="2" t="s">
        <v>23</v>
      </c>
      <c r="I29" s="1">
        <v>0</v>
      </c>
      <c r="J29" s="3" t="s">
        <v>18</v>
      </c>
      <c r="K29" s="2" t="str">
        <f>J29*1459.00</f>
        <v>0</v>
      </c>
      <c r="L29" s="5"/>
    </row>
    <row r="30" spans="1:12" customHeight="1" ht="105" outlineLevel="5">
      <c r="A30" s="1"/>
      <c r="B30" s="1">
        <v>810825</v>
      </c>
      <c r="C30" s="1" t="s">
        <v>113</v>
      </c>
      <c r="D30" s="1" t="s">
        <v>114</v>
      </c>
      <c r="E30" s="2" t="s">
        <v>115</v>
      </c>
      <c r="F30" s="2" t="s">
        <v>116</v>
      </c>
      <c r="G30" s="2" t="s">
        <v>17</v>
      </c>
      <c r="H30" s="2" t="s">
        <v>96</v>
      </c>
      <c r="I30" s="1">
        <v>0</v>
      </c>
      <c r="J30" s="3" t="s">
        <v>18</v>
      </c>
      <c r="K30" s="2" t="str">
        <f>J30*503.00</f>
        <v>0</v>
      </c>
      <c r="L30" s="5"/>
    </row>
    <row r="31" spans="1:12" customHeight="1" ht="105" outlineLevel="5">
      <c r="A31" s="1"/>
      <c r="B31" s="1">
        <v>810826</v>
      </c>
      <c r="C31" s="1" t="s">
        <v>117</v>
      </c>
      <c r="D31" s="1" t="s">
        <v>118</v>
      </c>
      <c r="E31" s="2" t="s">
        <v>119</v>
      </c>
      <c r="F31" s="2" t="s">
        <v>120</v>
      </c>
      <c r="G31" s="2" t="s">
        <v>17</v>
      </c>
      <c r="H31" s="2">
        <v>0</v>
      </c>
      <c r="I31" s="1">
        <v>0</v>
      </c>
      <c r="J31" s="3" t="s">
        <v>18</v>
      </c>
      <c r="K31" s="2" t="str">
        <f>J31*777.00</f>
        <v>0</v>
      </c>
      <c r="L31" s="5"/>
    </row>
    <row r="32" spans="1:12" customHeight="1" ht="105" outlineLevel="5">
      <c r="A32" s="1"/>
      <c r="B32" s="1">
        <v>810827</v>
      </c>
      <c r="C32" s="1" t="s">
        <v>121</v>
      </c>
      <c r="D32" s="1" t="s">
        <v>122</v>
      </c>
      <c r="E32" s="2" t="s">
        <v>123</v>
      </c>
      <c r="F32" s="2" t="s">
        <v>124</v>
      </c>
      <c r="G32" s="2" t="s">
        <v>17</v>
      </c>
      <c r="H32" s="2" t="s">
        <v>96</v>
      </c>
      <c r="I32" s="1">
        <v>0</v>
      </c>
      <c r="J32" s="3" t="s">
        <v>18</v>
      </c>
      <c r="K32" s="2" t="str">
        <f>J32*1263.00</f>
        <v>0</v>
      </c>
      <c r="L32" s="5"/>
    </row>
    <row r="33" spans="1:12" customHeight="1" ht="105" outlineLevel="5">
      <c r="A33" s="1"/>
      <c r="B33" s="1">
        <v>810828</v>
      </c>
      <c r="C33" s="1" t="s">
        <v>125</v>
      </c>
      <c r="D33" s="1" t="s">
        <v>126</v>
      </c>
      <c r="E33" s="2" t="s">
        <v>127</v>
      </c>
      <c r="F33" s="2" t="s">
        <v>128</v>
      </c>
      <c r="G33" s="2">
        <v>4</v>
      </c>
      <c r="H33" s="2" t="s">
        <v>82</v>
      </c>
      <c r="I33" s="1">
        <v>0</v>
      </c>
      <c r="J33" s="3" t="s">
        <v>18</v>
      </c>
      <c r="K33" s="2" t="str">
        <f>J33*2059.00</f>
        <v>0</v>
      </c>
      <c r="L33" s="5"/>
    </row>
    <row r="34" spans="1:12" customHeight="1" ht="105" outlineLevel="5">
      <c r="A34" s="1"/>
      <c r="B34" s="1">
        <v>810829</v>
      </c>
      <c r="C34" s="1" t="s">
        <v>129</v>
      </c>
      <c r="D34" s="1" t="s">
        <v>130</v>
      </c>
      <c r="E34" s="2" t="s">
        <v>131</v>
      </c>
      <c r="F34" s="2" t="s">
        <v>132</v>
      </c>
      <c r="G34" s="2">
        <v>8</v>
      </c>
      <c r="H34" s="2" t="s">
        <v>17</v>
      </c>
      <c r="I34" s="1">
        <v>0</v>
      </c>
      <c r="J34" s="3" t="s">
        <v>18</v>
      </c>
      <c r="K34" s="2" t="str">
        <f>J34*3154.00</f>
        <v>0</v>
      </c>
      <c r="L34" s="5"/>
    </row>
    <row r="35" spans="1:12" customHeight="1" ht="105" outlineLevel="5">
      <c r="A35" s="1"/>
      <c r="B35" s="1">
        <v>810830</v>
      </c>
      <c r="C35" s="1" t="s">
        <v>133</v>
      </c>
      <c r="D35" s="1" t="s">
        <v>134</v>
      </c>
      <c r="E35" s="2" t="s">
        <v>135</v>
      </c>
      <c r="F35" s="2" t="s">
        <v>136</v>
      </c>
      <c r="G35" s="2" t="s">
        <v>23</v>
      </c>
      <c r="H35" s="2" t="s">
        <v>17</v>
      </c>
      <c r="I35" s="1">
        <v>0</v>
      </c>
      <c r="J35" s="3" t="s">
        <v>18</v>
      </c>
      <c r="K35" s="2" t="str">
        <f>J35*4445.00</f>
        <v>0</v>
      </c>
      <c r="L35" s="5"/>
    </row>
    <row r="36" spans="1:12" customHeight="1" ht="105" outlineLevel="5">
      <c r="A36" s="1"/>
      <c r="B36" s="1">
        <v>810831</v>
      </c>
      <c r="C36" s="1" t="s">
        <v>137</v>
      </c>
      <c r="D36" s="1" t="s">
        <v>138</v>
      </c>
      <c r="E36" s="2" t="s">
        <v>139</v>
      </c>
      <c r="F36" s="2" t="s">
        <v>140</v>
      </c>
      <c r="G36" s="2">
        <v>0</v>
      </c>
      <c r="H36" s="2" t="s">
        <v>48</v>
      </c>
      <c r="I36" s="1">
        <v>0</v>
      </c>
      <c r="J36" s="3" t="s">
        <v>18</v>
      </c>
      <c r="K36" s="2" t="str">
        <f>J36*11029.00</f>
        <v>0</v>
      </c>
      <c r="L36" s="5"/>
    </row>
    <row r="37" spans="1:12" customHeight="1" ht="105" outlineLevel="5">
      <c r="A37" s="1"/>
      <c r="B37" s="1">
        <v>810832</v>
      </c>
      <c r="C37" s="1" t="s">
        <v>141</v>
      </c>
      <c r="D37" s="1" t="s">
        <v>142</v>
      </c>
      <c r="E37" s="2" t="s">
        <v>143</v>
      </c>
      <c r="F37" s="2" t="s">
        <v>144</v>
      </c>
      <c r="G37" s="2">
        <v>0</v>
      </c>
      <c r="H37" s="2">
        <v>4</v>
      </c>
      <c r="I37" s="1">
        <v>0</v>
      </c>
      <c r="J37" s="3" t="s">
        <v>18</v>
      </c>
      <c r="K37" s="2" t="str">
        <f>J37*16560.00</f>
        <v>0</v>
      </c>
      <c r="L37" s="5"/>
    </row>
    <row r="38" spans="1:12" customHeight="1" ht="105" outlineLevel="5">
      <c r="A38" s="1"/>
      <c r="B38" s="1">
        <v>810833</v>
      </c>
      <c r="C38" s="1" t="s">
        <v>145</v>
      </c>
      <c r="D38" s="1" t="s">
        <v>146</v>
      </c>
      <c r="E38" s="2" t="s">
        <v>147</v>
      </c>
      <c r="F38" s="2" t="s">
        <v>148</v>
      </c>
      <c r="G38" s="2">
        <v>0</v>
      </c>
      <c r="H38" s="2" t="s">
        <v>48</v>
      </c>
      <c r="I38" s="1">
        <v>0</v>
      </c>
      <c r="J38" s="3" t="s">
        <v>18</v>
      </c>
      <c r="K38" s="2" t="str">
        <f>J38*22540.00</f>
        <v>0</v>
      </c>
      <c r="L38" s="5"/>
    </row>
    <row r="39" spans="1:12" customHeight="1" ht="105" outlineLevel="5">
      <c r="A39" s="1"/>
      <c r="B39" s="1">
        <v>810834</v>
      </c>
      <c r="C39" s="1" t="s">
        <v>149</v>
      </c>
      <c r="D39" s="1" t="s">
        <v>150</v>
      </c>
      <c r="E39" s="2" t="s">
        <v>151</v>
      </c>
      <c r="F39" s="2" t="s">
        <v>152</v>
      </c>
      <c r="G39" s="2" t="s">
        <v>17</v>
      </c>
      <c r="H39" s="2">
        <v>4</v>
      </c>
      <c r="I39" s="1">
        <v>0</v>
      </c>
      <c r="J39" s="3" t="s">
        <v>18</v>
      </c>
      <c r="K39" s="2" t="str">
        <f>J39*555.00</f>
        <v>0</v>
      </c>
      <c r="L39" s="5"/>
    </row>
    <row r="40" spans="1:12" customHeight="1" ht="105" outlineLevel="5">
      <c r="A40" s="1"/>
      <c r="B40" s="1">
        <v>810835</v>
      </c>
      <c r="C40" s="1" t="s">
        <v>153</v>
      </c>
      <c r="D40" s="1" t="s">
        <v>154</v>
      </c>
      <c r="E40" s="2" t="s">
        <v>155</v>
      </c>
      <c r="F40" s="2" t="s">
        <v>156</v>
      </c>
      <c r="G40" s="2" t="s">
        <v>48</v>
      </c>
      <c r="H40" s="2" t="s">
        <v>17</v>
      </c>
      <c r="I40" s="1">
        <v>0</v>
      </c>
      <c r="J40" s="3" t="s">
        <v>18</v>
      </c>
      <c r="K40" s="2" t="str">
        <f>J40*830.00</f>
        <v>0</v>
      </c>
      <c r="L40" s="5"/>
    </row>
    <row r="41" spans="1:12" customHeight="1" ht="105" outlineLevel="5">
      <c r="A41" s="1"/>
      <c r="B41" s="1">
        <v>810836</v>
      </c>
      <c r="C41" s="1" t="s">
        <v>157</v>
      </c>
      <c r="D41" s="1" t="s">
        <v>158</v>
      </c>
      <c r="E41" s="2" t="s">
        <v>159</v>
      </c>
      <c r="F41" s="2" t="s">
        <v>160</v>
      </c>
      <c r="G41" s="2" t="s">
        <v>48</v>
      </c>
      <c r="H41" s="2" t="s">
        <v>17</v>
      </c>
      <c r="I41" s="1">
        <v>0</v>
      </c>
      <c r="J41" s="3" t="s">
        <v>18</v>
      </c>
      <c r="K41" s="2" t="str">
        <f>J41*1373.00</f>
        <v>0</v>
      </c>
      <c r="L41" s="5"/>
    </row>
    <row r="42" spans="1:12" customHeight="1" ht="105" outlineLevel="5">
      <c r="A42" s="1"/>
      <c r="B42" s="1">
        <v>810837</v>
      </c>
      <c r="C42" s="1" t="s">
        <v>161</v>
      </c>
      <c r="D42" s="1" t="s">
        <v>162</v>
      </c>
      <c r="E42" s="2" t="s">
        <v>163</v>
      </c>
      <c r="F42" s="2" t="s">
        <v>164</v>
      </c>
      <c r="G42" s="2">
        <v>4</v>
      </c>
      <c r="H42" s="2" t="s">
        <v>17</v>
      </c>
      <c r="I42" s="1">
        <v>0</v>
      </c>
      <c r="J42" s="3" t="s">
        <v>18</v>
      </c>
      <c r="K42" s="2" t="str">
        <f>J42*2529.00</f>
        <v>0</v>
      </c>
      <c r="L42" s="5"/>
    </row>
    <row r="43" spans="1:12" customHeight="1" ht="105" outlineLevel="5">
      <c r="A43" s="1"/>
      <c r="B43" s="1">
        <v>810838</v>
      </c>
      <c r="C43" s="1" t="s">
        <v>165</v>
      </c>
      <c r="D43" s="1" t="s">
        <v>166</v>
      </c>
      <c r="E43" s="2" t="s">
        <v>167</v>
      </c>
      <c r="F43" s="2" t="s">
        <v>168</v>
      </c>
      <c r="G43" s="2">
        <v>5</v>
      </c>
      <c r="H43" s="2" t="s">
        <v>17</v>
      </c>
      <c r="I43" s="1">
        <v>0</v>
      </c>
      <c r="J43" s="3" t="s">
        <v>18</v>
      </c>
      <c r="K43" s="2" t="str">
        <f>J43*3801.00</f>
        <v>0</v>
      </c>
      <c r="L43" s="5"/>
    </row>
    <row r="44" spans="1:12" customHeight="1" ht="105" outlineLevel="5">
      <c r="A44" s="1"/>
      <c r="B44" s="1">
        <v>810839</v>
      </c>
      <c r="C44" s="1" t="s">
        <v>169</v>
      </c>
      <c r="D44" s="1" t="s">
        <v>170</v>
      </c>
      <c r="E44" s="2" t="s">
        <v>171</v>
      </c>
      <c r="F44" s="2" t="s">
        <v>172</v>
      </c>
      <c r="G44" s="2">
        <v>5</v>
      </c>
      <c r="H44" s="2" t="s">
        <v>17</v>
      </c>
      <c r="I44" s="1">
        <v>0</v>
      </c>
      <c r="J44" s="3" t="s">
        <v>18</v>
      </c>
      <c r="K44" s="2" t="str">
        <f>J44*5616.00</f>
        <v>0</v>
      </c>
      <c r="L44" s="5"/>
    </row>
    <row r="45" spans="1:12" customHeight="1" ht="105" outlineLevel="5">
      <c r="A45" s="1"/>
      <c r="B45" s="1">
        <v>810840</v>
      </c>
      <c r="C45" s="1" t="s">
        <v>173</v>
      </c>
      <c r="D45" s="1" t="s">
        <v>174</v>
      </c>
      <c r="E45" s="2" t="s">
        <v>175</v>
      </c>
      <c r="F45" s="2" t="s">
        <v>176</v>
      </c>
      <c r="G45" s="2" t="s">
        <v>82</v>
      </c>
      <c r="H45" s="2" t="s">
        <v>177</v>
      </c>
      <c r="I45" s="1">
        <v>0</v>
      </c>
      <c r="J45" s="3" t="s">
        <v>18</v>
      </c>
      <c r="K45" s="2" t="str">
        <f>J45*452.00</f>
        <v>0</v>
      </c>
      <c r="L45" s="5"/>
    </row>
    <row r="46" spans="1:12" customHeight="1" ht="105" outlineLevel="5">
      <c r="A46" s="1"/>
      <c r="B46" s="1">
        <v>810841</v>
      </c>
      <c r="C46" s="1" t="s">
        <v>178</v>
      </c>
      <c r="D46" s="1" t="s">
        <v>179</v>
      </c>
      <c r="E46" s="2" t="s">
        <v>180</v>
      </c>
      <c r="F46" s="2" t="s">
        <v>181</v>
      </c>
      <c r="G46" s="2" t="s">
        <v>17</v>
      </c>
      <c r="H46" s="2" t="s">
        <v>96</v>
      </c>
      <c r="I46" s="1">
        <v>0</v>
      </c>
      <c r="J46" s="3" t="s">
        <v>18</v>
      </c>
      <c r="K46" s="2" t="str">
        <f>J46*687.00</f>
        <v>0</v>
      </c>
      <c r="L46" s="5"/>
    </row>
    <row r="47" spans="1:12" customHeight="1" ht="105" outlineLevel="5">
      <c r="A47" s="1"/>
      <c r="B47" s="1">
        <v>810842</v>
      </c>
      <c r="C47" s="1" t="s">
        <v>182</v>
      </c>
      <c r="D47" s="1" t="s">
        <v>183</v>
      </c>
      <c r="E47" s="2" t="s">
        <v>184</v>
      </c>
      <c r="F47" s="2" t="s">
        <v>185</v>
      </c>
      <c r="G47" s="2" t="s">
        <v>23</v>
      </c>
      <c r="H47" s="2" t="s">
        <v>96</v>
      </c>
      <c r="I47" s="1">
        <v>0</v>
      </c>
      <c r="J47" s="3" t="s">
        <v>18</v>
      </c>
      <c r="K47" s="2" t="str">
        <f>J47*1161.00</f>
        <v>0</v>
      </c>
      <c r="L47" s="5"/>
    </row>
    <row r="48" spans="1:12" customHeight="1" ht="105" outlineLevel="5">
      <c r="A48" s="1"/>
      <c r="B48" s="1">
        <v>810843</v>
      </c>
      <c r="C48" s="1" t="s">
        <v>186</v>
      </c>
      <c r="D48" s="1" t="s">
        <v>187</v>
      </c>
      <c r="E48" s="2" t="s">
        <v>188</v>
      </c>
      <c r="F48" s="2" t="s">
        <v>189</v>
      </c>
      <c r="G48" s="2" t="s">
        <v>82</v>
      </c>
      <c r="H48" s="2" t="s">
        <v>177</v>
      </c>
      <c r="I48" s="1">
        <v>0</v>
      </c>
      <c r="J48" s="3" t="s">
        <v>18</v>
      </c>
      <c r="K48" s="2" t="str">
        <f>J48*482.00</f>
        <v>0</v>
      </c>
      <c r="L48" s="5"/>
    </row>
    <row r="49" spans="1:12" customHeight="1" ht="105" outlineLevel="5">
      <c r="A49" s="1"/>
      <c r="B49" s="1">
        <v>810844</v>
      </c>
      <c r="C49" s="1" t="s">
        <v>190</v>
      </c>
      <c r="D49" s="1" t="s">
        <v>191</v>
      </c>
      <c r="E49" s="2" t="s">
        <v>192</v>
      </c>
      <c r="F49" s="2" t="s">
        <v>193</v>
      </c>
      <c r="G49" s="2" t="s">
        <v>17</v>
      </c>
      <c r="H49" s="2" t="s">
        <v>177</v>
      </c>
      <c r="I49" s="1">
        <v>0</v>
      </c>
      <c r="J49" s="3" t="s">
        <v>18</v>
      </c>
      <c r="K49" s="2" t="str">
        <f>J49*779.00</f>
        <v>0</v>
      </c>
      <c r="L49" s="5"/>
    </row>
    <row r="50" spans="1:12" customHeight="1" ht="105" outlineLevel="5">
      <c r="A50" s="1"/>
      <c r="B50" s="1">
        <v>810845</v>
      </c>
      <c r="C50" s="1" t="s">
        <v>194</v>
      </c>
      <c r="D50" s="1" t="s">
        <v>195</v>
      </c>
      <c r="E50" s="2" t="s">
        <v>196</v>
      </c>
      <c r="F50" s="2" t="s">
        <v>197</v>
      </c>
      <c r="G50" s="2">
        <v>5</v>
      </c>
      <c r="H50" s="2" t="s">
        <v>48</v>
      </c>
      <c r="I50" s="1">
        <v>0</v>
      </c>
      <c r="J50" s="3" t="s">
        <v>18</v>
      </c>
      <c r="K50" s="2" t="str">
        <f>J50*1298.00</f>
        <v>0</v>
      </c>
      <c r="L50" s="5"/>
    </row>
    <row r="51" spans="1:12" customHeight="1" ht="105" outlineLevel="5">
      <c r="A51" s="1"/>
      <c r="B51" s="1">
        <v>810846</v>
      </c>
      <c r="C51" s="1" t="s">
        <v>198</v>
      </c>
      <c r="D51" s="1" t="s">
        <v>199</v>
      </c>
      <c r="E51" s="2" t="s">
        <v>200</v>
      </c>
      <c r="F51" s="2" t="s">
        <v>201</v>
      </c>
      <c r="G51" s="2">
        <v>4</v>
      </c>
      <c r="H51" s="2" t="s">
        <v>96</v>
      </c>
      <c r="I51" s="1">
        <v>0</v>
      </c>
      <c r="J51" s="3" t="s">
        <v>18</v>
      </c>
      <c r="K51" s="2" t="str">
        <f>J51*548.00</f>
        <v>0</v>
      </c>
      <c r="L51" s="5"/>
    </row>
    <row r="52" spans="1:12" customHeight="1" ht="105" outlineLevel="5">
      <c r="A52" s="1"/>
      <c r="B52" s="1">
        <v>810847</v>
      </c>
      <c r="C52" s="1" t="s">
        <v>202</v>
      </c>
      <c r="D52" s="1" t="s">
        <v>203</v>
      </c>
      <c r="E52" s="2" t="s">
        <v>204</v>
      </c>
      <c r="F52" s="2" t="s">
        <v>205</v>
      </c>
      <c r="G52" s="2">
        <v>10</v>
      </c>
      <c r="H52" s="2">
        <v>0</v>
      </c>
      <c r="I52" s="1">
        <v>0</v>
      </c>
      <c r="J52" s="3" t="s">
        <v>18</v>
      </c>
      <c r="K52" s="2" t="str">
        <f>J52*854.00</f>
        <v>0</v>
      </c>
      <c r="L52" s="5"/>
    </row>
    <row r="53" spans="1:12" customHeight="1" ht="105" outlineLevel="5">
      <c r="A53" s="1"/>
      <c r="B53" s="1">
        <v>810848</v>
      </c>
      <c r="C53" s="1" t="s">
        <v>206</v>
      </c>
      <c r="D53" s="1" t="s">
        <v>207</v>
      </c>
      <c r="E53" s="2" t="s">
        <v>208</v>
      </c>
      <c r="F53" s="2" t="s">
        <v>209</v>
      </c>
      <c r="G53" s="2">
        <v>0</v>
      </c>
      <c r="H53" s="2">
        <v>0</v>
      </c>
      <c r="I53" s="1">
        <v>0</v>
      </c>
      <c r="J53" s="3" t="s">
        <v>18</v>
      </c>
      <c r="K53" s="2" t="str">
        <f>J53*1468.00</f>
        <v>0</v>
      </c>
      <c r="L53" s="5"/>
    </row>
    <row r="54" spans="1:12" customHeight="1" ht="105" outlineLevel="5">
      <c r="A54" s="1"/>
      <c r="B54" s="1">
        <v>810849</v>
      </c>
      <c r="C54" s="1" t="s">
        <v>210</v>
      </c>
      <c r="D54" s="1" t="s">
        <v>211</v>
      </c>
      <c r="E54" s="2" t="s">
        <v>212</v>
      </c>
      <c r="F54" s="2" t="s">
        <v>213</v>
      </c>
      <c r="G54" s="2">
        <v>5</v>
      </c>
      <c r="H54" s="2" t="s">
        <v>17</v>
      </c>
      <c r="I54" s="1">
        <v>0</v>
      </c>
      <c r="J54" s="3" t="s">
        <v>18</v>
      </c>
      <c r="K54" s="2" t="str">
        <f>J54*450.00</f>
        <v>0</v>
      </c>
      <c r="L54" s="5"/>
    </row>
    <row r="55" spans="1:12" customHeight="1" ht="105" outlineLevel="5">
      <c r="A55" s="1"/>
      <c r="B55" s="1">
        <v>810850</v>
      </c>
      <c r="C55" s="1" t="s">
        <v>214</v>
      </c>
      <c r="D55" s="1" t="s">
        <v>215</v>
      </c>
      <c r="E55" s="2" t="s">
        <v>216</v>
      </c>
      <c r="F55" s="2" t="s">
        <v>217</v>
      </c>
      <c r="G55" s="2">
        <v>6</v>
      </c>
      <c r="H55" s="2">
        <v>0</v>
      </c>
      <c r="I55" s="1">
        <v>0</v>
      </c>
      <c r="J55" s="3" t="s">
        <v>18</v>
      </c>
      <c r="K55" s="2" t="str">
        <f>J55*360.00</f>
        <v>0</v>
      </c>
      <c r="L55" s="5"/>
    </row>
    <row r="56" spans="1:12" customHeight="1" ht="105" outlineLevel="5">
      <c r="A56" s="1"/>
      <c r="B56" s="1">
        <v>810851</v>
      </c>
      <c r="C56" s="1" t="s">
        <v>218</v>
      </c>
      <c r="D56" s="1" t="s">
        <v>219</v>
      </c>
      <c r="E56" s="2" t="s">
        <v>220</v>
      </c>
      <c r="F56" s="2" t="s">
        <v>221</v>
      </c>
      <c r="G56" s="2" t="s">
        <v>48</v>
      </c>
      <c r="H56" s="2" t="s">
        <v>82</v>
      </c>
      <c r="I56" s="1">
        <v>0</v>
      </c>
      <c r="J56" s="3" t="s">
        <v>18</v>
      </c>
      <c r="K56" s="2" t="str">
        <f>J56*737.00</f>
        <v>0</v>
      </c>
      <c r="L56" s="5"/>
    </row>
    <row r="57" spans="1:12" customHeight="1" ht="105" outlineLevel="5">
      <c r="A57" s="1"/>
      <c r="B57" s="1">
        <v>810852</v>
      </c>
      <c r="C57" s="1" t="s">
        <v>222</v>
      </c>
      <c r="D57" s="1" t="s">
        <v>223</v>
      </c>
      <c r="E57" s="2" t="s">
        <v>224</v>
      </c>
      <c r="F57" s="2" t="s">
        <v>225</v>
      </c>
      <c r="G57" s="2" t="s">
        <v>48</v>
      </c>
      <c r="H57" s="2">
        <v>0</v>
      </c>
      <c r="I57" s="1">
        <v>0</v>
      </c>
      <c r="J57" s="3" t="s">
        <v>18</v>
      </c>
      <c r="K57" s="2" t="str">
        <f>J57*1070.00</f>
        <v>0</v>
      </c>
      <c r="L57" s="5"/>
    </row>
    <row r="58" spans="1:12" customHeight="1" ht="105" outlineLevel="5">
      <c r="A58" s="1"/>
      <c r="B58" s="1">
        <v>810853</v>
      </c>
      <c r="C58" s="1" t="s">
        <v>226</v>
      </c>
      <c r="D58" s="1" t="s">
        <v>227</v>
      </c>
      <c r="E58" s="2" t="s">
        <v>228</v>
      </c>
      <c r="F58" s="2" t="s">
        <v>229</v>
      </c>
      <c r="G58" s="2" t="s">
        <v>17</v>
      </c>
      <c r="H58" s="2" t="s">
        <v>96</v>
      </c>
      <c r="I58" s="1">
        <v>0</v>
      </c>
      <c r="J58" s="3" t="s">
        <v>18</v>
      </c>
      <c r="K58" s="2" t="str">
        <f>J58*580.00</f>
        <v>0</v>
      </c>
      <c r="L58" s="5"/>
    </row>
    <row r="59" spans="1:12" customHeight="1" ht="105" outlineLevel="5">
      <c r="A59" s="1"/>
      <c r="B59" s="1">
        <v>810854</v>
      </c>
      <c r="C59" s="1" t="s">
        <v>230</v>
      </c>
      <c r="D59" s="1" t="s">
        <v>231</v>
      </c>
      <c r="E59" s="2" t="s">
        <v>232</v>
      </c>
      <c r="F59" s="2" t="s">
        <v>229</v>
      </c>
      <c r="G59" s="2" t="s">
        <v>17</v>
      </c>
      <c r="H59" s="2" t="s">
        <v>96</v>
      </c>
      <c r="I59" s="1">
        <v>0</v>
      </c>
      <c r="J59" s="3" t="s">
        <v>18</v>
      </c>
      <c r="K59" s="2" t="str">
        <f>J59*580.00</f>
        <v>0</v>
      </c>
      <c r="L59" s="5"/>
    </row>
    <row r="60" spans="1:12" customHeight="1" ht="105" outlineLevel="5">
      <c r="A60" s="1"/>
      <c r="B60" s="1">
        <v>810855</v>
      </c>
      <c r="C60" s="1" t="s">
        <v>233</v>
      </c>
      <c r="D60" s="1" t="s">
        <v>234</v>
      </c>
      <c r="E60" s="2" t="s">
        <v>235</v>
      </c>
      <c r="F60" s="2" t="s">
        <v>236</v>
      </c>
      <c r="G60" s="2" t="s">
        <v>48</v>
      </c>
      <c r="H60" s="2" t="s">
        <v>17</v>
      </c>
      <c r="I60" s="1">
        <v>0</v>
      </c>
      <c r="J60" s="3" t="s">
        <v>18</v>
      </c>
      <c r="K60" s="2" t="str">
        <f>J60*626.00</f>
        <v>0</v>
      </c>
      <c r="L60" s="5"/>
    </row>
    <row r="61" spans="1:12" customHeight="1" ht="105" outlineLevel="5">
      <c r="A61" s="1"/>
      <c r="B61" s="1">
        <v>810856</v>
      </c>
      <c r="C61" s="1" t="s">
        <v>237</v>
      </c>
      <c r="D61" s="1" t="s">
        <v>238</v>
      </c>
      <c r="E61" s="2" t="s">
        <v>239</v>
      </c>
      <c r="F61" s="2" t="s">
        <v>240</v>
      </c>
      <c r="G61" s="2" t="s">
        <v>87</v>
      </c>
      <c r="H61" s="2" t="s">
        <v>96</v>
      </c>
      <c r="I61" s="1">
        <v>0</v>
      </c>
      <c r="J61" s="3" t="s">
        <v>18</v>
      </c>
      <c r="K61" s="2" t="str">
        <f>J61*929.00</f>
        <v>0</v>
      </c>
      <c r="L61" s="5"/>
    </row>
    <row r="62" spans="1:12" customHeight="1" ht="105" outlineLevel="5">
      <c r="A62" s="1"/>
      <c r="B62" s="1">
        <v>810857</v>
      </c>
      <c r="C62" s="1" t="s">
        <v>241</v>
      </c>
      <c r="D62" s="1" t="s">
        <v>242</v>
      </c>
      <c r="E62" s="2" t="s">
        <v>243</v>
      </c>
      <c r="F62" s="2" t="s">
        <v>240</v>
      </c>
      <c r="G62" s="2">
        <v>0</v>
      </c>
      <c r="H62" s="2">
        <v>0</v>
      </c>
      <c r="I62" s="1">
        <v>0</v>
      </c>
      <c r="J62" s="3" t="s">
        <v>18</v>
      </c>
      <c r="K62" s="2" t="str">
        <f>J62*929.00</f>
        <v>0</v>
      </c>
      <c r="L62" s="5"/>
    </row>
    <row r="63" spans="1:12" customHeight="1" ht="105" outlineLevel="5">
      <c r="A63" s="1"/>
      <c r="B63" s="1">
        <v>810858</v>
      </c>
      <c r="C63" s="1" t="s">
        <v>244</v>
      </c>
      <c r="D63" s="1" t="s">
        <v>245</v>
      </c>
      <c r="E63" s="2" t="s">
        <v>246</v>
      </c>
      <c r="F63" s="2" t="s">
        <v>247</v>
      </c>
      <c r="G63" s="2" t="s">
        <v>23</v>
      </c>
      <c r="H63" s="2" t="s">
        <v>17</v>
      </c>
      <c r="I63" s="1">
        <v>0</v>
      </c>
      <c r="J63" s="3" t="s">
        <v>18</v>
      </c>
      <c r="K63" s="2" t="str">
        <f>J63*990.00</f>
        <v>0</v>
      </c>
      <c r="L63" s="5"/>
    </row>
    <row r="64" spans="1:12" customHeight="1" ht="105" outlineLevel="5">
      <c r="A64" s="1"/>
      <c r="B64" s="1">
        <v>810859</v>
      </c>
      <c r="C64" s="1" t="s">
        <v>248</v>
      </c>
      <c r="D64" s="1" t="s">
        <v>249</v>
      </c>
      <c r="E64" s="2" t="s">
        <v>250</v>
      </c>
      <c r="F64" s="2" t="s">
        <v>251</v>
      </c>
      <c r="G64" s="2">
        <v>0</v>
      </c>
      <c r="H64" s="2">
        <v>0</v>
      </c>
      <c r="I64" s="1">
        <v>0</v>
      </c>
      <c r="J64" s="3" t="s">
        <v>18</v>
      </c>
      <c r="K64" s="2" t="str">
        <f>J64*2000.00</f>
        <v>0</v>
      </c>
      <c r="L64" s="5"/>
    </row>
    <row r="65" spans="1:12" customHeight="1" ht="105" outlineLevel="5">
      <c r="A65" s="1"/>
      <c r="B65" s="1">
        <v>810860</v>
      </c>
      <c r="C65" s="1" t="s">
        <v>252</v>
      </c>
      <c r="D65" s="1" t="s">
        <v>253</v>
      </c>
      <c r="E65" s="2" t="s">
        <v>254</v>
      </c>
      <c r="F65" s="2" t="s">
        <v>255</v>
      </c>
      <c r="G65" s="2">
        <v>0</v>
      </c>
      <c r="H65" s="2" t="s">
        <v>17</v>
      </c>
      <c r="I65" s="1">
        <v>0</v>
      </c>
      <c r="J65" s="3" t="s">
        <v>18</v>
      </c>
      <c r="K65" s="2" t="str">
        <f>J65*2989.00</f>
        <v>0</v>
      </c>
      <c r="L65" s="5"/>
    </row>
    <row r="66" spans="1:12" customHeight="1" ht="105" outlineLevel="5">
      <c r="A66" s="1"/>
      <c r="B66" s="1">
        <v>810861</v>
      </c>
      <c r="C66" s="1" t="s">
        <v>256</v>
      </c>
      <c r="D66" s="1" t="s">
        <v>257</v>
      </c>
      <c r="E66" s="2" t="s">
        <v>258</v>
      </c>
      <c r="F66" s="2" t="s">
        <v>259</v>
      </c>
      <c r="G66" s="2" t="s">
        <v>23</v>
      </c>
      <c r="H66" s="2" t="s">
        <v>82</v>
      </c>
      <c r="I66" s="1">
        <v>0</v>
      </c>
      <c r="J66" s="3" t="s">
        <v>18</v>
      </c>
      <c r="K66" s="2" t="str">
        <f>J66*805.00</f>
        <v>0</v>
      </c>
      <c r="L66" s="5"/>
    </row>
    <row r="67" spans="1:12" customHeight="1" ht="105" outlineLevel="5">
      <c r="A67" s="1"/>
      <c r="B67" s="1">
        <v>810862</v>
      </c>
      <c r="C67" s="1" t="s">
        <v>260</v>
      </c>
      <c r="D67" s="1" t="s">
        <v>261</v>
      </c>
      <c r="E67" s="2" t="s">
        <v>262</v>
      </c>
      <c r="F67" s="2" t="s">
        <v>259</v>
      </c>
      <c r="G67" s="2" t="s">
        <v>48</v>
      </c>
      <c r="H67" s="2" t="s">
        <v>87</v>
      </c>
      <c r="I67" s="1">
        <v>0</v>
      </c>
      <c r="J67" s="3" t="s">
        <v>18</v>
      </c>
      <c r="K67" s="2" t="str">
        <f>J67*805.00</f>
        <v>0</v>
      </c>
      <c r="L67" s="5"/>
    </row>
    <row r="68" spans="1:12" customHeight="1" ht="105" outlineLevel="5">
      <c r="A68" s="1"/>
      <c r="B68" s="1">
        <v>810863</v>
      </c>
      <c r="C68" s="1" t="s">
        <v>263</v>
      </c>
      <c r="D68" s="1" t="s">
        <v>264</v>
      </c>
      <c r="E68" s="2" t="s">
        <v>265</v>
      </c>
      <c r="F68" s="2" t="s">
        <v>266</v>
      </c>
      <c r="G68" s="2">
        <v>0</v>
      </c>
      <c r="H68" s="2">
        <v>0</v>
      </c>
      <c r="I68" s="1">
        <v>0</v>
      </c>
      <c r="J68" s="3" t="s">
        <v>18</v>
      </c>
      <c r="K68" s="2" t="str">
        <f>J68*868.00</f>
        <v>0</v>
      </c>
      <c r="L68" s="5"/>
    </row>
    <row r="69" spans="1:12" customHeight="1" ht="105" outlineLevel="5">
      <c r="A69" s="1"/>
      <c r="B69" s="1">
        <v>810864</v>
      </c>
      <c r="C69" s="1" t="s">
        <v>267</v>
      </c>
      <c r="D69" s="1" t="s">
        <v>268</v>
      </c>
      <c r="E69" s="2" t="s">
        <v>269</v>
      </c>
      <c r="F69" s="2" t="s">
        <v>270</v>
      </c>
      <c r="G69" s="2">
        <v>2</v>
      </c>
      <c r="H69" s="2">
        <v>0</v>
      </c>
      <c r="I69" s="1">
        <v>0</v>
      </c>
      <c r="J69" s="3" t="s">
        <v>18</v>
      </c>
      <c r="K69" s="2" t="str">
        <f>J69*1309.00</f>
        <v>0</v>
      </c>
      <c r="L69" s="5"/>
    </row>
    <row r="70" spans="1:12" customHeight="1" ht="105" outlineLevel="5">
      <c r="A70" s="1"/>
      <c r="B70" s="1">
        <v>810865</v>
      </c>
      <c r="C70" s="1" t="s">
        <v>271</v>
      </c>
      <c r="D70" s="1" t="s">
        <v>272</v>
      </c>
      <c r="E70" s="2" t="s">
        <v>273</v>
      </c>
      <c r="F70" s="2" t="s">
        <v>270</v>
      </c>
      <c r="G70" s="2" t="s">
        <v>48</v>
      </c>
      <c r="H70" s="2" t="s">
        <v>48</v>
      </c>
      <c r="I70" s="1">
        <v>0</v>
      </c>
      <c r="J70" s="3" t="s">
        <v>18</v>
      </c>
      <c r="K70" s="2" t="str">
        <f>J70*1309.00</f>
        <v>0</v>
      </c>
      <c r="L70" s="5"/>
    </row>
    <row r="71" spans="1:12" customHeight="1" ht="105" outlineLevel="5">
      <c r="A71" s="1"/>
      <c r="B71" s="1">
        <v>810866</v>
      </c>
      <c r="C71" s="1" t="s">
        <v>274</v>
      </c>
      <c r="D71" s="1" t="s">
        <v>275</v>
      </c>
      <c r="E71" s="2" t="s">
        <v>276</v>
      </c>
      <c r="F71" s="2" t="s">
        <v>277</v>
      </c>
      <c r="G71" s="2">
        <v>0</v>
      </c>
      <c r="H71" s="2" t="s">
        <v>87</v>
      </c>
      <c r="I71" s="1">
        <v>0</v>
      </c>
      <c r="J71" s="3" t="s">
        <v>18</v>
      </c>
      <c r="K71" s="2" t="str">
        <f>J71*1377.00</f>
        <v>0</v>
      </c>
      <c r="L71" s="5"/>
    </row>
    <row r="72" spans="1:12" customHeight="1" ht="105" outlineLevel="5">
      <c r="A72" s="1"/>
      <c r="B72" s="1">
        <v>810867</v>
      </c>
      <c r="C72" s="1" t="s">
        <v>278</v>
      </c>
      <c r="D72" s="1" t="s">
        <v>279</v>
      </c>
      <c r="E72" s="2" t="s">
        <v>280</v>
      </c>
      <c r="F72" s="2" t="s">
        <v>281</v>
      </c>
      <c r="G72" s="2" t="s">
        <v>48</v>
      </c>
      <c r="H72" s="2" t="s">
        <v>17</v>
      </c>
      <c r="I72" s="1">
        <v>0</v>
      </c>
      <c r="J72" s="3" t="s">
        <v>18</v>
      </c>
      <c r="K72" s="2" t="str">
        <f>J72*2256.00</f>
        <v>0</v>
      </c>
      <c r="L72" s="5"/>
    </row>
    <row r="73" spans="1:12" customHeight="1" ht="105" outlineLevel="5">
      <c r="A73" s="1"/>
      <c r="B73" s="1">
        <v>810868</v>
      </c>
      <c r="C73" s="1" t="s">
        <v>282</v>
      </c>
      <c r="D73" s="1" t="s">
        <v>283</v>
      </c>
      <c r="E73" s="2" t="s">
        <v>284</v>
      </c>
      <c r="F73" s="2" t="s">
        <v>285</v>
      </c>
      <c r="G73" s="2">
        <v>0</v>
      </c>
      <c r="H73" s="2" t="s">
        <v>87</v>
      </c>
      <c r="I73" s="1">
        <v>0</v>
      </c>
      <c r="J73" s="3" t="s">
        <v>18</v>
      </c>
      <c r="K73" s="2" t="str">
        <f>J73*586.00</f>
        <v>0</v>
      </c>
      <c r="L73" s="5"/>
    </row>
    <row r="74" spans="1:12" customHeight="1" ht="105" outlineLevel="5">
      <c r="A74" s="1"/>
      <c r="B74" s="1">
        <v>810869</v>
      </c>
      <c r="C74" s="1" t="s">
        <v>286</v>
      </c>
      <c r="D74" s="1" t="s">
        <v>287</v>
      </c>
      <c r="E74" s="2" t="s">
        <v>288</v>
      </c>
      <c r="F74" s="2" t="s">
        <v>289</v>
      </c>
      <c r="G74" s="2" t="s">
        <v>87</v>
      </c>
      <c r="H74" s="2" t="s">
        <v>17</v>
      </c>
      <c r="I74" s="1">
        <v>0</v>
      </c>
      <c r="J74" s="3" t="s">
        <v>18</v>
      </c>
      <c r="K74" s="2" t="str">
        <f>J74*457.00</f>
        <v>0</v>
      </c>
      <c r="L74" s="5"/>
    </row>
    <row r="75" spans="1:12" customHeight="1" ht="105" outlineLevel="5">
      <c r="A75" s="1"/>
      <c r="B75" s="1">
        <v>810870</v>
      </c>
      <c r="C75" s="1" t="s">
        <v>290</v>
      </c>
      <c r="D75" s="1" t="s">
        <v>291</v>
      </c>
      <c r="E75" s="2" t="s">
        <v>292</v>
      </c>
      <c r="F75" s="2" t="s">
        <v>293</v>
      </c>
      <c r="G75" s="2" t="s">
        <v>48</v>
      </c>
      <c r="H75" s="2">
        <v>0</v>
      </c>
      <c r="I75" s="1">
        <v>0</v>
      </c>
      <c r="J75" s="3" t="s">
        <v>18</v>
      </c>
      <c r="K75" s="2" t="str">
        <f>J75*496.00</f>
        <v>0</v>
      </c>
      <c r="L75" s="5"/>
    </row>
    <row r="76" spans="1:12" customHeight="1" ht="105" outlineLevel="5">
      <c r="A76" s="1"/>
      <c r="B76" s="1">
        <v>810871</v>
      </c>
      <c r="C76" s="1" t="s">
        <v>294</v>
      </c>
      <c r="D76" s="1" t="s">
        <v>295</v>
      </c>
      <c r="E76" s="2" t="s">
        <v>296</v>
      </c>
      <c r="F76" s="2" t="s">
        <v>297</v>
      </c>
      <c r="G76" s="2">
        <v>8</v>
      </c>
      <c r="H76" s="2" t="s">
        <v>17</v>
      </c>
      <c r="I76" s="1">
        <v>0</v>
      </c>
      <c r="J76" s="3" t="s">
        <v>18</v>
      </c>
      <c r="K76" s="2" t="str">
        <f>J76*693.00</f>
        <v>0</v>
      </c>
      <c r="L76" s="5"/>
    </row>
    <row r="77" spans="1:12" customHeight="1" ht="105" outlineLevel="5">
      <c r="A77" s="1"/>
      <c r="B77" s="1">
        <v>810872</v>
      </c>
      <c r="C77" s="1" t="s">
        <v>298</v>
      </c>
      <c r="D77" s="1" t="s">
        <v>299</v>
      </c>
      <c r="E77" s="2" t="s">
        <v>300</v>
      </c>
      <c r="F77" s="2" t="s">
        <v>301</v>
      </c>
      <c r="G77" s="2" t="s">
        <v>48</v>
      </c>
      <c r="H77" s="2">
        <v>0</v>
      </c>
      <c r="I77" s="1">
        <v>0</v>
      </c>
      <c r="J77" s="3" t="s">
        <v>18</v>
      </c>
      <c r="K77" s="2" t="str">
        <f>J77*1030.00</f>
        <v>0</v>
      </c>
      <c r="L77" s="5"/>
    </row>
    <row r="78" spans="1:12" customHeight="1" ht="105" outlineLevel="5">
      <c r="A78" s="1"/>
      <c r="B78" s="1">
        <v>810873</v>
      </c>
      <c r="C78" s="1" t="s">
        <v>302</v>
      </c>
      <c r="D78" s="1" t="s">
        <v>303</v>
      </c>
      <c r="E78" s="2" t="s">
        <v>304</v>
      </c>
      <c r="F78" s="2" t="s">
        <v>305</v>
      </c>
      <c r="G78" s="2" t="s">
        <v>17</v>
      </c>
      <c r="H78" s="2" t="s">
        <v>96</v>
      </c>
      <c r="I78" s="1">
        <v>0</v>
      </c>
      <c r="J78" s="3" t="s">
        <v>18</v>
      </c>
      <c r="K78" s="2" t="str">
        <f>J78*753.00</f>
        <v>0</v>
      </c>
      <c r="L78" s="5"/>
    </row>
    <row r="79" spans="1:12" customHeight="1" ht="105" outlineLevel="5">
      <c r="A79" s="1"/>
      <c r="B79" s="1">
        <v>810874</v>
      </c>
      <c r="C79" s="1" t="s">
        <v>306</v>
      </c>
      <c r="D79" s="1" t="s">
        <v>307</v>
      </c>
      <c r="E79" s="2" t="s">
        <v>308</v>
      </c>
      <c r="F79" s="2" t="s">
        <v>309</v>
      </c>
      <c r="G79" s="2">
        <v>0</v>
      </c>
      <c r="H79" s="2" t="s">
        <v>17</v>
      </c>
      <c r="I79" s="1">
        <v>0</v>
      </c>
      <c r="J79" s="3" t="s">
        <v>18</v>
      </c>
      <c r="K79" s="2" t="str">
        <f>J79*1120.00</f>
        <v>0</v>
      </c>
      <c r="L79" s="5"/>
    </row>
    <row r="80" spans="1:12" customHeight="1" ht="105" outlineLevel="5">
      <c r="A80" s="1"/>
      <c r="B80" s="1">
        <v>810875</v>
      </c>
      <c r="C80" s="1" t="s">
        <v>310</v>
      </c>
      <c r="D80" s="1" t="s">
        <v>311</v>
      </c>
      <c r="E80" s="2" t="s">
        <v>312</v>
      </c>
      <c r="F80" s="2" t="s">
        <v>313</v>
      </c>
      <c r="G80" s="2">
        <v>5</v>
      </c>
      <c r="H80" s="2" t="s">
        <v>87</v>
      </c>
      <c r="I80" s="1">
        <v>0</v>
      </c>
      <c r="J80" s="3" t="s">
        <v>18</v>
      </c>
      <c r="K80" s="2" t="str">
        <f>J80*1645.00</f>
        <v>0</v>
      </c>
      <c r="L80" s="5"/>
    </row>
    <row r="81" spans="1:12" customHeight="1" ht="105" outlineLevel="5">
      <c r="A81" s="1"/>
      <c r="B81" s="1">
        <v>810876</v>
      </c>
      <c r="C81" s="1" t="s">
        <v>314</v>
      </c>
      <c r="D81" s="1" t="s">
        <v>315</v>
      </c>
      <c r="E81" s="2" t="s">
        <v>316</v>
      </c>
      <c r="F81" s="2" t="s">
        <v>317</v>
      </c>
      <c r="G81" s="2">
        <v>0</v>
      </c>
      <c r="H81" s="2" t="s">
        <v>48</v>
      </c>
      <c r="I81" s="1">
        <v>0</v>
      </c>
      <c r="J81" s="3" t="s">
        <v>18</v>
      </c>
      <c r="K81" s="2" t="str">
        <f>J81*1079.00</f>
        <v>0</v>
      </c>
      <c r="L81" s="5"/>
    </row>
    <row r="82" spans="1:12" customHeight="1" ht="105" outlineLevel="5">
      <c r="A82" s="1"/>
      <c r="B82" s="1">
        <v>810877</v>
      </c>
      <c r="C82" s="1" t="s">
        <v>318</v>
      </c>
      <c r="D82" s="1" t="s">
        <v>319</v>
      </c>
      <c r="E82" s="2" t="s">
        <v>320</v>
      </c>
      <c r="F82" s="2" t="s">
        <v>193</v>
      </c>
      <c r="G82" s="2">
        <v>0</v>
      </c>
      <c r="H82" s="2" t="s">
        <v>87</v>
      </c>
      <c r="I82" s="1">
        <v>0</v>
      </c>
      <c r="J82" s="3" t="s">
        <v>18</v>
      </c>
      <c r="K82" s="2" t="str">
        <f>J82*779.00</f>
        <v>0</v>
      </c>
      <c r="L82" s="5"/>
    </row>
    <row r="83" spans="1:12" customHeight="1" ht="105" outlineLevel="5">
      <c r="A83" s="1"/>
      <c r="B83" s="1">
        <v>810878</v>
      </c>
      <c r="C83" s="1" t="s">
        <v>321</v>
      </c>
      <c r="D83" s="1" t="s">
        <v>322</v>
      </c>
      <c r="E83" s="2" t="s">
        <v>323</v>
      </c>
      <c r="F83" s="2" t="s">
        <v>324</v>
      </c>
      <c r="G83" s="2">
        <v>0</v>
      </c>
      <c r="H83" s="2">
        <v>0</v>
      </c>
      <c r="I83" s="1">
        <v>0</v>
      </c>
      <c r="J83" s="3" t="s">
        <v>18</v>
      </c>
      <c r="K83" s="2" t="str">
        <f>J83*1033.00</f>
        <v>0</v>
      </c>
      <c r="L83" s="5"/>
    </row>
    <row r="84" spans="1:12" customHeight="1" ht="105" outlineLevel="5">
      <c r="A84" s="1"/>
      <c r="B84" s="1">
        <v>810879</v>
      </c>
      <c r="C84" s="1" t="s">
        <v>325</v>
      </c>
      <c r="D84" s="1" t="s">
        <v>326</v>
      </c>
      <c r="E84" s="2" t="s">
        <v>327</v>
      </c>
      <c r="F84" s="2" t="s">
        <v>328</v>
      </c>
      <c r="G84" s="2">
        <v>0</v>
      </c>
      <c r="H84" s="2" t="s">
        <v>17</v>
      </c>
      <c r="I84" s="1">
        <v>0</v>
      </c>
      <c r="J84" s="3" t="s">
        <v>18</v>
      </c>
      <c r="K84" s="2" t="str">
        <f>J84*760.00</f>
        <v>0</v>
      </c>
      <c r="L84" s="5"/>
    </row>
    <row r="85" spans="1:12" customHeight="1" ht="105" outlineLevel="5">
      <c r="A85" s="1"/>
      <c r="B85" s="1">
        <v>810880</v>
      </c>
      <c r="C85" s="1" t="s">
        <v>329</v>
      </c>
      <c r="D85" s="1" t="s">
        <v>330</v>
      </c>
      <c r="E85" s="2" t="s">
        <v>331</v>
      </c>
      <c r="F85" s="2" t="s">
        <v>332</v>
      </c>
      <c r="G85" s="2">
        <v>0</v>
      </c>
      <c r="H85" s="2" t="s">
        <v>87</v>
      </c>
      <c r="I85" s="1">
        <v>0</v>
      </c>
      <c r="J85" s="3" t="s">
        <v>18</v>
      </c>
      <c r="K85" s="2" t="str">
        <f>J85*955.00</f>
        <v>0</v>
      </c>
      <c r="L85" s="5"/>
    </row>
    <row r="86" spans="1:12" customHeight="1" ht="105" outlineLevel="5">
      <c r="A86" s="1"/>
      <c r="B86" s="1">
        <v>810881</v>
      </c>
      <c r="C86" s="1" t="s">
        <v>333</v>
      </c>
      <c r="D86" s="1" t="s">
        <v>334</v>
      </c>
      <c r="E86" s="2" t="s">
        <v>335</v>
      </c>
      <c r="F86" s="2" t="s">
        <v>336</v>
      </c>
      <c r="G86" s="2">
        <v>0</v>
      </c>
      <c r="H86" s="2" t="s">
        <v>17</v>
      </c>
      <c r="I86" s="1">
        <v>0</v>
      </c>
      <c r="J86" s="3" t="s">
        <v>18</v>
      </c>
      <c r="K86" s="2" t="str">
        <f>J86*710.00</f>
        <v>0</v>
      </c>
      <c r="L86" s="5"/>
    </row>
    <row r="87" spans="1:12" customHeight="1" ht="105" outlineLevel="5">
      <c r="A87" s="1"/>
      <c r="B87" s="1">
        <v>810882</v>
      </c>
      <c r="C87" s="1" t="s">
        <v>337</v>
      </c>
      <c r="D87" s="1" t="s">
        <v>338</v>
      </c>
      <c r="E87" s="2" t="s">
        <v>339</v>
      </c>
      <c r="F87" s="2" t="s">
        <v>340</v>
      </c>
      <c r="G87" s="2">
        <v>0</v>
      </c>
      <c r="H87" s="2" t="s">
        <v>87</v>
      </c>
      <c r="I87" s="1">
        <v>0</v>
      </c>
      <c r="J87" s="3" t="s">
        <v>18</v>
      </c>
      <c r="K87" s="2" t="str">
        <f>J87*976.00</f>
        <v>0</v>
      </c>
      <c r="L87" s="5"/>
    </row>
    <row r="88" spans="1:12" customHeight="1" ht="105" outlineLevel="5">
      <c r="A88" s="1"/>
      <c r="B88" s="1">
        <v>810883</v>
      </c>
      <c r="C88" s="1" t="s">
        <v>341</v>
      </c>
      <c r="D88" s="1" t="s">
        <v>342</v>
      </c>
      <c r="E88" s="2" t="s">
        <v>343</v>
      </c>
      <c r="F88" s="2" t="s">
        <v>344</v>
      </c>
      <c r="G88" s="2">
        <v>0</v>
      </c>
      <c r="H88" s="2" t="s">
        <v>87</v>
      </c>
      <c r="I88" s="1">
        <v>0</v>
      </c>
      <c r="J88" s="3" t="s">
        <v>18</v>
      </c>
      <c r="K88" s="2" t="str">
        <f>J88*1653.00</f>
        <v>0</v>
      </c>
      <c r="L88" s="5"/>
    </row>
    <row r="89" spans="1:12" customHeight="1" ht="105" outlineLevel="5">
      <c r="A89" s="1"/>
      <c r="B89" s="1">
        <v>810884</v>
      </c>
      <c r="C89" s="1" t="s">
        <v>345</v>
      </c>
      <c r="D89" s="1" t="s">
        <v>346</v>
      </c>
      <c r="E89" s="2" t="s">
        <v>347</v>
      </c>
      <c r="F89" s="2" t="s">
        <v>348</v>
      </c>
      <c r="G89" s="2">
        <v>0</v>
      </c>
      <c r="H89" s="2">
        <v>0</v>
      </c>
      <c r="I89" s="1">
        <v>0</v>
      </c>
      <c r="J89" s="3" t="s">
        <v>18</v>
      </c>
      <c r="K89" s="2" t="str">
        <f>J89*678.00</f>
        <v>0</v>
      </c>
      <c r="L89" s="5"/>
    </row>
    <row r="90" spans="1:12" customHeight="1" ht="105" outlineLevel="5">
      <c r="A90" s="1"/>
      <c r="B90" s="1">
        <v>810885</v>
      </c>
      <c r="C90" s="1" t="s">
        <v>349</v>
      </c>
      <c r="D90" s="1" t="s">
        <v>350</v>
      </c>
      <c r="E90" s="2" t="s">
        <v>351</v>
      </c>
      <c r="F90" s="2" t="s">
        <v>352</v>
      </c>
      <c r="G90" s="2">
        <v>0</v>
      </c>
      <c r="H90" s="2" t="s">
        <v>87</v>
      </c>
      <c r="I90" s="1">
        <v>0</v>
      </c>
      <c r="J90" s="3" t="s">
        <v>18</v>
      </c>
      <c r="K90" s="2" t="str">
        <f>J90*742.00</f>
        <v>0</v>
      </c>
      <c r="L90" s="5"/>
    </row>
    <row r="91" spans="1:12" customHeight="1" ht="105" outlineLevel="5">
      <c r="A91" s="1"/>
      <c r="B91" s="1">
        <v>810886</v>
      </c>
      <c r="C91" s="1" t="s">
        <v>353</v>
      </c>
      <c r="D91" s="1" t="s">
        <v>354</v>
      </c>
      <c r="E91" s="2" t="s">
        <v>355</v>
      </c>
      <c r="F91" s="2" t="s">
        <v>356</v>
      </c>
      <c r="G91" s="2">
        <v>0</v>
      </c>
      <c r="H91" s="2" t="s">
        <v>17</v>
      </c>
      <c r="I91" s="1">
        <v>0</v>
      </c>
      <c r="J91" s="3" t="s">
        <v>18</v>
      </c>
      <c r="K91" s="2" t="str">
        <f>J91*1006.00</f>
        <v>0</v>
      </c>
      <c r="L91" s="5"/>
    </row>
    <row r="92" spans="1:12" customHeight="1" ht="105" outlineLevel="5">
      <c r="A92" s="1"/>
      <c r="B92" s="1">
        <v>810887</v>
      </c>
      <c r="C92" s="1" t="s">
        <v>357</v>
      </c>
      <c r="D92" s="1" t="s">
        <v>358</v>
      </c>
      <c r="E92" s="2" t="s">
        <v>359</v>
      </c>
      <c r="F92" s="2" t="s">
        <v>360</v>
      </c>
      <c r="G92" s="2">
        <v>0</v>
      </c>
      <c r="H92" s="2" t="s">
        <v>87</v>
      </c>
      <c r="I92" s="1">
        <v>0</v>
      </c>
      <c r="J92" s="3" t="s">
        <v>18</v>
      </c>
      <c r="K92" s="2" t="str">
        <f>J92*1678.00</f>
        <v>0</v>
      </c>
      <c r="L92" s="5"/>
    </row>
    <row r="93" spans="1:12" customHeight="1" ht="105" outlineLevel="5">
      <c r="A93" s="1"/>
      <c r="B93" s="1">
        <v>810888</v>
      </c>
      <c r="C93" s="1" t="s">
        <v>361</v>
      </c>
      <c r="D93" s="1" t="s">
        <v>362</v>
      </c>
      <c r="E93" s="2" t="s">
        <v>363</v>
      </c>
      <c r="F93" s="2" t="s">
        <v>364</v>
      </c>
      <c r="G93" s="2" t="s">
        <v>23</v>
      </c>
      <c r="H93" s="2" t="s">
        <v>82</v>
      </c>
      <c r="I93" s="1">
        <v>0</v>
      </c>
      <c r="J93" s="3" t="s">
        <v>18</v>
      </c>
      <c r="K93" s="2" t="str">
        <f>J93*863.00</f>
        <v>0</v>
      </c>
      <c r="L93" s="5"/>
    </row>
    <row r="94" spans="1:12" customHeight="1" ht="105" outlineLevel="5">
      <c r="A94" s="1"/>
      <c r="B94" s="1">
        <v>810889</v>
      </c>
      <c r="C94" s="1" t="s">
        <v>365</v>
      </c>
      <c r="D94" s="1" t="s">
        <v>366</v>
      </c>
      <c r="E94" s="2" t="s">
        <v>367</v>
      </c>
      <c r="F94" s="2" t="s">
        <v>368</v>
      </c>
      <c r="G94" s="2">
        <v>7</v>
      </c>
      <c r="H94" s="2" t="s">
        <v>17</v>
      </c>
      <c r="I94" s="1">
        <v>0</v>
      </c>
      <c r="J94" s="3" t="s">
        <v>18</v>
      </c>
      <c r="K94" s="2" t="str">
        <f>J94*1606.00</f>
        <v>0</v>
      </c>
      <c r="L94" s="5"/>
    </row>
    <row r="95" spans="1:12" customHeight="1" ht="105" outlineLevel="5">
      <c r="A95" s="1"/>
      <c r="B95" s="1">
        <v>810890</v>
      </c>
      <c r="C95" s="1" t="s">
        <v>369</v>
      </c>
      <c r="D95" s="1" t="s">
        <v>370</v>
      </c>
      <c r="E95" s="2" t="s">
        <v>371</v>
      </c>
      <c r="F95" s="2" t="s">
        <v>156</v>
      </c>
      <c r="G95" s="2">
        <v>0</v>
      </c>
      <c r="H95" s="2">
        <v>0</v>
      </c>
      <c r="I95" s="1">
        <v>0</v>
      </c>
      <c r="J95" s="3" t="s">
        <v>18</v>
      </c>
      <c r="K95" s="2" t="str">
        <f>J95*830.00</f>
        <v>0</v>
      </c>
      <c r="L95" s="5"/>
    </row>
    <row r="96" spans="1:12" customHeight="1" ht="105" outlineLevel="5">
      <c r="A96" s="1"/>
      <c r="B96" s="1">
        <v>810891</v>
      </c>
      <c r="C96" s="1" t="s">
        <v>372</v>
      </c>
      <c r="D96" s="1" t="s">
        <v>373</v>
      </c>
      <c r="E96" s="2" t="s">
        <v>374</v>
      </c>
      <c r="F96" s="2" t="s">
        <v>375</v>
      </c>
      <c r="G96" s="2">
        <v>7</v>
      </c>
      <c r="H96" s="2" t="s">
        <v>23</v>
      </c>
      <c r="I96" s="1">
        <v>0</v>
      </c>
      <c r="J96" s="3" t="s">
        <v>18</v>
      </c>
      <c r="K96" s="2" t="str">
        <f>J96*1178.00</f>
        <v>0</v>
      </c>
      <c r="L96" s="5"/>
    </row>
    <row r="97" spans="1:12" customHeight="1" ht="105" outlineLevel="5">
      <c r="A97" s="1"/>
      <c r="B97" s="1">
        <v>810892</v>
      </c>
      <c r="C97" s="1" t="s">
        <v>376</v>
      </c>
      <c r="D97" s="1" t="s">
        <v>377</v>
      </c>
      <c r="E97" s="2" t="s">
        <v>378</v>
      </c>
      <c r="F97" s="2" t="s">
        <v>379</v>
      </c>
      <c r="G97" s="2">
        <v>0</v>
      </c>
      <c r="H97" s="2">
        <v>9</v>
      </c>
      <c r="I97" s="1">
        <v>0</v>
      </c>
      <c r="J97" s="3" t="s">
        <v>18</v>
      </c>
      <c r="K97" s="2" t="str">
        <f>J97*2135.00</f>
        <v>0</v>
      </c>
      <c r="L97" s="5"/>
    </row>
    <row r="98" spans="1:12" customHeight="1" ht="105" outlineLevel="5">
      <c r="A98" s="1"/>
      <c r="B98" s="1">
        <v>810893</v>
      </c>
      <c r="C98" s="1" t="s">
        <v>380</v>
      </c>
      <c r="D98" s="1" t="s">
        <v>381</v>
      </c>
      <c r="E98" s="2" t="s">
        <v>382</v>
      </c>
      <c r="F98" s="2" t="s">
        <v>383</v>
      </c>
      <c r="G98" s="2">
        <v>1</v>
      </c>
      <c r="H98" s="2">
        <v>0</v>
      </c>
      <c r="I98" s="1">
        <v>0</v>
      </c>
      <c r="J98" s="3" t="s">
        <v>18</v>
      </c>
      <c r="K98" s="2" t="str">
        <f>J98*0.00</f>
        <v>0</v>
      </c>
      <c r="L98" s="5"/>
    </row>
    <row r="99" spans="1:12" customHeight="1" ht="105" outlineLevel="5">
      <c r="A99" s="1"/>
      <c r="B99" s="1">
        <v>810894</v>
      </c>
      <c r="C99" s="1" t="s">
        <v>384</v>
      </c>
      <c r="D99" s="1" t="s">
        <v>385</v>
      </c>
      <c r="E99" s="2" t="s">
        <v>386</v>
      </c>
      <c r="F99" s="2" t="s">
        <v>383</v>
      </c>
      <c r="G99" s="2">
        <v>0</v>
      </c>
      <c r="H99" s="2">
        <v>0</v>
      </c>
      <c r="I99" s="1">
        <v>0</v>
      </c>
      <c r="J99" s="3" t="s">
        <v>18</v>
      </c>
      <c r="K99" s="2" t="str">
        <f>J99*0.00</f>
        <v>0</v>
      </c>
      <c r="L99" s="5"/>
    </row>
    <row r="100" spans="1:12" customHeight="1" ht="105" outlineLevel="5">
      <c r="A100" s="1"/>
      <c r="B100" s="1">
        <v>810895</v>
      </c>
      <c r="C100" s="1" t="s">
        <v>387</v>
      </c>
      <c r="D100" s="1" t="s">
        <v>388</v>
      </c>
      <c r="E100" s="2" t="s">
        <v>389</v>
      </c>
      <c r="F100" s="2" t="s">
        <v>390</v>
      </c>
      <c r="G100" s="2" t="s">
        <v>23</v>
      </c>
      <c r="H100" s="2" t="s">
        <v>17</v>
      </c>
      <c r="I100" s="1">
        <v>0</v>
      </c>
      <c r="J100" s="3" t="s">
        <v>18</v>
      </c>
      <c r="K100" s="2" t="str">
        <f>J100*502.00</f>
        <v>0</v>
      </c>
      <c r="L100" s="5"/>
    </row>
    <row r="101" spans="1:12" customHeight="1" ht="105" outlineLevel="5">
      <c r="A101" s="1"/>
      <c r="B101" s="1">
        <v>810896</v>
      </c>
      <c r="C101" s="1" t="s">
        <v>391</v>
      </c>
      <c r="D101" s="1" t="s">
        <v>392</v>
      </c>
      <c r="E101" s="2" t="s">
        <v>393</v>
      </c>
      <c r="F101" s="2" t="s">
        <v>394</v>
      </c>
      <c r="G101" s="2" t="s">
        <v>17</v>
      </c>
      <c r="H101" s="2" t="s">
        <v>96</v>
      </c>
      <c r="I101" s="1">
        <v>0</v>
      </c>
      <c r="J101" s="3" t="s">
        <v>18</v>
      </c>
      <c r="K101" s="2" t="str">
        <f>J101*449.00</f>
        <v>0</v>
      </c>
      <c r="L101" s="5"/>
    </row>
    <row r="102" spans="1:12" customHeight="1" ht="105" outlineLevel="5">
      <c r="A102" s="1"/>
      <c r="B102" s="1">
        <v>810897</v>
      </c>
      <c r="C102" s="1" t="s">
        <v>395</v>
      </c>
      <c r="D102" s="1" t="s">
        <v>396</v>
      </c>
      <c r="E102" s="2" t="s">
        <v>397</v>
      </c>
      <c r="F102" s="2" t="s">
        <v>398</v>
      </c>
      <c r="G102" s="2">
        <v>0</v>
      </c>
      <c r="H102" s="2" t="s">
        <v>82</v>
      </c>
      <c r="I102" s="1">
        <v>0</v>
      </c>
      <c r="J102" s="3" t="s">
        <v>18</v>
      </c>
      <c r="K102" s="2" t="str">
        <f>J102*1198.00</f>
        <v>0</v>
      </c>
      <c r="L102" s="5"/>
    </row>
    <row r="103" spans="1:12" customHeight="1" ht="105" outlineLevel="5">
      <c r="A103" s="1"/>
      <c r="B103" s="1">
        <v>810898</v>
      </c>
      <c r="C103" s="1" t="s">
        <v>399</v>
      </c>
      <c r="D103" s="1" t="s">
        <v>400</v>
      </c>
      <c r="E103" s="2" t="s">
        <v>401</v>
      </c>
      <c r="F103" s="2" t="s">
        <v>402</v>
      </c>
      <c r="G103" s="2">
        <v>0</v>
      </c>
      <c r="H103" s="2" t="s">
        <v>87</v>
      </c>
      <c r="I103" s="1">
        <v>0</v>
      </c>
      <c r="J103" s="3" t="s">
        <v>18</v>
      </c>
      <c r="K103" s="2" t="str">
        <f>J103*2093.00</f>
        <v>0</v>
      </c>
      <c r="L103" s="5"/>
    </row>
    <row r="104" spans="1:12" customHeight="1" ht="105" outlineLevel="5">
      <c r="A104" s="1"/>
      <c r="B104" s="1">
        <v>810899</v>
      </c>
      <c r="C104" s="1" t="s">
        <v>403</v>
      </c>
      <c r="D104" s="1" t="s">
        <v>404</v>
      </c>
      <c r="E104" s="2" t="s">
        <v>405</v>
      </c>
      <c r="F104" s="2" t="s">
        <v>406</v>
      </c>
      <c r="G104" s="2" t="s">
        <v>48</v>
      </c>
      <c r="H104" s="2" t="s">
        <v>87</v>
      </c>
      <c r="I104" s="1">
        <v>0</v>
      </c>
      <c r="J104" s="3" t="s">
        <v>18</v>
      </c>
      <c r="K104" s="2" t="str">
        <f>J104*1195.00</f>
        <v>0</v>
      </c>
      <c r="L104" s="5"/>
    </row>
    <row r="105" spans="1:12" customHeight="1" ht="105" outlineLevel="5">
      <c r="A105" s="1"/>
      <c r="B105" s="1">
        <v>810900</v>
      </c>
      <c r="C105" s="1" t="s">
        <v>407</v>
      </c>
      <c r="D105" s="1" t="s">
        <v>408</v>
      </c>
      <c r="E105" s="2" t="s">
        <v>409</v>
      </c>
      <c r="F105" s="2" t="s">
        <v>410</v>
      </c>
      <c r="G105" s="2">
        <v>1</v>
      </c>
      <c r="H105" s="2" t="s">
        <v>17</v>
      </c>
      <c r="I105" s="1">
        <v>0</v>
      </c>
      <c r="J105" s="3" t="s">
        <v>18</v>
      </c>
      <c r="K105" s="2" t="str">
        <f>J105*2056.00</f>
        <v>0</v>
      </c>
      <c r="L105" s="5"/>
    </row>
    <row r="106" spans="1:12" customHeight="1" ht="105" outlineLevel="5">
      <c r="A106" s="1"/>
      <c r="B106" s="1">
        <v>810901</v>
      </c>
      <c r="C106" s="1" t="s">
        <v>411</v>
      </c>
      <c r="D106" s="1" t="s">
        <v>412</v>
      </c>
      <c r="E106" s="2" t="s">
        <v>413</v>
      </c>
      <c r="F106" s="2" t="s">
        <v>414</v>
      </c>
      <c r="G106" s="2">
        <v>0</v>
      </c>
      <c r="H106" s="2" t="s">
        <v>23</v>
      </c>
      <c r="I106" s="1">
        <v>0</v>
      </c>
      <c r="J106" s="3" t="s">
        <v>18</v>
      </c>
      <c r="K106" s="2" t="str">
        <f>J106*1219.00</f>
        <v>0</v>
      </c>
      <c r="L106" s="5"/>
    </row>
    <row r="107" spans="1:12" customHeight="1" ht="105" outlineLevel="5">
      <c r="A107" s="1"/>
      <c r="B107" s="1">
        <v>810902</v>
      </c>
      <c r="C107" s="1" t="s">
        <v>415</v>
      </c>
      <c r="D107" s="1" t="s">
        <v>416</v>
      </c>
      <c r="E107" s="2" t="s">
        <v>417</v>
      </c>
      <c r="F107" s="2" t="s">
        <v>418</v>
      </c>
      <c r="G107" s="2">
        <v>0</v>
      </c>
      <c r="H107" s="2">
        <v>0</v>
      </c>
      <c r="I107" s="1">
        <v>0</v>
      </c>
      <c r="J107" s="3" t="s">
        <v>18</v>
      </c>
      <c r="K107" s="2" t="str">
        <f>J107*829.00</f>
        <v>0</v>
      </c>
      <c r="L107" s="5"/>
    </row>
    <row r="108" spans="1:12" customHeight="1" ht="105" outlineLevel="5">
      <c r="A108" s="1"/>
      <c r="B108" s="1">
        <v>810903</v>
      </c>
      <c r="C108" s="1" t="s">
        <v>419</v>
      </c>
      <c r="D108" s="1" t="s">
        <v>420</v>
      </c>
      <c r="E108" s="2" t="s">
        <v>421</v>
      </c>
      <c r="F108" s="2" t="s">
        <v>422</v>
      </c>
      <c r="G108" s="2" t="s">
        <v>23</v>
      </c>
      <c r="H108" s="2" t="s">
        <v>96</v>
      </c>
      <c r="I108" s="1">
        <v>0</v>
      </c>
      <c r="J108" s="3" t="s">
        <v>18</v>
      </c>
      <c r="K108" s="2" t="str">
        <f>J108*468.00</f>
        <v>0</v>
      </c>
      <c r="L108" s="5"/>
    </row>
    <row r="109" spans="1:12" customHeight="1" ht="105" outlineLevel="5">
      <c r="A109" s="1"/>
      <c r="B109" s="1">
        <v>810904</v>
      </c>
      <c r="C109" s="1" t="s">
        <v>423</v>
      </c>
      <c r="D109" s="1" t="s">
        <v>424</v>
      </c>
      <c r="E109" s="2" t="s">
        <v>425</v>
      </c>
      <c r="F109" s="2" t="s">
        <v>426</v>
      </c>
      <c r="G109" s="2" t="s">
        <v>48</v>
      </c>
      <c r="H109" s="2" t="s">
        <v>17</v>
      </c>
      <c r="I109" s="1">
        <v>0</v>
      </c>
      <c r="J109" s="3" t="s">
        <v>18</v>
      </c>
      <c r="K109" s="2" t="str">
        <f>J109*408.00</f>
        <v>0</v>
      </c>
      <c r="L109" s="5"/>
    </row>
    <row r="110" spans="1:12" customHeight="1" ht="105" outlineLevel="5">
      <c r="A110" s="1"/>
      <c r="B110" s="1">
        <v>824485</v>
      </c>
      <c r="C110" s="1" t="s">
        <v>427</v>
      </c>
      <c r="D110" s="1" t="s">
        <v>428</v>
      </c>
      <c r="E110" s="2" t="s">
        <v>429</v>
      </c>
      <c r="F110" s="2" t="s">
        <v>430</v>
      </c>
      <c r="G110" s="2">
        <v>0</v>
      </c>
      <c r="H110" s="2">
        <v>0</v>
      </c>
      <c r="I110" s="1">
        <v>0</v>
      </c>
      <c r="J110" s="3" t="s">
        <v>18</v>
      </c>
      <c r="K110" s="2" t="str">
        <f>J110*2859.00</f>
        <v>0</v>
      </c>
      <c r="L110" s="5"/>
    </row>
    <row r="111" spans="1:12" customHeight="1" ht="105" outlineLevel="5">
      <c r="A111" s="1"/>
      <c r="B111" s="1">
        <v>836169</v>
      </c>
      <c r="C111" s="1" t="s">
        <v>431</v>
      </c>
      <c r="D111" s="1" t="s">
        <v>432</v>
      </c>
      <c r="E111" s="2" t="s">
        <v>433</v>
      </c>
      <c r="F111" s="2" t="s">
        <v>434</v>
      </c>
      <c r="G111" s="2">
        <v>0</v>
      </c>
      <c r="H111" s="2">
        <v>0</v>
      </c>
      <c r="I111" s="1">
        <v>0</v>
      </c>
      <c r="J111" s="3" t="s">
        <v>18</v>
      </c>
      <c r="K111" s="2" t="str">
        <f>J111*724.00</f>
        <v>0</v>
      </c>
      <c r="L111" s="5"/>
    </row>
    <row r="112" spans="1:12" customHeight="1" ht="105" outlineLevel="5">
      <c r="A112" s="1"/>
      <c r="B112" s="1">
        <v>834701</v>
      </c>
      <c r="C112" s="1" t="s">
        <v>435</v>
      </c>
      <c r="D112" s="1" t="s">
        <v>436</v>
      </c>
      <c r="E112" s="2" t="s">
        <v>437</v>
      </c>
      <c r="F112" s="2" t="s">
        <v>438</v>
      </c>
      <c r="G112" s="2">
        <v>10</v>
      </c>
      <c r="H112" s="2" t="s">
        <v>17</v>
      </c>
      <c r="I112" s="1">
        <v>0</v>
      </c>
      <c r="J112" s="3" t="s">
        <v>18</v>
      </c>
      <c r="K112" s="2" t="str">
        <f>J112*590.00</f>
        <v>0</v>
      </c>
      <c r="L112" s="5"/>
    </row>
    <row r="113" spans="1:12" customHeight="1" ht="105" outlineLevel="5">
      <c r="A113" s="1"/>
      <c r="B113" s="1">
        <v>834702</v>
      </c>
      <c r="C113" s="1" t="s">
        <v>439</v>
      </c>
      <c r="D113" s="1" t="s">
        <v>440</v>
      </c>
      <c r="E113" s="2" t="s">
        <v>441</v>
      </c>
      <c r="F113" s="2" t="s">
        <v>442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J113*653.00</f>
        <v>0</v>
      </c>
      <c r="L113" s="5"/>
    </row>
    <row r="114" spans="1:12" customHeight="1" ht="105" outlineLevel="5">
      <c r="A114" s="1"/>
      <c r="B114" s="1">
        <v>834703</v>
      </c>
      <c r="C114" s="1" t="s">
        <v>443</v>
      </c>
      <c r="D114" s="1" t="s">
        <v>444</v>
      </c>
      <c r="E114" s="2" t="s">
        <v>445</v>
      </c>
      <c r="F114" s="2" t="s">
        <v>446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J114*969.00</f>
        <v>0</v>
      </c>
      <c r="L114" s="5"/>
    </row>
    <row r="115" spans="1:12" customHeight="1" ht="105" outlineLevel="5">
      <c r="A115" s="1"/>
      <c r="B115" s="1">
        <v>834704</v>
      </c>
      <c r="C115" s="1" t="s">
        <v>447</v>
      </c>
      <c r="D115" s="1" t="s">
        <v>448</v>
      </c>
      <c r="E115" s="2" t="s">
        <v>449</v>
      </c>
      <c r="F115" s="2" t="s">
        <v>450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J115*663.00</f>
        <v>0</v>
      </c>
      <c r="L115" s="5"/>
    </row>
    <row r="116" spans="1:12" customHeight="1" ht="105" outlineLevel="5">
      <c r="A116" s="1"/>
      <c r="B116" s="1">
        <v>834705</v>
      </c>
      <c r="C116" s="1" t="s">
        <v>451</v>
      </c>
      <c r="D116" s="1" t="s">
        <v>452</v>
      </c>
      <c r="E116" s="2" t="s">
        <v>453</v>
      </c>
      <c r="F116" s="2" t="s">
        <v>454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J116*994.00</f>
        <v>0</v>
      </c>
      <c r="L116" s="5"/>
    </row>
    <row r="117" spans="1:12" outlineLevel="3">
      <c r="A117" s="9" t="s">
        <v>455</v>
      </c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5"/>
    </row>
    <row r="118" spans="1:12" customHeight="1" ht="105" outlineLevel="5">
      <c r="A118" s="1"/>
      <c r="B118" s="1">
        <v>810917</v>
      </c>
      <c r="C118" s="1" t="s">
        <v>456</v>
      </c>
      <c r="D118" s="1" t="s">
        <v>457</v>
      </c>
      <c r="E118" s="2" t="s">
        <v>458</v>
      </c>
      <c r="F118" s="2" t="s">
        <v>459</v>
      </c>
      <c r="G118" s="2" t="s">
        <v>48</v>
      </c>
      <c r="H118" s="2" t="s">
        <v>17</v>
      </c>
      <c r="I118" s="1">
        <v>0</v>
      </c>
      <c r="J118" s="3" t="s">
        <v>18</v>
      </c>
      <c r="K118" s="2" t="str">
        <f>J118*373.00</f>
        <v>0</v>
      </c>
      <c r="L118" s="5"/>
    </row>
    <row r="119" spans="1:12" customHeight="1" ht="105" outlineLevel="5">
      <c r="A119" s="1"/>
      <c r="B119" s="1">
        <v>810918</v>
      </c>
      <c r="C119" s="1" t="s">
        <v>460</v>
      </c>
      <c r="D119" s="1" t="s">
        <v>461</v>
      </c>
      <c r="E119" s="2" t="s">
        <v>462</v>
      </c>
      <c r="F119" s="2" t="s">
        <v>463</v>
      </c>
      <c r="G119" s="2">
        <v>0</v>
      </c>
      <c r="H119" s="2" t="s">
        <v>17</v>
      </c>
      <c r="I119" s="1">
        <v>0</v>
      </c>
      <c r="J119" s="3" t="s">
        <v>18</v>
      </c>
      <c r="K119" s="2" t="str">
        <f>J119*549.00</f>
        <v>0</v>
      </c>
      <c r="L119" s="5"/>
    </row>
    <row r="120" spans="1:12" customHeight="1" ht="105" outlineLevel="5">
      <c r="A120" s="1"/>
      <c r="B120" s="1">
        <v>810919</v>
      </c>
      <c r="C120" s="1" t="s">
        <v>464</v>
      </c>
      <c r="D120" s="1" t="s">
        <v>465</v>
      </c>
      <c r="E120" s="2" t="s">
        <v>466</v>
      </c>
      <c r="F120" s="2" t="s">
        <v>467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J120*350.00</f>
        <v>0</v>
      </c>
      <c r="L120" s="5"/>
    </row>
    <row r="121" spans="1:12" customHeight="1" ht="105" outlineLevel="5">
      <c r="A121" s="1"/>
      <c r="B121" s="1">
        <v>810920</v>
      </c>
      <c r="C121" s="1" t="s">
        <v>468</v>
      </c>
      <c r="D121" s="1" t="s">
        <v>469</v>
      </c>
      <c r="E121" s="2" t="s">
        <v>470</v>
      </c>
      <c r="F121" s="2" t="s">
        <v>471</v>
      </c>
      <c r="G121" s="2">
        <v>5</v>
      </c>
      <c r="H121" s="2">
        <v>0</v>
      </c>
      <c r="I121" s="1">
        <v>0</v>
      </c>
      <c r="J121" s="3" t="s">
        <v>18</v>
      </c>
      <c r="K121" s="2" t="str">
        <f>J121*504.00</f>
        <v>0</v>
      </c>
      <c r="L121" s="5"/>
    </row>
    <row r="122" spans="1:12" customHeight="1" ht="105" outlineLevel="5">
      <c r="A122" s="1"/>
      <c r="B122" s="1">
        <v>810921</v>
      </c>
      <c r="C122" s="1" t="s">
        <v>472</v>
      </c>
      <c r="D122" s="1" t="s">
        <v>473</v>
      </c>
      <c r="E122" s="2" t="s">
        <v>474</v>
      </c>
      <c r="F122" s="2" t="s">
        <v>383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J122*0.00</f>
        <v>0</v>
      </c>
      <c r="L122" s="5"/>
    </row>
    <row r="123" spans="1:12" customHeight="1" ht="105" outlineLevel="5">
      <c r="A123" s="1"/>
      <c r="B123" s="1">
        <v>810922</v>
      </c>
      <c r="C123" s="1" t="s">
        <v>475</v>
      </c>
      <c r="D123" s="1" t="s">
        <v>476</v>
      </c>
      <c r="E123" s="2" t="s">
        <v>477</v>
      </c>
      <c r="F123" s="2" t="s">
        <v>478</v>
      </c>
      <c r="G123" s="2">
        <v>3</v>
      </c>
      <c r="H123" s="2">
        <v>0</v>
      </c>
      <c r="I123" s="1">
        <v>0</v>
      </c>
      <c r="J123" s="3" t="s">
        <v>18</v>
      </c>
      <c r="K123" s="2" t="str">
        <f>J123*588.00</f>
        <v>0</v>
      </c>
      <c r="L123" s="5"/>
    </row>
    <row r="124" spans="1:12" outlineLevel="3">
      <c r="A124" s="9" t="s">
        <v>479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5"/>
    </row>
    <row r="125" spans="1:12" customHeight="1" ht="105" outlineLevel="5">
      <c r="A125" s="1"/>
      <c r="B125" s="1">
        <v>837260</v>
      </c>
      <c r="C125" s="1" t="s">
        <v>480</v>
      </c>
      <c r="D125" s="1" t="s">
        <v>481</v>
      </c>
      <c r="E125" s="2" t="s">
        <v>482</v>
      </c>
      <c r="F125" s="2" t="s">
        <v>483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J125*240.00</f>
        <v>0</v>
      </c>
      <c r="L125" s="5"/>
    </row>
    <row r="126" spans="1:12" customHeight="1" ht="105" outlineLevel="5">
      <c r="A126" s="1"/>
      <c r="B126" s="1">
        <v>837261</v>
      </c>
      <c r="C126" s="1" t="s">
        <v>484</v>
      </c>
      <c r="D126" s="1" t="s">
        <v>485</v>
      </c>
      <c r="E126" s="2" t="s">
        <v>486</v>
      </c>
      <c r="F126" s="2" t="s">
        <v>487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J126*339.00</f>
        <v>0</v>
      </c>
      <c r="L126" s="5"/>
    </row>
    <row r="127" spans="1:12" customHeight="1" ht="105" outlineLevel="5">
      <c r="A127" s="1"/>
      <c r="B127" s="1">
        <v>837262</v>
      </c>
      <c r="C127" s="1" t="s">
        <v>488</v>
      </c>
      <c r="D127" s="1" t="s">
        <v>489</v>
      </c>
      <c r="E127" s="2" t="s">
        <v>490</v>
      </c>
      <c r="F127" s="2" t="s">
        <v>491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J127*267.00</f>
        <v>0</v>
      </c>
      <c r="L127" s="5"/>
    </row>
    <row r="128" spans="1:12" customHeight="1" ht="105" outlineLevel="5">
      <c r="A128" s="1"/>
      <c r="B128" s="1">
        <v>837263</v>
      </c>
      <c r="C128" s="1" t="s">
        <v>492</v>
      </c>
      <c r="D128" s="1" t="s">
        <v>493</v>
      </c>
      <c r="E128" s="2" t="s">
        <v>494</v>
      </c>
      <c r="F128" s="2" t="s">
        <v>495</v>
      </c>
      <c r="G128" s="2">
        <v>0</v>
      </c>
      <c r="H128" s="2" t="s">
        <v>82</v>
      </c>
      <c r="I128" s="1">
        <v>0</v>
      </c>
      <c r="J128" s="3" t="s">
        <v>18</v>
      </c>
      <c r="K128" s="2" t="str">
        <f>J128*383.00</f>
        <v>0</v>
      </c>
      <c r="L128" s="5"/>
    </row>
    <row r="129" spans="1:12" customHeight="1" ht="105" outlineLevel="5">
      <c r="A129" s="1"/>
      <c r="B129" s="1">
        <v>837264</v>
      </c>
      <c r="C129" s="1" t="s">
        <v>496</v>
      </c>
      <c r="D129" s="1" t="s">
        <v>497</v>
      </c>
      <c r="E129" s="2" t="s">
        <v>498</v>
      </c>
      <c r="F129" s="2" t="s">
        <v>499</v>
      </c>
      <c r="G129" s="2">
        <v>1</v>
      </c>
      <c r="H129" s="2" t="s">
        <v>82</v>
      </c>
      <c r="I129" s="1">
        <v>0</v>
      </c>
      <c r="J129" s="3" t="s">
        <v>18</v>
      </c>
      <c r="K129" s="2" t="str">
        <f>J129*681.00</f>
        <v>0</v>
      </c>
      <c r="L129" s="5"/>
    </row>
    <row r="130" spans="1:12" customHeight="1" ht="105" outlineLevel="5">
      <c r="A130" s="1"/>
      <c r="B130" s="1">
        <v>837265</v>
      </c>
      <c r="C130" s="1" t="s">
        <v>500</v>
      </c>
      <c r="D130" s="1" t="s">
        <v>501</v>
      </c>
      <c r="E130" s="2" t="s">
        <v>502</v>
      </c>
      <c r="F130" s="2" t="s">
        <v>503</v>
      </c>
      <c r="G130" s="2">
        <v>0</v>
      </c>
      <c r="H130" s="2" t="s">
        <v>87</v>
      </c>
      <c r="I130" s="1">
        <v>0</v>
      </c>
      <c r="J130" s="3" t="s">
        <v>18</v>
      </c>
      <c r="K130" s="2" t="str">
        <f>J130*300.00</f>
        <v>0</v>
      </c>
      <c r="L130" s="5"/>
    </row>
    <row r="131" spans="1:12" customHeight="1" ht="105" outlineLevel="5">
      <c r="A131" s="1"/>
      <c r="B131" s="1">
        <v>837266</v>
      </c>
      <c r="C131" s="1" t="s">
        <v>504</v>
      </c>
      <c r="D131" s="1" t="s">
        <v>505</v>
      </c>
      <c r="E131" s="2" t="s">
        <v>506</v>
      </c>
      <c r="F131" s="2" t="s">
        <v>507</v>
      </c>
      <c r="G131" s="2">
        <v>0</v>
      </c>
      <c r="H131" s="2" t="s">
        <v>82</v>
      </c>
      <c r="I131" s="1">
        <v>0</v>
      </c>
      <c r="J131" s="3" t="s">
        <v>18</v>
      </c>
      <c r="K131" s="2" t="str">
        <f>J131*436.00</f>
        <v>0</v>
      </c>
      <c r="L131" s="5"/>
    </row>
    <row r="132" spans="1:12" customHeight="1" ht="105" outlineLevel="5">
      <c r="A132" s="1"/>
      <c r="B132" s="1">
        <v>837267</v>
      </c>
      <c r="C132" s="1" t="s">
        <v>508</v>
      </c>
      <c r="D132" s="1" t="s">
        <v>509</v>
      </c>
      <c r="E132" s="2" t="s">
        <v>510</v>
      </c>
      <c r="F132" s="2" t="s">
        <v>511</v>
      </c>
      <c r="G132" s="2">
        <v>0</v>
      </c>
      <c r="H132" s="2">
        <v>0</v>
      </c>
      <c r="I132" s="1">
        <v>0</v>
      </c>
      <c r="J132" s="3" t="s">
        <v>18</v>
      </c>
      <c r="K132" s="2" t="str">
        <f>J132*324.00</f>
        <v>0</v>
      </c>
      <c r="L132" s="5"/>
    </row>
    <row r="133" spans="1:12" customHeight="1" ht="105" outlineLevel="5">
      <c r="A133" s="1"/>
      <c r="B133" s="1">
        <v>837268</v>
      </c>
      <c r="C133" s="1" t="s">
        <v>512</v>
      </c>
      <c r="D133" s="1" t="s">
        <v>513</v>
      </c>
      <c r="E133" s="2" t="s">
        <v>514</v>
      </c>
      <c r="F133" s="2" t="s">
        <v>515</v>
      </c>
      <c r="G133" s="2">
        <v>0</v>
      </c>
      <c r="H133" s="2">
        <v>0</v>
      </c>
      <c r="I133" s="1">
        <v>0</v>
      </c>
      <c r="J133" s="3" t="s">
        <v>18</v>
      </c>
      <c r="K133" s="2" t="str">
        <f>J133*473.00</f>
        <v>0</v>
      </c>
      <c r="L133" s="5"/>
    </row>
    <row r="134" spans="1:12" customHeight="1" ht="105" outlineLevel="5">
      <c r="A134" s="1"/>
      <c r="B134" s="1">
        <v>837882</v>
      </c>
      <c r="C134" s="1" t="s">
        <v>516</v>
      </c>
      <c r="D134" s="1" t="s">
        <v>517</v>
      </c>
      <c r="E134" s="2" t="s">
        <v>518</v>
      </c>
      <c r="F134" s="2" t="s">
        <v>519</v>
      </c>
      <c r="G134" s="2">
        <v>0</v>
      </c>
      <c r="H134" s="2" t="s">
        <v>82</v>
      </c>
      <c r="I134" s="1">
        <v>0</v>
      </c>
      <c r="J134" s="3" t="s">
        <v>18</v>
      </c>
      <c r="K134" s="2" t="str">
        <f>J134*607.00</f>
        <v>0</v>
      </c>
      <c r="L134" s="5"/>
    </row>
    <row r="135" spans="1:12" customHeight="1" ht="105" outlineLevel="5">
      <c r="A135" s="1"/>
      <c r="B135" s="1">
        <v>837883</v>
      </c>
      <c r="C135" s="1" t="s">
        <v>520</v>
      </c>
      <c r="D135" s="1" t="s">
        <v>521</v>
      </c>
      <c r="E135" s="2" t="s">
        <v>522</v>
      </c>
      <c r="F135" s="2" t="s">
        <v>523</v>
      </c>
      <c r="G135" s="2">
        <v>0</v>
      </c>
      <c r="H135" s="2" t="s">
        <v>96</v>
      </c>
      <c r="I135" s="1">
        <v>0</v>
      </c>
      <c r="J135" s="3" t="s">
        <v>18</v>
      </c>
      <c r="K135" s="2" t="str">
        <f>J135*294.00</f>
        <v>0</v>
      </c>
      <c r="L135" s="5"/>
    </row>
    <row r="136" spans="1:12" customHeight="1" ht="105" outlineLevel="5">
      <c r="A136" s="1"/>
      <c r="B136" s="1">
        <v>837884</v>
      </c>
      <c r="C136" s="1" t="s">
        <v>524</v>
      </c>
      <c r="D136" s="1" t="s">
        <v>525</v>
      </c>
      <c r="E136" s="2" t="s">
        <v>526</v>
      </c>
      <c r="F136" s="2" t="s">
        <v>527</v>
      </c>
      <c r="G136" s="2">
        <v>0</v>
      </c>
      <c r="H136" s="2">
        <v>0</v>
      </c>
      <c r="I136" s="1">
        <v>0</v>
      </c>
      <c r="J136" s="3" t="s">
        <v>18</v>
      </c>
      <c r="K136" s="2" t="str">
        <f>J136*582.00</f>
        <v>0</v>
      </c>
      <c r="L136" s="5"/>
    </row>
    <row r="137" spans="1:12" customHeight="1" ht="105" outlineLevel="5">
      <c r="A137" s="1"/>
      <c r="B137" s="1">
        <v>837885</v>
      </c>
      <c r="C137" s="1" t="s">
        <v>528</v>
      </c>
      <c r="D137" s="1" t="s">
        <v>529</v>
      </c>
      <c r="E137" s="2" t="s">
        <v>530</v>
      </c>
      <c r="F137" s="2" t="s">
        <v>531</v>
      </c>
      <c r="G137" s="2">
        <v>0</v>
      </c>
      <c r="H137" s="2">
        <v>0</v>
      </c>
      <c r="I137" s="1">
        <v>0</v>
      </c>
      <c r="J137" s="3" t="s">
        <v>18</v>
      </c>
      <c r="K137" s="2" t="str">
        <f>J137*335.00</f>
        <v>0</v>
      </c>
      <c r="L137" s="5"/>
    </row>
    <row r="138" spans="1:12" outlineLevel="3">
      <c r="A138" s="9" t="s">
        <v>532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5"/>
    </row>
    <row r="139" spans="1:12" customHeight="1" ht="105" outlineLevel="5">
      <c r="A139" s="1"/>
      <c r="B139" s="1">
        <v>810923</v>
      </c>
      <c r="C139" s="1" t="s">
        <v>533</v>
      </c>
      <c r="D139" s="1" t="s">
        <v>534</v>
      </c>
      <c r="E139" s="2" t="s">
        <v>535</v>
      </c>
      <c r="F139" s="2" t="s">
        <v>383</v>
      </c>
      <c r="G139" s="2">
        <v>0</v>
      </c>
      <c r="H139" s="2">
        <v>0</v>
      </c>
      <c r="I139" s="1">
        <v>0</v>
      </c>
      <c r="J139" s="3" t="s">
        <v>18</v>
      </c>
      <c r="K139" s="2" t="str">
        <f>J139*0.00</f>
        <v>0</v>
      </c>
      <c r="L139" s="5"/>
    </row>
    <row r="140" spans="1:12" customHeight="1" ht="105" outlineLevel="5">
      <c r="A140" s="1"/>
      <c r="B140" s="1">
        <v>810924</v>
      </c>
      <c r="C140" s="1" t="s">
        <v>536</v>
      </c>
      <c r="D140" s="1" t="s">
        <v>537</v>
      </c>
      <c r="E140" s="2" t="s">
        <v>538</v>
      </c>
      <c r="F140" s="2" t="s">
        <v>539</v>
      </c>
      <c r="G140" s="2">
        <v>0</v>
      </c>
      <c r="H140" s="2">
        <v>0</v>
      </c>
      <c r="I140" s="1">
        <v>0</v>
      </c>
      <c r="J140" s="3" t="s">
        <v>18</v>
      </c>
      <c r="K140" s="2" t="str">
        <f>J140*1522.00</f>
        <v>0</v>
      </c>
      <c r="L140" s="5"/>
    </row>
    <row r="141" spans="1:12" customHeight="1" ht="105" outlineLevel="5">
      <c r="A141" s="1"/>
      <c r="B141" s="1">
        <v>810925</v>
      </c>
      <c r="C141" s="1" t="s">
        <v>540</v>
      </c>
      <c r="D141" s="1" t="s">
        <v>541</v>
      </c>
      <c r="E141" s="2" t="s">
        <v>542</v>
      </c>
      <c r="F141" s="2" t="s">
        <v>383</v>
      </c>
      <c r="G141" s="2">
        <v>0</v>
      </c>
      <c r="H141" s="2">
        <v>0</v>
      </c>
      <c r="I141" s="1">
        <v>0</v>
      </c>
      <c r="J141" s="3" t="s">
        <v>18</v>
      </c>
      <c r="K141" s="2" t="str">
        <f>J141*0.00</f>
        <v>0</v>
      </c>
      <c r="L141" s="5"/>
    </row>
    <row r="142" spans="1:12" customHeight="1" ht="105" outlineLevel="5">
      <c r="A142" s="1"/>
      <c r="B142" s="1">
        <v>810926</v>
      </c>
      <c r="C142" s="1" t="s">
        <v>543</v>
      </c>
      <c r="D142" s="1" t="s">
        <v>544</v>
      </c>
      <c r="E142" s="2" t="s">
        <v>545</v>
      </c>
      <c r="F142" s="2" t="s">
        <v>546</v>
      </c>
      <c r="G142" s="2">
        <v>0</v>
      </c>
      <c r="H142" s="2">
        <v>0</v>
      </c>
      <c r="I142" s="1">
        <v>0</v>
      </c>
      <c r="J142" s="3" t="s">
        <v>18</v>
      </c>
      <c r="K142" s="2" t="str">
        <f>J142*3585.00</f>
        <v>0</v>
      </c>
      <c r="L142" s="5"/>
    </row>
    <row r="143" spans="1:12" customHeight="1" ht="105" outlineLevel="5">
      <c r="A143" s="1"/>
      <c r="B143" s="1">
        <v>810927</v>
      </c>
      <c r="C143" s="1" t="s">
        <v>547</v>
      </c>
      <c r="D143" s="1" t="s">
        <v>548</v>
      </c>
      <c r="E143" s="2" t="s">
        <v>549</v>
      </c>
      <c r="F143" s="2" t="s">
        <v>383</v>
      </c>
      <c r="G143" s="2">
        <v>0</v>
      </c>
      <c r="H143" s="2">
        <v>0</v>
      </c>
      <c r="I143" s="1">
        <v>0</v>
      </c>
      <c r="J143" s="3" t="s">
        <v>18</v>
      </c>
      <c r="K143" s="2" t="str">
        <f>J143*0.00</f>
        <v>0</v>
      </c>
      <c r="L143" s="5"/>
    </row>
    <row r="144" spans="1:12" customHeight="1" ht="105" outlineLevel="5">
      <c r="A144" s="1"/>
      <c r="B144" s="1">
        <v>810928</v>
      </c>
      <c r="C144" s="1" t="s">
        <v>550</v>
      </c>
      <c r="D144" s="1" t="s">
        <v>551</v>
      </c>
      <c r="E144" s="2" t="s">
        <v>552</v>
      </c>
      <c r="F144" s="2" t="s">
        <v>553</v>
      </c>
      <c r="G144" s="2">
        <v>0</v>
      </c>
      <c r="H144" s="2">
        <v>0</v>
      </c>
      <c r="I144" s="1">
        <v>0</v>
      </c>
      <c r="J144" s="3" t="s">
        <v>18</v>
      </c>
      <c r="K144" s="2" t="str">
        <f>J144*8060.00</f>
        <v>0</v>
      </c>
      <c r="L144" s="5"/>
    </row>
    <row r="145" spans="1:12" customHeight="1" ht="105" outlineLevel="5">
      <c r="A145" s="1"/>
      <c r="B145" s="1">
        <v>810929</v>
      </c>
      <c r="C145" s="1" t="s">
        <v>554</v>
      </c>
      <c r="D145" s="1" t="s">
        <v>555</v>
      </c>
      <c r="E145" s="2" t="s">
        <v>556</v>
      </c>
      <c r="F145" s="2" t="s">
        <v>383</v>
      </c>
      <c r="G145" s="2">
        <v>0</v>
      </c>
      <c r="H145" s="2">
        <v>0</v>
      </c>
      <c r="I145" s="1">
        <v>0</v>
      </c>
      <c r="J145" s="3" t="s">
        <v>18</v>
      </c>
      <c r="K145" s="2" t="str">
        <f>J145*0.00</f>
        <v>0</v>
      </c>
      <c r="L145" s="5"/>
    </row>
    <row r="146" spans="1:12" customHeight="1" ht="105" outlineLevel="5">
      <c r="A146" s="1"/>
      <c r="B146" s="1">
        <v>810930</v>
      </c>
      <c r="C146" s="1" t="s">
        <v>557</v>
      </c>
      <c r="D146" s="1" t="s">
        <v>558</v>
      </c>
      <c r="E146" s="2" t="s">
        <v>559</v>
      </c>
      <c r="F146" s="2" t="s">
        <v>383</v>
      </c>
      <c r="G146" s="2">
        <v>0</v>
      </c>
      <c r="H146" s="2">
        <v>0</v>
      </c>
      <c r="I146" s="1">
        <v>0</v>
      </c>
      <c r="J146" s="3" t="s">
        <v>18</v>
      </c>
      <c r="K146" s="2" t="str">
        <f>J146*0.00</f>
        <v>0</v>
      </c>
      <c r="L146" s="5"/>
    </row>
    <row r="147" spans="1:12" customHeight="1" ht="105" outlineLevel="5">
      <c r="A147" s="1"/>
      <c r="B147" s="1">
        <v>810931</v>
      </c>
      <c r="C147" s="1" t="s">
        <v>560</v>
      </c>
      <c r="D147" s="1" t="s">
        <v>561</v>
      </c>
      <c r="E147" s="2" t="s">
        <v>562</v>
      </c>
      <c r="F147" s="2" t="s">
        <v>563</v>
      </c>
      <c r="G147" s="2">
        <v>0</v>
      </c>
      <c r="H147" s="2" t="s">
        <v>23</v>
      </c>
      <c r="I147" s="1">
        <v>0</v>
      </c>
      <c r="J147" s="3" t="s">
        <v>18</v>
      </c>
      <c r="K147" s="2" t="str">
        <f>J147*2463.00</f>
        <v>0</v>
      </c>
      <c r="L147" s="5"/>
    </row>
    <row r="148" spans="1:12" customHeight="1" ht="105" outlineLevel="5">
      <c r="A148" s="1"/>
      <c r="B148" s="1">
        <v>810932</v>
      </c>
      <c r="C148" s="1" t="s">
        <v>564</v>
      </c>
      <c r="D148" s="1" t="s">
        <v>565</v>
      </c>
      <c r="E148" s="2" t="s">
        <v>566</v>
      </c>
      <c r="F148" s="2" t="s">
        <v>567</v>
      </c>
      <c r="G148" s="2">
        <v>0</v>
      </c>
      <c r="H148" s="2" t="s">
        <v>87</v>
      </c>
      <c r="I148" s="1">
        <v>0</v>
      </c>
      <c r="J148" s="3" t="s">
        <v>18</v>
      </c>
      <c r="K148" s="2" t="str">
        <f>J148*3983.00</f>
        <v>0</v>
      </c>
      <c r="L148" s="5"/>
    </row>
    <row r="149" spans="1:12" customHeight="1" ht="105" outlineLevel="5">
      <c r="A149" s="1"/>
      <c r="B149" s="1">
        <v>810933</v>
      </c>
      <c r="C149" s="1" t="s">
        <v>568</v>
      </c>
      <c r="D149" s="1" t="s">
        <v>569</v>
      </c>
      <c r="E149" s="2" t="s">
        <v>570</v>
      </c>
      <c r="F149" s="2" t="s">
        <v>383</v>
      </c>
      <c r="G149" s="2">
        <v>0</v>
      </c>
      <c r="H149" s="2">
        <v>0</v>
      </c>
      <c r="I149" s="1">
        <v>0</v>
      </c>
      <c r="J149" s="3" t="s">
        <v>18</v>
      </c>
      <c r="K149" s="2" t="str">
        <f>J149*0.00</f>
        <v>0</v>
      </c>
      <c r="L149" s="5"/>
    </row>
    <row r="150" spans="1:12" customHeight="1" ht="105" outlineLevel="5">
      <c r="A150" s="1"/>
      <c r="B150" s="1">
        <v>810934</v>
      </c>
      <c r="C150" s="1" t="s">
        <v>571</v>
      </c>
      <c r="D150" s="1" t="s">
        <v>572</v>
      </c>
      <c r="E150" s="2" t="s">
        <v>573</v>
      </c>
      <c r="F150" s="2" t="s">
        <v>574</v>
      </c>
      <c r="G150" s="2">
        <v>0</v>
      </c>
      <c r="H150" s="2">
        <v>3</v>
      </c>
      <c r="I150" s="1">
        <v>0</v>
      </c>
      <c r="J150" s="3" t="s">
        <v>18</v>
      </c>
      <c r="K150" s="2" t="str">
        <f>J150*1467.00</f>
        <v>0</v>
      </c>
      <c r="L150" s="5"/>
    </row>
    <row r="151" spans="1:12" customHeight="1" ht="105" outlineLevel="5">
      <c r="A151" s="1"/>
      <c r="B151" s="1">
        <v>810935</v>
      </c>
      <c r="C151" s="1" t="s">
        <v>575</v>
      </c>
      <c r="D151" s="1" t="s">
        <v>576</v>
      </c>
      <c r="E151" s="2" t="s">
        <v>577</v>
      </c>
      <c r="F151" s="2" t="s">
        <v>578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J151*2605.00</f>
        <v>0</v>
      </c>
      <c r="L151" s="5"/>
    </row>
    <row r="152" spans="1:12" customHeight="1" ht="105" outlineLevel="5">
      <c r="A152" s="1"/>
      <c r="B152" s="1">
        <v>810936</v>
      </c>
      <c r="C152" s="1" t="s">
        <v>579</v>
      </c>
      <c r="D152" s="1" t="s">
        <v>580</v>
      </c>
      <c r="E152" s="2" t="s">
        <v>581</v>
      </c>
      <c r="F152" s="2" t="s">
        <v>383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J152*0.00</f>
        <v>0</v>
      </c>
      <c r="L152" s="5"/>
    </row>
    <row r="153" spans="1:12" customHeight="1" ht="105" outlineLevel="5">
      <c r="A153" s="1"/>
      <c r="B153" s="1">
        <v>810937</v>
      </c>
      <c r="C153" s="1" t="s">
        <v>582</v>
      </c>
      <c r="D153" s="1" t="s">
        <v>583</v>
      </c>
      <c r="E153" s="2" t="s">
        <v>584</v>
      </c>
      <c r="F153" s="2" t="s">
        <v>383</v>
      </c>
      <c r="G153" s="2">
        <v>0</v>
      </c>
      <c r="H153" s="2">
        <v>0</v>
      </c>
      <c r="I153" s="1">
        <v>0</v>
      </c>
      <c r="J153" s="3" t="s">
        <v>18</v>
      </c>
      <c r="K153" s="2" t="str">
        <f>J153*0.00</f>
        <v>0</v>
      </c>
      <c r="L153" s="5"/>
    </row>
    <row r="154" spans="1:12" customHeight="1" ht="105" outlineLevel="5">
      <c r="A154" s="1"/>
      <c r="B154" s="1">
        <v>810938</v>
      </c>
      <c r="C154" s="1" t="s">
        <v>585</v>
      </c>
      <c r="D154" s="1" t="s">
        <v>586</v>
      </c>
      <c r="E154" s="2" t="s">
        <v>587</v>
      </c>
      <c r="F154" s="2" t="s">
        <v>588</v>
      </c>
      <c r="G154" s="2">
        <v>0</v>
      </c>
      <c r="H154" s="2">
        <v>0</v>
      </c>
      <c r="I154" s="1">
        <v>0</v>
      </c>
      <c r="J154" s="3" t="s">
        <v>18</v>
      </c>
      <c r="K154" s="2" t="str">
        <f>J154*2694.00</f>
        <v>0</v>
      </c>
      <c r="L154" s="5"/>
    </row>
    <row r="155" spans="1:12" customHeight="1" ht="105" outlineLevel="5">
      <c r="A155" s="1"/>
      <c r="B155" s="1">
        <v>810939</v>
      </c>
      <c r="C155" s="1" t="s">
        <v>589</v>
      </c>
      <c r="D155" s="1" t="s">
        <v>590</v>
      </c>
      <c r="E155" s="2" t="s">
        <v>591</v>
      </c>
      <c r="F155" s="2" t="s">
        <v>383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J155*0.00</f>
        <v>0</v>
      </c>
      <c r="L155" s="5"/>
    </row>
    <row r="156" spans="1:12" customHeight="1" ht="105" outlineLevel="5">
      <c r="A156" s="1"/>
      <c r="B156" s="1">
        <v>810940</v>
      </c>
      <c r="C156" s="1" t="s">
        <v>592</v>
      </c>
      <c r="D156" s="1" t="s">
        <v>593</v>
      </c>
      <c r="E156" s="2" t="s">
        <v>594</v>
      </c>
      <c r="F156" s="2" t="s">
        <v>383</v>
      </c>
      <c r="G156" s="2">
        <v>0</v>
      </c>
      <c r="H156" s="2">
        <v>0</v>
      </c>
      <c r="I156" s="1">
        <v>0</v>
      </c>
      <c r="J156" s="3" t="s">
        <v>18</v>
      </c>
      <c r="K156" s="2" t="str">
        <f>J156*0.00</f>
        <v>0</v>
      </c>
      <c r="L156" s="5"/>
    </row>
    <row r="157" spans="1:12" customHeight="1" ht="105" outlineLevel="5">
      <c r="A157" s="1"/>
      <c r="B157" s="1">
        <v>810941</v>
      </c>
      <c r="C157" s="1" t="s">
        <v>595</v>
      </c>
      <c r="D157" s="1" t="s">
        <v>596</v>
      </c>
      <c r="E157" s="2" t="s">
        <v>597</v>
      </c>
      <c r="F157" s="2" t="s">
        <v>598</v>
      </c>
      <c r="G157" s="2">
        <v>1</v>
      </c>
      <c r="H157" s="2">
        <v>1</v>
      </c>
      <c r="I157" s="1">
        <v>0</v>
      </c>
      <c r="J157" s="3" t="s">
        <v>18</v>
      </c>
      <c r="K157" s="2" t="str">
        <f>J157*3201.00</f>
        <v>0</v>
      </c>
      <c r="L157" s="5"/>
    </row>
    <row r="158" spans="1:12" customHeight="1" ht="105" outlineLevel="5">
      <c r="A158" s="1"/>
      <c r="B158" s="1">
        <v>810942</v>
      </c>
      <c r="C158" s="1" t="s">
        <v>599</v>
      </c>
      <c r="D158" s="1" t="s">
        <v>600</v>
      </c>
      <c r="E158" s="2" t="s">
        <v>601</v>
      </c>
      <c r="F158" s="2" t="s">
        <v>602</v>
      </c>
      <c r="G158" s="2">
        <v>0</v>
      </c>
      <c r="H158" s="2">
        <v>3</v>
      </c>
      <c r="I158" s="1">
        <v>0</v>
      </c>
      <c r="J158" s="3" t="s">
        <v>18</v>
      </c>
      <c r="K158" s="2" t="str">
        <f>J158*1134.00</f>
        <v>0</v>
      </c>
      <c r="L158" s="5"/>
    </row>
    <row r="159" spans="1:12" customHeight="1" ht="105" outlineLevel="5">
      <c r="A159" s="1"/>
      <c r="B159" s="1">
        <v>810943</v>
      </c>
      <c r="C159" s="1" t="s">
        <v>603</v>
      </c>
      <c r="D159" s="1" t="s">
        <v>604</v>
      </c>
      <c r="E159" s="2" t="s">
        <v>605</v>
      </c>
      <c r="F159" s="2" t="s">
        <v>383</v>
      </c>
      <c r="G159" s="2">
        <v>1</v>
      </c>
      <c r="H159" s="2">
        <v>0</v>
      </c>
      <c r="I159" s="1">
        <v>0</v>
      </c>
      <c r="J159" s="3" t="s">
        <v>18</v>
      </c>
      <c r="K159" s="2" t="str">
        <f>J159*0.00</f>
        <v>0</v>
      </c>
      <c r="L159" s="5"/>
    </row>
    <row r="160" spans="1:12" outlineLevel="3">
      <c r="A160" s="9" t="s">
        <v>606</v>
      </c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5"/>
    </row>
    <row r="161" spans="1:12" customHeight="1" ht="105" outlineLevel="5">
      <c r="A161" s="1"/>
      <c r="B161" s="1">
        <v>883783</v>
      </c>
      <c r="C161" s="1" t="s">
        <v>607</v>
      </c>
      <c r="D161" s="1" t="s">
        <v>608</v>
      </c>
      <c r="E161" s="2" t="s">
        <v>609</v>
      </c>
      <c r="F161" s="2" t="s">
        <v>610</v>
      </c>
      <c r="G161" s="2">
        <v>0</v>
      </c>
      <c r="H161" s="2" t="s">
        <v>96</v>
      </c>
      <c r="I161" s="1">
        <v>0</v>
      </c>
      <c r="J161" s="3" t="s">
        <v>18</v>
      </c>
      <c r="K161" s="2" t="str">
        <f>J161*613.00</f>
        <v>0</v>
      </c>
      <c r="L161" s="5"/>
    </row>
    <row r="162" spans="1:12" customHeight="1" ht="105" outlineLevel="5">
      <c r="A162" s="1"/>
      <c r="B162" s="1">
        <v>883784</v>
      </c>
      <c r="C162" s="1" t="s">
        <v>611</v>
      </c>
      <c r="D162" s="1" t="s">
        <v>612</v>
      </c>
      <c r="E162" s="2" t="s">
        <v>613</v>
      </c>
      <c r="F162" s="2" t="s">
        <v>614</v>
      </c>
      <c r="G162" s="2">
        <v>6</v>
      </c>
      <c r="H162" s="2" t="s">
        <v>17</v>
      </c>
      <c r="I162" s="1">
        <v>0</v>
      </c>
      <c r="J162" s="3" t="s">
        <v>18</v>
      </c>
      <c r="K162" s="2" t="str">
        <f>J162*1106.00</f>
        <v>0</v>
      </c>
      <c r="L162" s="5"/>
    </row>
    <row r="163" spans="1:12" customHeight="1" ht="105" outlineLevel="5">
      <c r="A163" s="1"/>
      <c r="B163" s="1">
        <v>883785</v>
      </c>
      <c r="C163" s="1" t="s">
        <v>615</v>
      </c>
      <c r="D163" s="1" t="s">
        <v>616</v>
      </c>
      <c r="E163" s="2" t="s">
        <v>617</v>
      </c>
      <c r="F163" s="2" t="s">
        <v>618</v>
      </c>
      <c r="G163" s="2">
        <v>0</v>
      </c>
      <c r="H163" s="2" t="s">
        <v>96</v>
      </c>
      <c r="I163" s="1">
        <v>0</v>
      </c>
      <c r="J163" s="3" t="s">
        <v>18</v>
      </c>
      <c r="K163" s="2" t="str">
        <f>J163*1170.00</f>
        <v>0</v>
      </c>
      <c r="L163" s="5"/>
    </row>
    <row r="164" spans="1:12" customHeight="1" ht="105" outlineLevel="5">
      <c r="A164" s="1"/>
      <c r="B164" s="1">
        <v>883786</v>
      </c>
      <c r="C164" s="1" t="s">
        <v>619</v>
      </c>
      <c r="D164" s="1" t="s">
        <v>620</v>
      </c>
      <c r="E164" s="2" t="s">
        <v>621</v>
      </c>
      <c r="F164" s="2" t="s">
        <v>622</v>
      </c>
      <c r="G164" s="2">
        <v>0</v>
      </c>
      <c r="H164" s="2" t="s">
        <v>96</v>
      </c>
      <c r="I164" s="1">
        <v>0</v>
      </c>
      <c r="J164" s="3" t="s">
        <v>18</v>
      </c>
      <c r="K164" s="2" t="str">
        <f>J164*565.00</f>
        <v>0</v>
      </c>
      <c r="L164" s="5"/>
    </row>
    <row r="165" spans="1:12" customHeight="1" ht="105" outlineLevel="5">
      <c r="A165" s="1"/>
      <c r="B165" s="1">
        <v>883787</v>
      </c>
      <c r="C165" s="1" t="s">
        <v>623</v>
      </c>
      <c r="D165" s="1" t="s">
        <v>624</v>
      </c>
      <c r="E165" s="2" t="s">
        <v>625</v>
      </c>
      <c r="F165" s="2" t="s">
        <v>626</v>
      </c>
      <c r="G165" s="2" t="s">
        <v>87</v>
      </c>
      <c r="H165" s="2" t="s">
        <v>96</v>
      </c>
      <c r="I165" s="1">
        <v>0</v>
      </c>
      <c r="J165" s="3" t="s">
        <v>18</v>
      </c>
      <c r="K165" s="2" t="str">
        <f>J165*587.00</f>
        <v>0</v>
      </c>
      <c r="L165" s="5"/>
    </row>
    <row r="166" spans="1:12" customHeight="1" ht="105" outlineLevel="5">
      <c r="A166" s="1"/>
      <c r="B166" s="1">
        <v>883788</v>
      </c>
      <c r="C166" s="1" t="s">
        <v>627</v>
      </c>
      <c r="D166" s="1" t="s">
        <v>628</v>
      </c>
      <c r="E166" s="2" t="s">
        <v>629</v>
      </c>
      <c r="F166" s="2" t="s">
        <v>630</v>
      </c>
      <c r="G166" s="2">
        <v>9</v>
      </c>
      <c r="H166" s="2" t="s">
        <v>82</v>
      </c>
      <c r="I166" s="1">
        <v>0</v>
      </c>
      <c r="J166" s="3" t="s">
        <v>18</v>
      </c>
      <c r="K166" s="2" t="str">
        <f>J166*1060.00</f>
        <v>0</v>
      </c>
      <c r="L166" s="5"/>
    </row>
    <row r="167" spans="1:12" customHeight="1" ht="105" outlineLevel="5">
      <c r="A167" s="1"/>
      <c r="B167" s="1">
        <v>889638</v>
      </c>
      <c r="C167" s="1" t="s">
        <v>631</v>
      </c>
      <c r="D167" s="1" t="s">
        <v>632</v>
      </c>
      <c r="E167" s="2" t="s">
        <v>633</v>
      </c>
      <c r="F167" s="2" t="s">
        <v>634</v>
      </c>
      <c r="G167" s="2">
        <v>0</v>
      </c>
      <c r="H167" s="2" t="s">
        <v>96</v>
      </c>
      <c r="I167" s="1">
        <v>0</v>
      </c>
      <c r="J167" s="3" t="s">
        <v>18</v>
      </c>
      <c r="K167" s="2" t="str">
        <f>J167*611.00</f>
        <v>0</v>
      </c>
      <c r="L167" s="5"/>
    </row>
    <row r="168" spans="1:12" outlineLevel="3">
      <c r="A168" s="9" t="s">
        <v>635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5"/>
    </row>
    <row r="169" spans="1:12" customHeight="1" ht="105" outlineLevel="5">
      <c r="A169" s="1"/>
      <c r="B169" s="1">
        <v>885135</v>
      </c>
      <c r="C169" s="1" t="s">
        <v>636</v>
      </c>
      <c r="D169" s="1" t="s">
        <v>637</v>
      </c>
      <c r="E169" s="2" t="s">
        <v>638</v>
      </c>
      <c r="F169" s="2" t="s">
        <v>639</v>
      </c>
      <c r="G169" s="2">
        <v>0</v>
      </c>
      <c r="H169" s="2" t="s">
        <v>96</v>
      </c>
      <c r="I169" s="1">
        <v>0</v>
      </c>
      <c r="J169" s="3" t="s">
        <v>18</v>
      </c>
      <c r="K169" s="2" t="str">
        <f>J169*318.00</f>
        <v>0</v>
      </c>
      <c r="L169" s="5"/>
    </row>
    <row r="170" spans="1:12" customHeight="1" ht="105" outlineLevel="5">
      <c r="A170" s="1"/>
      <c r="B170" s="1">
        <v>885136</v>
      </c>
      <c r="C170" s="1" t="s">
        <v>640</v>
      </c>
      <c r="D170" s="1" t="s">
        <v>641</v>
      </c>
      <c r="E170" s="2" t="s">
        <v>642</v>
      </c>
      <c r="F170" s="2" t="s">
        <v>643</v>
      </c>
      <c r="G170" s="2">
        <v>0</v>
      </c>
      <c r="H170" s="2" t="s">
        <v>96</v>
      </c>
      <c r="I170" s="1">
        <v>0</v>
      </c>
      <c r="J170" s="3" t="s">
        <v>18</v>
      </c>
      <c r="K170" s="2" t="str">
        <f>J170*453.00</f>
        <v>0</v>
      </c>
      <c r="L170" s="5"/>
    </row>
    <row r="171" spans="1:12" customHeight="1" ht="105" outlineLevel="5">
      <c r="A171" s="1"/>
      <c r="B171" s="1">
        <v>885137</v>
      </c>
      <c r="C171" s="1" t="s">
        <v>644</v>
      </c>
      <c r="D171" s="1" t="s">
        <v>645</v>
      </c>
      <c r="E171" s="2" t="s">
        <v>646</v>
      </c>
      <c r="F171" s="2" t="s">
        <v>647</v>
      </c>
      <c r="G171" s="2">
        <v>0</v>
      </c>
      <c r="H171" s="2" t="s">
        <v>17</v>
      </c>
      <c r="I171" s="1">
        <v>0</v>
      </c>
      <c r="J171" s="3" t="s">
        <v>18</v>
      </c>
      <c r="K171" s="2" t="str">
        <f>J171*793.00</f>
        <v>0</v>
      </c>
      <c r="L171" s="5"/>
    </row>
    <row r="172" spans="1:12" customHeight="1" ht="105" outlineLevel="5">
      <c r="A172" s="1"/>
      <c r="B172" s="1">
        <v>883983</v>
      </c>
      <c r="C172" s="1" t="s">
        <v>648</v>
      </c>
      <c r="D172" s="1" t="s">
        <v>649</v>
      </c>
      <c r="E172" s="2" t="s">
        <v>650</v>
      </c>
      <c r="F172" s="2" t="s">
        <v>651</v>
      </c>
      <c r="G172" s="2">
        <v>0</v>
      </c>
      <c r="H172" s="2" t="s">
        <v>96</v>
      </c>
      <c r="I172" s="1">
        <v>0</v>
      </c>
      <c r="J172" s="3" t="s">
        <v>18</v>
      </c>
      <c r="K172" s="2" t="str">
        <f>J172*349.00</f>
        <v>0</v>
      </c>
      <c r="L172" s="5"/>
    </row>
    <row r="173" spans="1:12" customHeight="1" ht="105" outlineLevel="5">
      <c r="A173" s="1"/>
      <c r="B173" s="1">
        <v>883984</v>
      </c>
      <c r="C173" s="1" t="s">
        <v>652</v>
      </c>
      <c r="D173" s="1" t="s">
        <v>653</v>
      </c>
      <c r="E173" s="2" t="s">
        <v>654</v>
      </c>
      <c r="F173" s="2" t="s">
        <v>655</v>
      </c>
      <c r="G173" s="2">
        <v>0</v>
      </c>
      <c r="H173" s="2" t="s">
        <v>17</v>
      </c>
      <c r="I173" s="1">
        <v>0</v>
      </c>
      <c r="J173" s="3" t="s">
        <v>18</v>
      </c>
      <c r="K173" s="2" t="str">
        <f>J173*512.00</f>
        <v>0</v>
      </c>
      <c r="L173" s="5"/>
    </row>
    <row r="174" spans="1:12" customHeight="1" ht="105" outlineLevel="5">
      <c r="A174" s="1"/>
      <c r="B174" s="1">
        <v>883985</v>
      </c>
      <c r="C174" s="1" t="s">
        <v>656</v>
      </c>
      <c r="D174" s="1" t="s">
        <v>657</v>
      </c>
      <c r="E174" s="2" t="s">
        <v>658</v>
      </c>
      <c r="F174" s="2" t="s">
        <v>659</v>
      </c>
      <c r="G174" s="2">
        <v>0</v>
      </c>
      <c r="H174" s="2">
        <v>0</v>
      </c>
      <c r="I174" s="1">
        <v>0</v>
      </c>
      <c r="J174" s="3" t="s">
        <v>18</v>
      </c>
      <c r="K174" s="2" t="str">
        <f>J174*308.00</f>
        <v>0</v>
      </c>
      <c r="L174" s="5"/>
    </row>
    <row r="175" spans="1:12" customHeight="1" ht="105" outlineLevel="5">
      <c r="A175" s="1"/>
      <c r="B175" s="1">
        <v>883986</v>
      </c>
      <c r="C175" s="1" t="s">
        <v>660</v>
      </c>
      <c r="D175" s="1" t="s">
        <v>661</v>
      </c>
      <c r="E175" s="2" t="s">
        <v>662</v>
      </c>
      <c r="F175" s="2" t="s">
        <v>663</v>
      </c>
      <c r="G175" s="2">
        <v>0</v>
      </c>
      <c r="H175" s="2" t="s">
        <v>17</v>
      </c>
      <c r="I175" s="1">
        <v>0</v>
      </c>
      <c r="J175" s="3" t="s">
        <v>18</v>
      </c>
      <c r="K175" s="2" t="str">
        <f>J175*447.00</f>
        <v>0</v>
      </c>
      <c r="L175" s="5"/>
    </row>
    <row r="176" spans="1:12" customHeight="1" ht="105" outlineLevel="5">
      <c r="A176" s="1"/>
      <c r="B176" s="1">
        <v>883987</v>
      </c>
      <c r="C176" s="1" t="s">
        <v>664</v>
      </c>
      <c r="D176" s="1" t="s">
        <v>665</v>
      </c>
      <c r="E176" s="2" t="s">
        <v>666</v>
      </c>
      <c r="F176" s="2" t="s">
        <v>667</v>
      </c>
      <c r="G176" s="2">
        <v>0</v>
      </c>
      <c r="H176" s="2" t="s">
        <v>96</v>
      </c>
      <c r="I176" s="1">
        <v>0</v>
      </c>
      <c r="J176" s="3" t="s">
        <v>18</v>
      </c>
      <c r="K176" s="2" t="str">
        <f>J176*340.00</f>
        <v>0</v>
      </c>
      <c r="L176" s="5"/>
    </row>
    <row r="177" spans="1:12" customHeight="1" ht="105" outlineLevel="5">
      <c r="A177" s="1"/>
      <c r="B177" s="1">
        <v>883988</v>
      </c>
      <c r="C177" s="1" t="s">
        <v>668</v>
      </c>
      <c r="D177" s="1" t="s">
        <v>669</v>
      </c>
      <c r="E177" s="2" t="s">
        <v>670</v>
      </c>
      <c r="F177" s="2" t="s">
        <v>671</v>
      </c>
      <c r="G177" s="2">
        <v>0</v>
      </c>
      <c r="H177" s="2" t="s">
        <v>82</v>
      </c>
      <c r="I177" s="1">
        <v>0</v>
      </c>
      <c r="J177" s="3" t="s">
        <v>18</v>
      </c>
      <c r="K177" s="2" t="str">
        <f>J177*498.00</f>
        <v>0</v>
      </c>
      <c r="L177" s="5"/>
    </row>
    <row r="178" spans="1:12" customHeight="1" ht="105" outlineLevel="5">
      <c r="A178" s="1"/>
      <c r="B178" s="1">
        <v>884153</v>
      </c>
      <c r="C178" s="1" t="s">
        <v>672</v>
      </c>
      <c r="D178" s="1" t="s">
        <v>673</v>
      </c>
      <c r="E178" s="2" t="s">
        <v>674</v>
      </c>
      <c r="F178" s="2" t="s">
        <v>675</v>
      </c>
      <c r="G178" s="2">
        <v>0</v>
      </c>
      <c r="H178" s="2">
        <v>0</v>
      </c>
      <c r="I178" s="1">
        <v>0</v>
      </c>
      <c r="J178" s="3" t="s">
        <v>18</v>
      </c>
      <c r="K178" s="2" t="str">
        <f>J178*386.00</f>
        <v>0</v>
      </c>
      <c r="L178" s="5"/>
    </row>
    <row r="179" spans="1:12" customHeight="1" ht="105" outlineLevel="5">
      <c r="A179" s="1"/>
      <c r="B179" s="1">
        <v>883989</v>
      </c>
      <c r="C179" s="1" t="s">
        <v>676</v>
      </c>
      <c r="D179" s="1" t="s">
        <v>677</v>
      </c>
      <c r="E179" s="2" t="s">
        <v>678</v>
      </c>
      <c r="F179" s="2" t="s">
        <v>679</v>
      </c>
      <c r="G179" s="2">
        <v>0</v>
      </c>
      <c r="H179" s="2" t="s">
        <v>96</v>
      </c>
      <c r="I179" s="1">
        <v>0</v>
      </c>
      <c r="J179" s="3" t="s">
        <v>18</v>
      </c>
      <c r="K179" s="2" t="str">
        <f>J179*596.00</f>
        <v>0</v>
      </c>
      <c r="L179" s="5"/>
    </row>
    <row r="180" spans="1:12" customHeight="1" ht="105" outlineLevel="5">
      <c r="A180" s="1"/>
      <c r="B180" s="1">
        <v>883990</v>
      </c>
      <c r="C180" s="1" t="s">
        <v>680</v>
      </c>
      <c r="D180" s="1" t="s">
        <v>681</v>
      </c>
      <c r="E180" s="2" t="s">
        <v>682</v>
      </c>
      <c r="F180" s="2" t="s">
        <v>683</v>
      </c>
      <c r="G180" s="2">
        <v>0</v>
      </c>
      <c r="H180" s="2" t="s">
        <v>82</v>
      </c>
      <c r="I180" s="1">
        <v>0</v>
      </c>
      <c r="J180" s="3" t="s">
        <v>18</v>
      </c>
      <c r="K180" s="2" t="str">
        <f>J180*344.00</f>
        <v>0</v>
      </c>
      <c r="L180" s="5"/>
    </row>
    <row r="181" spans="1:12" customHeight="1" ht="105" outlineLevel="5">
      <c r="A181" s="1"/>
      <c r="B181" s="1">
        <v>889639</v>
      </c>
      <c r="C181" s="1" t="s">
        <v>684</v>
      </c>
      <c r="D181" s="1" t="s">
        <v>685</v>
      </c>
      <c r="E181" s="2" t="s">
        <v>686</v>
      </c>
      <c r="F181" s="2" t="s">
        <v>687</v>
      </c>
      <c r="G181" s="2">
        <v>0</v>
      </c>
      <c r="H181" s="2" t="s">
        <v>82</v>
      </c>
      <c r="I181" s="1">
        <v>0</v>
      </c>
      <c r="J181" s="3" t="s">
        <v>18</v>
      </c>
      <c r="K181" s="2" t="str">
        <f>J181*865.00</f>
        <v>0</v>
      </c>
      <c r="L181" s="5"/>
    </row>
    <row r="182" spans="1:12" outlineLevel="2">
      <c r="A182" s="8" t="s">
        <v>688</v>
      </c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5"/>
    </row>
    <row r="183" spans="1:12" outlineLevel="3">
      <c r="A183" s="9" t="s">
        <v>689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5"/>
    </row>
    <row r="184" spans="1:12" customHeight="1" ht="105" outlineLevel="5">
      <c r="A184" s="1"/>
      <c r="B184" s="1">
        <v>819423</v>
      </c>
      <c r="C184" s="1" t="s">
        <v>690</v>
      </c>
      <c r="D184" s="1" t="s">
        <v>691</v>
      </c>
      <c r="E184" s="2" t="s">
        <v>692</v>
      </c>
      <c r="F184" s="2" t="s">
        <v>693</v>
      </c>
      <c r="G184" s="2" t="s">
        <v>48</v>
      </c>
      <c r="H184" s="2">
        <v>0</v>
      </c>
      <c r="I184" s="1">
        <v>0</v>
      </c>
      <c r="J184" s="3" t="s">
        <v>18</v>
      </c>
      <c r="K184" s="2" t="str">
        <f>J184*398.37</f>
        <v>0</v>
      </c>
      <c r="L184" s="5"/>
    </row>
    <row r="185" spans="1:12" customHeight="1" ht="105" outlineLevel="5">
      <c r="A185" s="1"/>
      <c r="B185" s="1">
        <v>837303</v>
      </c>
      <c r="C185" s="1" t="s">
        <v>694</v>
      </c>
      <c r="D185" s="1" t="s">
        <v>695</v>
      </c>
      <c r="E185" s="2" t="s">
        <v>696</v>
      </c>
      <c r="F185" s="2" t="s">
        <v>697</v>
      </c>
      <c r="G185" s="2">
        <v>6</v>
      </c>
      <c r="H185" s="2">
        <v>0</v>
      </c>
      <c r="I185" s="1">
        <v>0</v>
      </c>
      <c r="J185" s="3" t="s">
        <v>18</v>
      </c>
      <c r="K185" s="2" t="str">
        <f>J185*646.80</f>
        <v>0</v>
      </c>
      <c r="L185" s="5"/>
    </row>
    <row r="186" spans="1:12" customHeight="1" ht="105" outlineLevel="5">
      <c r="A186" s="1"/>
      <c r="B186" s="1">
        <v>839784</v>
      </c>
      <c r="C186" s="1" t="s">
        <v>698</v>
      </c>
      <c r="D186" s="1" t="s">
        <v>699</v>
      </c>
      <c r="E186" s="2" t="s">
        <v>700</v>
      </c>
      <c r="F186" s="2" t="s">
        <v>701</v>
      </c>
      <c r="G186" s="2">
        <v>3</v>
      </c>
      <c r="H186" s="2">
        <v>0</v>
      </c>
      <c r="I186" s="1">
        <v>0</v>
      </c>
      <c r="J186" s="3" t="s">
        <v>18</v>
      </c>
      <c r="K186" s="2" t="str">
        <f>J186*8212.89</f>
        <v>0</v>
      </c>
      <c r="L186" s="5"/>
    </row>
    <row r="187" spans="1:12" customHeight="1" ht="105" outlineLevel="5">
      <c r="A187" s="1"/>
      <c r="B187" s="1">
        <v>839785</v>
      </c>
      <c r="C187" s="1" t="s">
        <v>702</v>
      </c>
      <c r="D187" s="1" t="s">
        <v>703</v>
      </c>
      <c r="E187" s="2" t="s">
        <v>704</v>
      </c>
      <c r="F187" s="2" t="s">
        <v>705</v>
      </c>
      <c r="G187" s="2">
        <v>2</v>
      </c>
      <c r="H187" s="2">
        <v>0</v>
      </c>
      <c r="I187" s="1">
        <v>0</v>
      </c>
      <c r="J187" s="3" t="s">
        <v>18</v>
      </c>
      <c r="K187" s="2" t="str">
        <f>J187*11692.38</f>
        <v>0</v>
      </c>
      <c r="L187" s="5"/>
    </row>
    <row r="188" spans="1:12" customHeight="1" ht="105" outlineLevel="5">
      <c r="A188" s="1"/>
      <c r="B188" s="1">
        <v>839786</v>
      </c>
      <c r="C188" s="1" t="s">
        <v>706</v>
      </c>
      <c r="D188" s="1" t="s">
        <v>707</v>
      </c>
      <c r="E188" s="2" t="s">
        <v>708</v>
      </c>
      <c r="F188" s="2" t="s">
        <v>709</v>
      </c>
      <c r="G188" s="2">
        <v>2</v>
      </c>
      <c r="H188" s="2">
        <v>0</v>
      </c>
      <c r="I188" s="1">
        <v>0</v>
      </c>
      <c r="J188" s="3" t="s">
        <v>18</v>
      </c>
      <c r="K188" s="2" t="str">
        <f>J188*17199.00</f>
        <v>0</v>
      </c>
      <c r="L188" s="5"/>
    </row>
    <row r="189" spans="1:12" customHeight="1" ht="105" outlineLevel="5">
      <c r="A189" s="1"/>
      <c r="B189" s="1">
        <v>871395</v>
      </c>
      <c r="C189" s="1" t="s">
        <v>710</v>
      </c>
      <c r="D189" s="1" t="s">
        <v>711</v>
      </c>
      <c r="E189" s="2" t="s">
        <v>712</v>
      </c>
      <c r="F189" s="2" t="s">
        <v>713</v>
      </c>
      <c r="G189" s="2" t="s">
        <v>48</v>
      </c>
      <c r="H189" s="2">
        <v>0</v>
      </c>
      <c r="I189" s="1">
        <v>0</v>
      </c>
      <c r="J189" s="3" t="s">
        <v>18</v>
      </c>
      <c r="K189" s="2" t="str">
        <f>J189*673.26</f>
        <v>0</v>
      </c>
      <c r="L189" s="5"/>
    </row>
    <row r="190" spans="1:12" customHeight="1" ht="105" outlineLevel="5">
      <c r="A190" s="1"/>
      <c r="B190" s="1">
        <v>884588</v>
      </c>
      <c r="C190" s="1" t="s">
        <v>714</v>
      </c>
      <c r="D190" s="1" t="s">
        <v>715</v>
      </c>
      <c r="E190" s="2" t="s">
        <v>716</v>
      </c>
      <c r="F190" s="2" t="s">
        <v>717</v>
      </c>
      <c r="G190" s="2">
        <v>0</v>
      </c>
      <c r="H190" s="2">
        <v>0</v>
      </c>
      <c r="I190" s="1">
        <v>0</v>
      </c>
      <c r="J190" s="3" t="s">
        <v>18</v>
      </c>
      <c r="K190" s="2" t="str">
        <f>J190*951.09</f>
        <v>0</v>
      </c>
      <c r="L190" s="5"/>
    </row>
    <row r="191" spans="1:12" customHeight="1" ht="105" outlineLevel="5">
      <c r="A191" s="1"/>
      <c r="B191" s="1">
        <v>884589</v>
      </c>
      <c r="C191" s="1" t="s">
        <v>718</v>
      </c>
      <c r="D191" s="1" t="s">
        <v>719</v>
      </c>
      <c r="E191" s="2" t="s">
        <v>716</v>
      </c>
      <c r="F191" s="2" t="s">
        <v>720</v>
      </c>
      <c r="G191" s="2">
        <v>0</v>
      </c>
      <c r="H191" s="2">
        <v>0</v>
      </c>
      <c r="I191" s="1">
        <v>0</v>
      </c>
      <c r="J191" s="3" t="s">
        <v>18</v>
      </c>
      <c r="K191" s="2" t="str">
        <f>J191*914.34</f>
        <v>0</v>
      </c>
      <c r="L191" s="5"/>
    </row>
    <row r="192" spans="1:12" customHeight="1" ht="105" outlineLevel="5">
      <c r="A192" s="1"/>
      <c r="B192" s="1">
        <v>885046</v>
      </c>
      <c r="C192" s="1" t="s">
        <v>721</v>
      </c>
      <c r="D192" s="1" t="s">
        <v>722</v>
      </c>
      <c r="E192" s="2" t="s">
        <v>723</v>
      </c>
      <c r="F192" s="2" t="s">
        <v>724</v>
      </c>
      <c r="G192" s="2">
        <v>8</v>
      </c>
      <c r="H192" s="2">
        <v>0</v>
      </c>
      <c r="I192" s="1">
        <v>0</v>
      </c>
      <c r="J192" s="3" t="s">
        <v>18</v>
      </c>
      <c r="K192" s="2" t="str">
        <f>J192*251.37</f>
        <v>0</v>
      </c>
      <c r="L192" s="5"/>
    </row>
    <row r="193" spans="1:12" customHeight="1" ht="105" outlineLevel="5">
      <c r="A193" s="1"/>
      <c r="B193" s="1">
        <v>885109</v>
      </c>
      <c r="C193" s="1" t="s">
        <v>725</v>
      </c>
      <c r="D193" s="1" t="s">
        <v>726</v>
      </c>
      <c r="E193" s="2" t="s">
        <v>727</v>
      </c>
      <c r="F193" s="2" t="s">
        <v>728</v>
      </c>
      <c r="G193" s="2" t="s">
        <v>48</v>
      </c>
      <c r="H193" s="2">
        <v>0</v>
      </c>
      <c r="I193" s="1">
        <v>0</v>
      </c>
      <c r="J193" s="3" t="s">
        <v>18</v>
      </c>
      <c r="K193" s="2" t="str">
        <f>J193*418.95</f>
        <v>0</v>
      </c>
      <c r="L193" s="5"/>
    </row>
    <row r="194" spans="1:12" customHeight="1" ht="105" outlineLevel="5">
      <c r="A194" s="1"/>
      <c r="B194" s="1">
        <v>885110</v>
      </c>
      <c r="C194" s="1" t="s">
        <v>729</v>
      </c>
      <c r="D194" s="1" t="s">
        <v>730</v>
      </c>
      <c r="E194" s="2" t="s">
        <v>731</v>
      </c>
      <c r="F194" s="2" t="s">
        <v>732</v>
      </c>
      <c r="G194" s="2">
        <v>0</v>
      </c>
      <c r="H194" s="2">
        <v>0</v>
      </c>
      <c r="I194" s="1">
        <v>0</v>
      </c>
      <c r="J194" s="3" t="s">
        <v>18</v>
      </c>
      <c r="K194" s="2" t="str">
        <f>J194*441.00</f>
        <v>0</v>
      </c>
      <c r="L194" s="5"/>
    </row>
    <row r="195" spans="1:12" customHeight="1" ht="105" outlineLevel="5">
      <c r="A195" s="1"/>
      <c r="B195" s="1">
        <v>955701</v>
      </c>
      <c r="C195" s="1" t="s">
        <v>733</v>
      </c>
      <c r="D195" s="1" t="s">
        <v>734</v>
      </c>
      <c r="E195" s="2" t="s">
        <v>735</v>
      </c>
      <c r="F195" s="2" t="s">
        <v>736</v>
      </c>
      <c r="G195" s="2">
        <v>0</v>
      </c>
      <c r="H195" s="2">
        <v>0</v>
      </c>
      <c r="I195" s="1">
        <v>0</v>
      </c>
      <c r="J195" s="3" t="s">
        <v>18</v>
      </c>
      <c r="K195" s="2" t="str">
        <f>J195*492.45</f>
        <v>0</v>
      </c>
      <c r="L195" s="5"/>
    </row>
    <row r="196" spans="1:12" customHeight="1" ht="105" outlineLevel="5">
      <c r="A196" s="1"/>
      <c r="B196" s="1">
        <v>955702</v>
      </c>
      <c r="C196" s="1" t="s">
        <v>737</v>
      </c>
      <c r="D196" s="1" t="s">
        <v>738</v>
      </c>
      <c r="E196" s="2" t="s">
        <v>739</v>
      </c>
      <c r="F196" s="2" t="s">
        <v>740</v>
      </c>
      <c r="G196" s="2">
        <v>0</v>
      </c>
      <c r="H196" s="2">
        <v>0</v>
      </c>
      <c r="I196" s="1">
        <v>0</v>
      </c>
      <c r="J196" s="3" t="s">
        <v>18</v>
      </c>
      <c r="K196" s="2" t="str">
        <f>J196*695.31</f>
        <v>0</v>
      </c>
      <c r="L196" s="5"/>
    </row>
    <row r="197" spans="1:12" outlineLevel="5">
      <c r="A197" s="1"/>
      <c r="B197" s="1">
        <v>955817</v>
      </c>
      <c r="C197" s="1" t="s">
        <v>741</v>
      </c>
      <c r="D197" s="1" t="s">
        <v>742</v>
      </c>
      <c r="E197" s="2" t="s">
        <v>743</v>
      </c>
      <c r="F197" s="2" t="s">
        <v>744</v>
      </c>
      <c r="G197" s="2" t="s">
        <v>48</v>
      </c>
      <c r="H197" s="2">
        <v>0</v>
      </c>
      <c r="I197" s="1">
        <v>0</v>
      </c>
      <c r="J197" s="3" t="s">
        <v>18</v>
      </c>
      <c r="K197" s="2" t="str">
        <f>J197*448.35</f>
        <v>0</v>
      </c>
      <c r="L197" s="5"/>
    </row>
    <row r="198" spans="1:12" outlineLevel="5">
      <c r="A198" s="1"/>
      <c r="B198" s="1">
        <v>955818</v>
      </c>
      <c r="C198" s="1" t="s">
        <v>745</v>
      </c>
      <c r="D198" s="1" t="s">
        <v>746</v>
      </c>
      <c r="E198" s="2" t="s">
        <v>747</v>
      </c>
      <c r="F198" s="2" t="s">
        <v>748</v>
      </c>
      <c r="G198" s="2" t="s">
        <v>48</v>
      </c>
      <c r="H198" s="2">
        <v>0</v>
      </c>
      <c r="I198" s="1">
        <v>0</v>
      </c>
      <c r="J198" s="3" t="s">
        <v>18</v>
      </c>
      <c r="K198" s="2" t="str">
        <f>J198*554.19</f>
        <v>0</v>
      </c>
      <c r="L198" s="5"/>
    </row>
    <row r="199" spans="1:12" outlineLevel="5">
      <c r="A199" s="1"/>
      <c r="B199" s="1">
        <v>955819</v>
      </c>
      <c r="C199" s="1" t="s">
        <v>749</v>
      </c>
      <c r="D199" s="1" t="s">
        <v>750</v>
      </c>
      <c r="E199" s="2" t="s">
        <v>751</v>
      </c>
      <c r="F199" s="2" t="s">
        <v>752</v>
      </c>
      <c r="G199" s="2" t="s">
        <v>48</v>
      </c>
      <c r="H199" s="2">
        <v>0</v>
      </c>
      <c r="I199" s="1">
        <v>0</v>
      </c>
      <c r="J199" s="3" t="s">
        <v>18</v>
      </c>
      <c r="K199" s="2" t="str">
        <f>J199*843.78</f>
        <v>0</v>
      </c>
      <c r="L199" s="5"/>
    </row>
    <row r="200" spans="1:12" outlineLevel="5">
      <c r="A200" s="1"/>
      <c r="B200" s="1">
        <v>955820</v>
      </c>
      <c r="C200" s="1" t="s">
        <v>753</v>
      </c>
      <c r="D200" s="1" t="s">
        <v>754</v>
      </c>
      <c r="E200" s="2" t="s">
        <v>755</v>
      </c>
      <c r="F200" s="2" t="s">
        <v>756</v>
      </c>
      <c r="G200" s="2" t="s">
        <v>48</v>
      </c>
      <c r="H200" s="2">
        <v>0</v>
      </c>
      <c r="I200" s="1">
        <v>0</v>
      </c>
      <c r="J200" s="3" t="s">
        <v>18</v>
      </c>
      <c r="K200" s="2" t="str">
        <f>J200*1330.35</f>
        <v>0</v>
      </c>
      <c r="L200" s="5"/>
    </row>
    <row r="201" spans="1:12" customHeight="1" ht="105" outlineLevel="5">
      <c r="A201" s="1"/>
      <c r="B201" s="1">
        <v>810992</v>
      </c>
      <c r="C201" s="1" t="s">
        <v>757</v>
      </c>
      <c r="D201" s="1" t="s">
        <v>758</v>
      </c>
      <c r="E201" s="2" t="s">
        <v>759</v>
      </c>
      <c r="F201" s="2" t="s">
        <v>760</v>
      </c>
      <c r="G201" s="2" t="s">
        <v>87</v>
      </c>
      <c r="H201" s="2">
        <v>0</v>
      </c>
      <c r="I201" s="1">
        <v>0</v>
      </c>
      <c r="J201" s="3" t="s">
        <v>18</v>
      </c>
      <c r="K201" s="2" t="str">
        <f>J201*433.65</f>
        <v>0</v>
      </c>
      <c r="L201" s="5"/>
    </row>
    <row r="202" spans="1:12" customHeight="1" ht="105" outlineLevel="5">
      <c r="A202" s="1"/>
      <c r="B202" s="1">
        <v>810993</v>
      </c>
      <c r="C202" s="1" t="s">
        <v>761</v>
      </c>
      <c r="D202" s="1" t="s">
        <v>762</v>
      </c>
      <c r="E202" s="2" t="s">
        <v>763</v>
      </c>
      <c r="F202" s="2" t="s">
        <v>764</v>
      </c>
      <c r="G202" s="2" t="s">
        <v>48</v>
      </c>
      <c r="H202" s="2">
        <v>0</v>
      </c>
      <c r="I202" s="1">
        <v>0</v>
      </c>
      <c r="J202" s="3" t="s">
        <v>18</v>
      </c>
      <c r="K202" s="2" t="str">
        <f>J202*633.57</f>
        <v>0</v>
      </c>
      <c r="L202" s="5"/>
    </row>
    <row r="203" spans="1:12" customHeight="1" ht="105" outlineLevel="5">
      <c r="A203" s="1"/>
      <c r="B203" s="1">
        <v>810994</v>
      </c>
      <c r="C203" s="1" t="s">
        <v>765</v>
      </c>
      <c r="D203" s="1" t="s">
        <v>766</v>
      </c>
      <c r="E203" s="2" t="s">
        <v>767</v>
      </c>
      <c r="F203" s="2" t="s">
        <v>768</v>
      </c>
      <c r="G203" s="2" t="s">
        <v>23</v>
      </c>
      <c r="H203" s="2">
        <v>0</v>
      </c>
      <c r="I203" s="1">
        <v>0</v>
      </c>
      <c r="J203" s="3" t="s">
        <v>18</v>
      </c>
      <c r="K203" s="2" t="str">
        <f>J203*995.19</f>
        <v>0</v>
      </c>
      <c r="L203" s="5"/>
    </row>
    <row r="204" spans="1:12" customHeight="1" ht="105" outlineLevel="5">
      <c r="A204" s="1"/>
      <c r="B204" s="1">
        <v>810995</v>
      </c>
      <c r="C204" s="1" t="s">
        <v>769</v>
      </c>
      <c r="D204" s="1" t="s">
        <v>770</v>
      </c>
      <c r="E204" s="2" t="s">
        <v>771</v>
      </c>
      <c r="F204" s="2" t="s">
        <v>772</v>
      </c>
      <c r="G204" s="2" t="s">
        <v>48</v>
      </c>
      <c r="H204" s="2">
        <v>0</v>
      </c>
      <c r="I204" s="1">
        <v>0</v>
      </c>
      <c r="J204" s="3" t="s">
        <v>18</v>
      </c>
      <c r="K204" s="2" t="str">
        <f>J204*1597.89</f>
        <v>0</v>
      </c>
      <c r="L204" s="5"/>
    </row>
    <row r="205" spans="1:12" customHeight="1" ht="105" outlineLevel="5">
      <c r="A205" s="1"/>
      <c r="B205" s="1">
        <v>810996</v>
      </c>
      <c r="C205" s="1" t="s">
        <v>773</v>
      </c>
      <c r="D205" s="1" t="s">
        <v>774</v>
      </c>
      <c r="E205" s="2" t="s">
        <v>775</v>
      </c>
      <c r="F205" s="2" t="s">
        <v>776</v>
      </c>
      <c r="G205" s="2">
        <v>7</v>
      </c>
      <c r="H205" s="2">
        <v>0</v>
      </c>
      <c r="I205" s="1">
        <v>0</v>
      </c>
      <c r="J205" s="3" t="s">
        <v>18</v>
      </c>
      <c r="K205" s="2" t="str">
        <f>J205*2569.56</f>
        <v>0</v>
      </c>
      <c r="L205" s="5"/>
    </row>
    <row r="206" spans="1:12" customHeight="1" ht="105" outlineLevel="5">
      <c r="A206" s="1"/>
      <c r="B206" s="1">
        <v>810997</v>
      </c>
      <c r="C206" s="1" t="s">
        <v>777</v>
      </c>
      <c r="D206" s="1" t="s">
        <v>778</v>
      </c>
      <c r="E206" s="2" t="s">
        <v>779</v>
      </c>
      <c r="F206" s="2" t="s">
        <v>780</v>
      </c>
      <c r="G206" s="2">
        <v>0</v>
      </c>
      <c r="H206" s="2">
        <v>0</v>
      </c>
      <c r="I206" s="1">
        <v>0</v>
      </c>
      <c r="J206" s="3" t="s">
        <v>18</v>
      </c>
      <c r="K206" s="2" t="str">
        <f>J206*3974.88</f>
        <v>0</v>
      </c>
      <c r="L206" s="5"/>
    </row>
    <row r="207" spans="1:12" customHeight="1" ht="105" outlineLevel="5">
      <c r="A207" s="1"/>
      <c r="B207" s="1">
        <v>810998</v>
      </c>
      <c r="C207" s="1" t="s">
        <v>781</v>
      </c>
      <c r="D207" s="1" t="s">
        <v>782</v>
      </c>
      <c r="E207" s="2" t="s">
        <v>783</v>
      </c>
      <c r="F207" s="2" t="s">
        <v>784</v>
      </c>
      <c r="G207" s="2" t="s">
        <v>87</v>
      </c>
      <c r="H207" s="2">
        <v>0</v>
      </c>
      <c r="I207" s="1">
        <v>0</v>
      </c>
      <c r="J207" s="3" t="s">
        <v>18</v>
      </c>
      <c r="K207" s="2" t="str">
        <f>J207*457.17</f>
        <v>0</v>
      </c>
      <c r="L207" s="5"/>
    </row>
    <row r="208" spans="1:12" customHeight="1" ht="105" outlineLevel="5">
      <c r="A208" s="1"/>
      <c r="B208" s="1">
        <v>810999</v>
      </c>
      <c r="C208" s="1" t="s">
        <v>785</v>
      </c>
      <c r="D208" s="1" t="s">
        <v>786</v>
      </c>
      <c r="E208" s="2" t="s">
        <v>787</v>
      </c>
      <c r="F208" s="2" t="s">
        <v>788</v>
      </c>
      <c r="G208" s="2" t="s">
        <v>48</v>
      </c>
      <c r="H208" s="2">
        <v>0</v>
      </c>
      <c r="I208" s="1">
        <v>0</v>
      </c>
      <c r="J208" s="3" t="s">
        <v>18</v>
      </c>
      <c r="K208" s="2" t="str">
        <f>J208*667.38</f>
        <v>0</v>
      </c>
      <c r="L208" s="5"/>
    </row>
    <row r="209" spans="1:12" customHeight="1" ht="105" outlineLevel="5">
      <c r="A209" s="1"/>
      <c r="B209" s="1">
        <v>811000</v>
      </c>
      <c r="C209" s="1" t="s">
        <v>789</v>
      </c>
      <c r="D209" s="1" t="s">
        <v>790</v>
      </c>
      <c r="E209" s="2" t="s">
        <v>791</v>
      </c>
      <c r="F209" s="2" t="s">
        <v>792</v>
      </c>
      <c r="G209" s="2">
        <v>0</v>
      </c>
      <c r="H209" s="2">
        <v>0</v>
      </c>
      <c r="I209" s="1">
        <v>0</v>
      </c>
      <c r="J209" s="3" t="s">
        <v>18</v>
      </c>
      <c r="K209" s="2" t="str">
        <f>J209*1065.75</f>
        <v>0</v>
      </c>
      <c r="L209" s="5"/>
    </row>
    <row r="210" spans="1:12" customHeight="1" ht="105" outlineLevel="5">
      <c r="A210" s="1"/>
      <c r="B210" s="1">
        <v>811001</v>
      </c>
      <c r="C210" s="1" t="s">
        <v>793</v>
      </c>
      <c r="D210" s="1" t="s">
        <v>794</v>
      </c>
      <c r="E210" s="2" t="s">
        <v>795</v>
      </c>
      <c r="F210" s="2" t="s">
        <v>796</v>
      </c>
      <c r="G210" s="2">
        <v>2</v>
      </c>
      <c r="H210" s="2">
        <v>0</v>
      </c>
      <c r="I210" s="1">
        <v>0</v>
      </c>
      <c r="J210" s="3" t="s">
        <v>18</v>
      </c>
      <c r="K210" s="2" t="str">
        <f>J210*1671.39</f>
        <v>0</v>
      </c>
      <c r="L210" s="5"/>
    </row>
    <row r="211" spans="1:12" customHeight="1" ht="105" outlineLevel="5">
      <c r="A211" s="1"/>
      <c r="B211" s="1">
        <v>811002</v>
      </c>
      <c r="C211" s="1" t="s">
        <v>797</v>
      </c>
      <c r="D211" s="1" t="s">
        <v>798</v>
      </c>
      <c r="E211" s="2" t="s">
        <v>799</v>
      </c>
      <c r="F211" s="2" t="s">
        <v>800</v>
      </c>
      <c r="G211" s="2">
        <v>5</v>
      </c>
      <c r="H211" s="2">
        <v>0</v>
      </c>
      <c r="I211" s="1">
        <v>0</v>
      </c>
      <c r="J211" s="3" t="s">
        <v>18</v>
      </c>
      <c r="K211" s="2" t="str">
        <f>J211*2701.86</f>
        <v>0</v>
      </c>
      <c r="L211" s="5"/>
    </row>
    <row r="212" spans="1:12" customHeight="1" ht="105" outlineLevel="5">
      <c r="A212" s="1"/>
      <c r="B212" s="1">
        <v>811003</v>
      </c>
      <c r="C212" s="1" t="s">
        <v>801</v>
      </c>
      <c r="D212" s="1" t="s">
        <v>802</v>
      </c>
      <c r="E212" s="2" t="s">
        <v>803</v>
      </c>
      <c r="F212" s="2" t="s">
        <v>804</v>
      </c>
      <c r="G212" s="2">
        <v>2</v>
      </c>
      <c r="H212" s="2">
        <v>0</v>
      </c>
      <c r="I212" s="1">
        <v>0</v>
      </c>
      <c r="J212" s="3" t="s">
        <v>18</v>
      </c>
      <c r="K212" s="2" t="str">
        <f>J212*4139.52</f>
        <v>0</v>
      </c>
      <c r="L212" s="5"/>
    </row>
    <row r="213" spans="1:12" customHeight="1" ht="105" outlineLevel="5">
      <c r="A213" s="1"/>
      <c r="B213" s="1">
        <v>811004</v>
      </c>
      <c r="C213" s="1" t="s">
        <v>805</v>
      </c>
      <c r="D213" s="1" t="s">
        <v>806</v>
      </c>
      <c r="E213" s="2" t="s">
        <v>807</v>
      </c>
      <c r="F213" s="2" t="s">
        <v>808</v>
      </c>
      <c r="G213" s="2" t="s">
        <v>17</v>
      </c>
      <c r="H213" s="2">
        <v>0</v>
      </c>
      <c r="I213" s="1">
        <v>0</v>
      </c>
      <c r="J213" s="3" t="s">
        <v>18</v>
      </c>
      <c r="K213" s="2" t="str">
        <f>J213*410.13</f>
        <v>0</v>
      </c>
      <c r="L213" s="5"/>
    </row>
    <row r="214" spans="1:12" customHeight="1" ht="105" outlineLevel="5">
      <c r="A214" s="1"/>
      <c r="B214" s="1">
        <v>811005</v>
      </c>
      <c r="C214" s="1" t="s">
        <v>809</v>
      </c>
      <c r="D214" s="1" t="s">
        <v>810</v>
      </c>
      <c r="E214" s="2" t="s">
        <v>811</v>
      </c>
      <c r="F214" s="2" t="s">
        <v>812</v>
      </c>
      <c r="G214" s="2" t="s">
        <v>87</v>
      </c>
      <c r="H214" s="2">
        <v>0</v>
      </c>
      <c r="I214" s="1">
        <v>0</v>
      </c>
      <c r="J214" s="3" t="s">
        <v>18</v>
      </c>
      <c r="K214" s="2" t="str">
        <f>J214*627.69</f>
        <v>0</v>
      </c>
      <c r="L214" s="5"/>
    </row>
    <row r="215" spans="1:12" customHeight="1" ht="105" outlineLevel="5">
      <c r="A215" s="1"/>
      <c r="B215" s="1">
        <v>811006</v>
      </c>
      <c r="C215" s="1" t="s">
        <v>813</v>
      </c>
      <c r="D215" s="1" t="s">
        <v>814</v>
      </c>
      <c r="E215" s="2" t="s">
        <v>815</v>
      </c>
      <c r="F215" s="2" t="s">
        <v>816</v>
      </c>
      <c r="G215" s="2" t="s">
        <v>48</v>
      </c>
      <c r="H215" s="2">
        <v>0</v>
      </c>
      <c r="I215" s="1">
        <v>0</v>
      </c>
      <c r="J215" s="3" t="s">
        <v>18</v>
      </c>
      <c r="K215" s="2" t="str">
        <f>J215*973.14</f>
        <v>0</v>
      </c>
      <c r="L215" s="5"/>
    </row>
    <row r="216" spans="1:12" customHeight="1" ht="105" outlineLevel="5">
      <c r="A216" s="1"/>
      <c r="B216" s="1">
        <v>811007</v>
      </c>
      <c r="C216" s="1" t="s">
        <v>817</v>
      </c>
      <c r="D216" s="1" t="s">
        <v>818</v>
      </c>
      <c r="E216" s="2" t="s">
        <v>819</v>
      </c>
      <c r="F216" s="2" t="s">
        <v>744</v>
      </c>
      <c r="G216" s="2">
        <v>9</v>
      </c>
      <c r="H216" s="2">
        <v>0</v>
      </c>
      <c r="I216" s="1">
        <v>0</v>
      </c>
      <c r="J216" s="3" t="s">
        <v>18</v>
      </c>
      <c r="K216" s="2" t="str">
        <f>J216*448.35</f>
        <v>0</v>
      </c>
      <c r="L216" s="5"/>
    </row>
    <row r="217" spans="1:12" customHeight="1" ht="105" outlineLevel="5">
      <c r="A217" s="1"/>
      <c r="B217" s="1">
        <v>811008</v>
      </c>
      <c r="C217" s="1" t="s">
        <v>820</v>
      </c>
      <c r="D217" s="1" t="s">
        <v>821</v>
      </c>
      <c r="E217" s="2" t="s">
        <v>822</v>
      </c>
      <c r="F217" s="2" t="s">
        <v>823</v>
      </c>
      <c r="G217" s="2" t="s">
        <v>17</v>
      </c>
      <c r="H217" s="2">
        <v>0</v>
      </c>
      <c r="I217" s="1">
        <v>0</v>
      </c>
      <c r="J217" s="3" t="s">
        <v>18</v>
      </c>
      <c r="K217" s="2" t="str">
        <f>J217*677.67</f>
        <v>0</v>
      </c>
      <c r="L217" s="5"/>
    </row>
    <row r="218" spans="1:12" customHeight="1" ht="105" outlineLevel="5">
      <c r="A218" s="1"/>
      <c r="B218" s="1">
        <v>811009</v>
      </c>
      <c r="C218" s="1" t="s">
        <v>824</v>
      </c>
      <c r="D218" s="1" t="s">
        <v>825</v>
      </c>
      <c r="E218" s="2" t="s">
        <v>826</v>
      </c>
      <c r="F218" s="2" t="s">
        <v>827</v>
      </c>
      <c r="G218" s="2" t="s">
        <v>87</v>
      </c>
      <c r="H218" s="2">
        <v>0</v>
      </c>
      <c r="I218" s="1">
        <v>0</v>
      </c>
      <c r="J218" s="3" t="s">
        <v>18</v>
      </c>
      <c r="K218" s="2" t="str">
        <f>J218*1061.34</f>
        <v>0</v>
      </c>
      <c r="L218" s="5"/>
    </row>
    <row r="219" spans="1:12" customHeight="1" ht="105" outlineLevel="5">
      <c r="A219" s="1"/>
      <c r="B219" s="1">
        <v>811010</v>
      </c>
      <c r="C219" s="1" t="s">
        <v>828</v>
      </c>
      <c r="D219" s="1" t="s">
        <v>829</v>
      </c>
      <c r="E219" s="2" t="s">
        <v>830</v>
      </c>
      <c r="F219" s="2" t="s">
        <v>784</v>
      </c>
      <c r="G219" s="2" t="s">
        <v>48</v>
      </c>
      <c r="H219" s="2">
        <v>0</v>
      </c>
      <c r="I219" s="1">
        <v>0</v>
      </c>
      <c r="J219" s="3" t="s">
        <v>18</v>
      </c>
      <c r="K219" s="2" t="str">
        <f>J219*457.17</f>
        <v>0</v>
      </c>
      <c r="L219" s="5"/>
    </row>
    <row r="220" spans="1:12" customHeight="1" ht="105" outlineLevel="5">
      <c r="A220" s="1"/>
      <c r="B220" s="1">
        <v>811011</v>
      </c>
      <c r="C220" s="1" t="s">
        <v>831</v>
      </c>
      <c r="D220" s="1" t="s">
        <v>832</v>
      </c>
      <c r="E220" s="2" t="s">
        <v>833</v>
      </c>
      <c r="F220" s="2" t="s">
        <v>834</v>
      </c>
      <c r="G220" s="2">
        <v>0</v>
      </c>
      <c r="H220" s="2">
        <v>0</v>
      </c>
      <c r="I220" s="1">
        <v>0</v>
      </c>
      <c r="J220" s="3" t="s">
        <v>18</v>
      </c>
      <c r="K220" s="2" t="str">
        <f>J220*664.44</f>
        <v>0</v>
      </c>
      <c r="L220" s="5"/>
    </row>
    <row r="221" spans="1:12" customHeight="1" ht="105" outlineLevel="5">
      <c r="A221" s="1"/>
      <c r="B221" s="1">
        <v>811012</v>
      </c>
      <c r="C221" s="1" t="s">
        <v>835</v>
      </c>
      <c r="D221" s="1" t="s">
        <v>836</v>
      </c>
      <c r="E221" s="2" t="s">
        <v>837</v>
      </c>
      <c r="F221" s="2" t="s">
        <v>838</v>
      </c>
      <c r="G221" s="2" t="s">
        <v>23</v>
      </c>
      <c r="H221" s="2">
        <v>0</v>
      </c>
      <c r="I221" s="1">
        <v>0</v>
      </c>
      <c r="J221" s="3" t="s">
        <v>18</v>
      </c>
      <c r="K221" s="2" t="str">
        <f>J221*580.65</f>
        <v>0</v>
      </c>
      <c r="L221" s="5"/>
    </row>
    <row r="222" spans="1:12" customHeight="1" ht="105" outlineLevel="5">
      <c r="A222" s="1"/>
      <c r="B222" s="1">
        <v>811013</v>
      </c>
      <c r="C222" s="1" t="s">
        <v>839</v>
      </c>
      <c r="D222" s="1" t="s">
        <v>840</v>
      </c>
      <c r="E222" s="2" t="s">
        <v>841</v>
      </c>
      <c r="F222" s="2" t="s">
        <v>842</v>
      </c>
      <c r="G222" s="2">
        <v>0</v>
      </c>
      <c r="H222" s="2">
        <v>0</v>
      </c>
      <c r="I222" s="1">
        <v>0</v>
      </c>
      <c r="J222" s="3" t="s">
        <v>18</v>
      </c>
      <c r="K222" s="2" t="str">
        <f>J222*871.71</f>
        <v>0</v>
      </c>
      <c r="L222" s="5"/>
    </row>
    <row r="223" spans="1:12" customHeight="1" ht="105" outlineLevel="5">
      <c r="A223" s="1"/>
      <c r="B223" s="1">
        <v>811014</v>
      </c>
      <c r="C223" s="1" t="s">
        <v>843</v>
      </c>
      <c r="D223" s="1" t="s">
        <v>844</v>
      </c>
      <c r="E223" s="2" t="s">
        <v>845</v>
      </c>
      <c r="F223" s="2" t="s">
        <v>846</v>
      </c>
      <c r="G223" s="2" t="s">
        <v>48</v>
      </c>
      <c r="H223" s="2">
        <v>0</v>
      </c>
      <c r="I223" s="1">
        <v>0</v>
      </c>
      <c r="J223" s="3" t="s">
        <v>18</v>
      </c>
      <c r="K223" s="2" t="str">
        <f>J223*1364.16</f>
        <v>0</v>
      </c>
      <c r="L223" s="5"/>
    </row>
    <row r="224" spans="1:12" customHeight="1" ht="105" outlineLevel="5">
      <c r="A224" s="1"/>
      <c r="B224" s="1">
        <v>811015</v>
      </c>
      <c r="C224" s="1" t="s">
        <v>847</v>
      </c>
      <c r="D224" s="1" t="s">
        <v>848</v>
      </c>
      <c r="E224" s="2" t="s">
        <v>849</v>
      </c>
      <c r="F224" s="2" t="s">
        <v>850</v>
      </c>
      <c r="G224" s="2" t="s">
        <v>23</v>
      </c>
      <c r="H224" s="2">
        <v>0</v>
      </c>
      <c r="I224" s="1">
        <v>0</v>
      </c>
      <c r="J224" s="3" t="s">
        <v>18</v>
      </c>
      <c r="K224" s="2" t="str">
        <f>J224*2252.04</f>
        <v>0</v>
      </c>
      <c r="L224" s="5"/>
    </row>
    <row r="225" spans="1:12" customHeight="1" ht="105" outlineLevel="5">
      <c r="A225" s="1"/>
      <c r="B225" s="1">
        <v>811016</v>
      </c>
      <c r="C225" s="1" t="s">
        <v>851</v>
      </c>
      <c r="D225" s="1" t="s">
        <v>852</v>
      </c>
      <c r="E225" s="2" t="s">
        <v>853</v>
      </c>
      <c r="F225" s="2" t="s">
        <v>854</v>
      </c>
      <c r="G225" s="2" t="s">
        <v>48</v>
      </c>
      <c r="H225" s="2">
        <v>0</v>
      </c>
      <c r="I225" s="1">
        <v>0</v>
      </c>
      <c r="J225" s="3" t="s">
        <v>18</v>
      </c>
      <c r="K225" s="2" t="str">
        <f>J225*592.41</f>
        <v>0</v>
      </c>
      <c r="L225" s="5"/>
    </row>
    <row r="226" spans="1:12" customHeight="1" ht="105" outlineLevel="5">
      <c r="A226" s="1"/>
      <c r="B226" s="1">
        <v>811017</v>
      </c>
      <c r="C226" s="1" t="s">
        <v>855</v>
      </c>
      <c r="D226" s="1" t="s">
        <v>856</v>
      </c>
      <c r="E226" s="2" t="s">
        <v>857</v>
      </c>
      <c r="F226" s="2" t="s">
        <v>720</v>
      </c>
      <c r="G226" s="2">
        <v>0</v>
      </c>
      <c r="H226" s="2">
        <v>0</v>
      </c>
      <c r="I226" s="1">
        <v>0</v>
      </c>
      <c r="J226" s="3" t="s">
        <v>18</v>
      </c>
      <c r="K226" s="2" t="str">
        <f>J226*914.34</f>
        <v>0</v>
      </c>
      <c r="L226" s="5"/>
    </row>
    <row r="227" spans="1:12" customHeight="1" ht="105" outlineLevel="5">
      <c r="A227" s="1"/>
      <c r="B227" s="1">
        <v>828532</v>
      </c>
      <c r="C227" s="1" t="s">
        <v>858</v>
      </c>
      <c r="D227" s="1" t="s">
        <v>859</v>
      </c>
      <c r="E227" s="2" t="s">
        <v>860</v>
      </c>
      <c r="F227" s="2" t="s">
        <v>861</v>
      </c>
      <c r="G227" s="2">
        <v>0</v>
      </c>
      <c r="H227" s="2">
        <v>0</v>
      </c>
      <c r="I227" s="1">
        <v>0</v>
      </c>
      <c r="J227" s="3" t="s">
        <v>18</v>
      </c>
      <c r="K227" s="2" t="str">
        <f>J227*1484.70</f>
        <v>0</v>
      </c>
      <c r="L227" s="5"/>
    </row>
    <row r="228" spans="1:12" customHeight="1" ht="105" outlineLevel="5">
      <c r="A228" s="1"/>
      <c r="B228" s="1">
        <v>823083</v>
      </c>
      <c r="C228" s="1" t="s">
        <v>862</v>
      </c>
      <c r="D228" s="1" t="s">
        <v>863</v>
      </c>
      <c r="E228" s="2" t="s">
        <v>864</v>
      </c>
      <c r="F228" s="2" t="s">
        <v>865</v>
      </c>
      <c r="G228" s="2" t="s">
        <v>23</v>
      </c>
      <c r="H228" s="2">
        <v>0</v>
      </c>
      <c r="I228" s="1">
        <v>0</v>
      </c>
      <c r="J228" s="3" t="s">
        <v>18</v>
      </c>
      <c r="K228" s="2" t="str">
        <f>J228*617.40</f>
        <v>0</v>
      </c>
      <c r="L228" s="5"/>
    </row>
    <row r="229" spans="1:12" customHeight="1" ht="105" outlineLevel="5">
      <c r="A229" s="1"/>
      <c r="B229" s="1">
        <v>823116</v>
      </c>
      <c r="C229" s="1" t="s">
        <v>866</v>
      </c>
      <c r="D229" s="1" t="s">
        <v>867</v>
      </c>
      <c r="E229" s="2" t="s">
        <v>868</v>
      </c>
      <c r="F229" s="2" t="s">
        <v>869</v>
      </c>
      <c r="G229" s="2" t="s">
        <v>87</v>
      </c>
      <c r="H229" s="2">
        <v>0</v>
      </c>
      <c r="I229" s="1">
        <v>0</v>
      </c>
      <c r="J229" s="3" t="s">
        <v>18</v>
      </c>
      <c r="K229" s="2" t="str">
        <f>J229*912.87</f>
        <v>0</v>
      </c>
      <c r="L229" s="5"/>
    </row>
    <row r="230" spans="1:12" customHeight="1" ht="105" outlineLevel="5">
      <c r="A230" s="1"/>
      <c r="B230" s="1">
        <v>823089</v>
      </c>
      <c r="C230" s="1" t="s">
        <v>870</v>
      </c>
      <c r="D230" s="1" t="s">
        <v>871</v>
      </c>
      <c r="E230" s="2" t="s">
        <v>872</v>
      </c>
      <c r="F230" s="2" t="s">
        <v>873</v>
      </c>
      <c r="G230" s="2" t="s">
        <v>48</v>
      </c>
      <c r="H230" s="2">
        <v>0</v>
      </c>
      <c r="I230" s="1">
        <v>0</v>
      </c>
      <c r="J230" s="3" t="s">
        <v>18</v>
      </c>
      <c r="K230" s="2" t="str">
        <f>J230*1427.37</f>
        <v>0</v>
      </c>
      <c r="L230" s="5"/>
    </row>
    <row r="231" spans="1:12" customHeight="1" ht="105" outlineLevel="5">
      <c r="A231" s="1"/>
      <c r="B231" s="1">
        <v>823084</v>
      </c>
      <c r="C231" s="1" t="s">
        <v>874</v>
      </c>
      <c r="D231" s="1" t="s">
        <v>875</v>
      </c>
      <c r="E231" s="2" t="s">
        <v>876</v>
      </c>
      <c r="F231" s="2" t="s">
        <v>838</v>
      </c>
      <c r="G231" s="2" t="s">
        <v>87</v>
      </c>
      <c r="H231" s="2">
        <v>0</v>
      </c>
      <c r="I231" s="1">
        <v>0</v>
      </c>
      <c r="J231" s="3" t="s">
        <v>18</v>
      </c>
      <c r="K231" s="2" t="str">
        <f>J231*580.65</f>
        <v>0</v>
      </c>
      <c r="L231" s="5"/>
    </row>
    <row r="232" spans="1:12" customHeight="1" ht="105" outlineLevel="5">
      <c r="A232" s="1"/>
      <c r="B232" s="1">
        <v>823090</v>
      </c>
      <c r="C232" s="1" t="s">
        <v>877</v>
      </c>
      <c r="D232" s="1" t="s">
        <v>878</v>
      </c>
      <c r="E232" s="2" t="s">
        <v>879</v>
      </c>
      <c r="F232" s="2" t="s">
        <v>842</v>
      </c>
      <c r="G232" s="2" t="s">
        <v>17</v>
      </c>
      <c r="H232" s="2">
        <v>0</v>
      </c>
      <c r="I232" s="1">
        <v>0</v>
      </c>
      <c r="J232" s="3" t="s">
        <v>18</v>
      </c>
      <c r="K232" s="2" t="str">
        <f>J232*871.71</f>
        <v>0</v>
      </c>
      <c r="L232" s="5"/>
    </row>
    <row r="233" spans="1:12" customHeight="1" ht="105" outlineLevel="5">
      <c r="A233" s="1"/>
      <c r="B233" s="1">
        <v>823117</v>
      </c>
      <c r="C233" s="1" t="s">
        <v>880</v>
      </c>
      <c r="D233" s="1" t="s">
        <v>881</v>
      </c>
      <c r="E233" s="2" t="s">
        <v>882</v>
      </c>
      <c r="F233" s="2" t="s">
        <v>846</v>
      </c>
      <c r="G233" s="2" t="s">
        <v>48</v>
      </c>
      <c r="H233" s="2">
        <v>0</v>
      </c>
      <c r="I233" s="1">
        <v>0</v>
      </c>
      <c r="J233" s="3" t="s">
        <v>18</v>
      </c>
      <c r="K233" s="2" t="str">
        <f>J233*1364.16</f>
        <v>0</v>
      </c>
      <c r="L233" s="5"/>
    </row>
    <row r="234" spans="1:12" customHeight="1" ht="105" outlineLevel="5">
      <c r="A234" s="1"/>
      <c r="B234" s="1">
        <v>824567</v>
      </c>
      <c r="C234" s="1" t="s">
        <v>883</v>
      </c>
      <c r="D234" s="1" t="s">
        <v>884</v>
      </c>
      <c r="E234" s="2" t="s">
        <v>885</v>
      </c>
      <c r="F234" s="2" t="s">
        <v>886</v>
      </c>
      <c r="G234" s="2" t="s">
        <v>23</v>
      </c>
      <c r="H234" s="2">
        <v>0</v>
      </c>
      <c r="I234" s="1">
        <v>0</v>
      </c>
      <c r="J234" s="3" t="s">
        <v>18</v>
      </c>
      <c r="K234" s="2" t="str">
        <f>J234*540.96</f>
        <v>0</v>
      </c>
      <c r="L234" s="5"/>
    </row>
    <row r="235" spans="1:12" customHeight="1" ht="105" outlineLevel="5">
      <c r="A235" s="1"/>
      <c r="B235" s="1">
        <v>824568</v>
      </c>
      <c r="C235" s="1" t="s">
        <v>887</v>
      </c>
      <c r="D235" s="1" t="s">
        <v>888</v>
      </c>
      <c r="E235" s="2" t="s">
        <v>889</v>
      </c>
      <c r="F235" s="2" t="s">
        <v>890</v>
      </c>
      <c r="G235" s="2" t="s">
        <v>48</v>
      </c>
      <c r="H235" s="2">
        <v>0</v>
      </c>
      <c r="I235" s="1">
        <v>0</v>
      </c>
      <c r="J235" s="3" t="s">
        <v>18</v>
      </c>
      <c r="K235" s="2" t="str">
        <f>J235*817.32</f>
        <v>0</v>
      </c>
      <c r="L235" s="5"/>
    </row>
    <row r="236" spans="1:12" customHeight="1" ht="105" outlineLevel="5">
      <c r="A236" s="1"/>
      <c r="B236" s="1">
        <v>824569</v>
      </c>
      <c r="C236" s="1" t="s">
        <v>891</v>
      </c>
      <c r="D236" s="1" t="s">
        <v>892</v>
      </c>
      <c r="E236" s="2" t="s">
        <v>893</v>
      </c>
      <c r="F236" s="2" t="s">
        <v>886</v>
      </c>
      <c r="G236" s="2">
        <v>10</v>
      </c>
      <c r="H236" s="2">
        <v>0</v>
      </c>
      <c r="I236" s="1">
        <v>0</v>
      </c>
      <c r="J236" s="3" t="s">
        <v>18</v>
      </c>
      <c r="K236" s="2" t="str">
        <f>J236*540.96</f>
        <v>0</v>
      </c>
      <c r="L236" s="5"/>
    </row>
    <row r="237" spans="1:12" customHeight="1" ht="105" outlineLevel="5">
      <c r="A237" s="1"/>
      <c r="B237" s="1">
        <v>824570</v>
      </c>
      <c r="C237" s="1" t="s">
        <v>894</v>
      </c>
      <c r="D237" s="1" t="s">
        <v>895</v>
      </c>
      <c r="E237" s="2" t="s">
        <v>896</v>
      </c>
      <c r="F237" s="2" t="s">
        <v>897</v>
      </c>
      <c r="G237" s="2" t="s">
        <v>87</v>
      </c>
      <c r="H237" s="2">
        <v>0</v>
      </c>
      <c r="I237" s="1">
        <v>0</v>
      </c>
      <c r="J237" s="3" t="s">
        <v>18</v>
      </c>
      <c r="K237" s="2" t="str">
        <f>J237*790.86</f>
        <v>0</v>
      </c>
      <c r="L237" s="5"/>
    </row>
    <row r="238" spans="1:12" customHeight="1" ht="105" outlineLevel="5">
      <c r="A238" s="1"/>
      <c r="B238" s="1">
        <v>824571</v>
      </c>
      <c r="C238" s="1" t="s">
        <v>898</v>
      </c>
      <c r="D238" s="1" t="s">
        <v>899</v>
      </c>
      <c r="E238" s="2" t="s">
        <v>900</v>
      </c>
      <c r="F238" s="2" t="s">
        <v>901</v>
      </c>
      <c r="G238" s="2">
        <v>0</v>
      </c>
      <c r="H238" s="2">
        <v>0</v>
      </c>
      <c r="I238" s="1">
        <v>0</v>
      </c>
      <c r="J238" s="3" t="s">
        <v>18</v>
      </c>
      <c r="K238" s="2" t="str">
        <f>J238*715.89</f>
        <v>0</v>
      </c>
      <c r="L238" s="5"/>
    </row>
    <row r="239" spans="1:12" customHeight="1" ht="105" outlineLevel="5">
      <c r="A239" s="1"/>
      <c r="B239" s="1">
        <v>824572</v>
      </c>
      <c r="C239" s="1" t="s">
        <v>902</v>
      </c>
      <c r="D239" s="1" t="s">
        <v>903</v>
      </c>
      <c r="E239" s="2" t="s">
        <v>904</v>
      </c>
      <c r="F239" s="2" t="s">
        <v>905</v>
      </c>
      <c r="G239" s="2">
        <v>0</v>
      </c>
      <c r="H239" s="2">
        <v>0</v>
      </c>
      <c r="I239" s="1">
        <v>0</v>
      </c>
      <c r="J239" s="3" t="s">
        <v>18</v>
      </c>
      <c r="K239" s="2" t="str">
        <f>J239*899.64</f>
        <v>0</v>
      </c>
      <c r="L239" s="5"/>
    </row>
    <row r="240" spans="1:12" customHeight="1" ht="105" outlineLevel="5">
      <c r="A240" s="1"/>
      <c r="B240" s="1">
        <v>824573</v>
      </c>
      <c r="C240" s="1" t="s">
        <v>906</v>
      </c>
      <c r="D240" s="1" t="s">
        <v>907</v>
      </c>
      <c r="E240" s="2" t="s">
        <v>908</v>
      </c>
      <c r="F240" s="2" t="s">
        <v>909</v>
      </c>
      <c r="G240" s="2">
        <v>0</v>
      </c>
      <c r="H240" s="2">
        <v>0</v>
      </c>
      <c r="I240" s="1">
        <v>0</v>
      </c>
      <c r="J240" s="3" t="s">
        <v>18</v>
      </c>
      <c r="K240" s="2" t="str">
        <f>J240*1355.34</f>
        <v>0</v>
      </c>
      <c r="L240" s="5"/>
    </row>
    <row r="241" spans="1:12" customHeight="1" ht="105" outlineLevel="5">
      <c r="A241" s="1"/>
      <c r="B241" s="1">
        <v>826540</v>
      </c>
      <c r="C241" s="1" t="s">
        <v>910</v>
      </c>
      <c r="D241" s="1" t="s">
        <v>911</v>
      </c>
      <c r="E241" s="2" t="s">
        <v>912</v>
      </c>
      <c r="F241" s="2" t="s">
        <v>913</v>
      </c>
      <c r="G241" s="2">
        <v>0</v>
      </c>
      <c r="H241" s="2">
        <v>0</v>
      </c>
      <c r="I241" s="1">
        <v>0</v>
      </c>
      <c r="J241" s="3" t="s">
        <v>18</v>
      </c>
      <c r="K241" s="2" t="str">
        <f>J241*623.28</f>
        <v>0</v>
      </c>
      <c r="L241" s="5"/>
    </row>
    <row r="242" spans="1:12" customHeight="1" ht="105" outlineLevel="5">
      <c r="A242" s="1"/>
      <c r="B242" s="1">
        <v>826541</v>
      </c>
      <c r="C242" s="1" t="s">
        <v>914</v>
      </c>
      <c r="D242" s="1" t="s">
        <v>915</v>
      </c>
      <c r="E242" s="2" t="s">
        <v>916</v>
      </c>
      <c r="F242" s="2" t="s">
        <v>917</v>
      </c>
      <c r="G242" s="2">
        <v>1</v>
      </c>
      <c r="H242" s="2">
        <v>0</v>
      </c>
      <c r="I242" s="1">
        <v>0</v>
      </c>
      <c r="J242" s="3" t="s">
        <v>18</v>
      </c>
      <c r="K242" s="2" t="str">
        <f>J242*1528.80</f>
        <v>0</v>
      </c>
      <c r="L242" s="5"/>
    </row>
    <row r="243" spans="1:12" customHeight="1" ht="105" outlineLevel="5">
      <c r="A243" s="1"/>
      <c r="B243" s="1">
        <v>826542</v>
      </c>
      <c r="C243" s="1" t="s">
        <v>918</v>
      </c>
      <c r="D243" s="1" t="s">
        <v>919</v>
      </c>
      <c r="E243" s="2" t="s">
        <v>920</v>
      </c>
      <c r="F243" s="2" t="s">
        <v>854</v>
      </c>
      <c r="G243" s="2">
        <v>0</v>
      </c>
      <c r="H243" s="2">
        <v>0</v>
      </c>
      <c r="I243" s="1">
        <v>0</v>
      </c>
      <c r="J243" s="3" t="s">
        <v>18</v>
      </c>
      <c r="K243" s="2" t="str">
        <f>J243*592.41</f>
        <v>0</v>
      </c>
      <c r="L243" s="5"/>
    </row>
    <row r="244" spans="1:12" customHeight="1" ht="105" outlineLevel="5">
      <c r="A244" s="1"/>
      <c r="B244" s="1">
        <v>826543</v>
      </c>
      <c r="C244" s="1" t="s">
        <v>921</v>
      </c>
      <c r="D244" s="1" t="s">
        <v>922</v>
      </c>
      <c r="E244" s="2" t="s">
        <v>923</v>
      </c>
      <c r="F244" s="2" t="s">
        <v>924</v>
      </c>
      <c r="G244" s="2">
        <v>0</v>
      </c>
      <c r="H244" s="2">
        <v>0</v>
      </c>
      <c r="I244" s="1">
        <v>0</v>
      </c>
      <c r="J244" s="3" t="s">
        <v>18</v>
      </c>
      <c r="K244" s="2" t="str">
        <f>J244*1509.69</f>
        <v>0</v>
      </c>
      <c r="L244" s="5"/>
    </row>
    <row r="245" spans="1:12" customHeight="1" ht="105" outlineLevel="5">
      <c r="A245" s="1"/>
      <c r="B245" s="1">
        <v>826544</v>
      </c>
      <c r="C245" s="1" t="s">
        <v>925</v>
      </c>
      <c r="D245" s="1" t="s">
        <v>926</v>
      </c>
      <c r="E245" s="2" t="s">
        <v>927</v>
      </c>
      <c r="F245" s="2" t="s">
        <v>928</v>
      </c>
      <c r="G245" s="2" t="s">
        <v>23</v>
      </c>
      <c r="H245" s="2">
        <v>0</v>
      </c>
      <c r="I245" s="1">
        <v>0</v>
      </c>
      <c r="J245" s="3" t="s">
        <v>18</v>
      </c>
      <c r="K245" s="2" t="str">
        <f>J245*1250.97</f>
        <v>0</v>
      </c>
      <c r="L245" s="5"/>
    </row>
    <row r="246" spans="1:12" customHeight="1" ht="105" outlineLevel="5">
      <c r="A246" s="1"/>
      <c r="B246" s="1">
        <v>879929</v>
      </c>
      <c r="C246" s="1" t="s">
        <v>929</v>
      </c>
      <c r="D246" s="1" t="s">
        <v>930</v>
      </c>
      <c r="E246" s="2" t="s">
        <v>931</v>
      </c>
      <c r="F246" s="2" t="s">
        <v>744</v>
      </c>
      <c r="G246" s="2" t="s">
        <v>17</v>
      </c>
      <c r="H246" s="2">
        <v>0</v>
      </c>
      <c r="I246" s="1">
        <v>0</v>
      </c>
      <c r="J246" s="3" t="s">
        <v>18</v>
      </c>
      <c r="K246" s="2" t="str">
        <f>J246*448.35</f>
        <v>0</v>
      </c>
      <c r="L246" s="5"/>
    </row>
    <row r="247" spans="1:12" outlineLevel="3">
      <c r="A247" s="9" t="s">
        <v>932</v>
      </c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5"/>
    </row>
    <row r="248" spans="1:12" customHeight="1" ht="105" outlineLevel="5">
      <c r="A248" s="1"/>
      <c r="B248" s="1">
        <v>889442</v>
      </c>
      <c r="C248" s="1" t="s">
        <v>933</v>
      </c>
      <c r="D248" s="1" t="s">
        <v>934</v>
      </c>
      <c r="E248" s="2" t="s">
        <v>935</v>
      </c>
      <c r="F248" s="2" t="s">
        <v>812</v>
      </c>
      <c r="G248" s="2">
        <v>7</v>
      </c>
      <c r="H248" s="2">
        <v>0</v>
      </c>
      <c r="I248" s="1">
        <v>0</v>
      </c>
      <c r="J248" s="3" t="s">
        <v>18</v>
      </c>
      <c r="K248" s="2" t="str">
        <f>J248*627.69</f>
        <v>0</v>
      </c>
      <c r="L248" s="5"/>
    </row>
    <row r="249" spans="1:12" customHeight="1" ht="105" outlineLevel="5">
      <c r="A249" s="1"/>
      <c r="B249" s="1">
        <v>889443</v>
      </c>
      <c r="C249" s="1" t="s">
        <v>936</v>
      </c>
      <c r="D249" s="1" t="s">
        <v>937</v>
      </c>
      <c r="E249" s="2" t="s">
        <v>938</v>
      </c>
      <c r="F249" s="2" t="s">
        <v>939</v>
      </c>
      <c r="G249" s="2">
        <v>0</v>
      </c>
      <c r="H249" s="2">
        <v>0</v>
      </c>
      <c r="I249" s="1">
        <v>0</v>
      </c>
      <c r="J249" s="3" t="s">
        <v>18</v>
      </c>
      <c r="K249" s="2" t="str">
        <f>J249*895.23</f>
        <v>0</v>
      </c>
      <c r="L249" s="5"/>
    </row>
    <row r="250" spans="1:12" customHeight="1" ht="105" outlineLevel="5">
      <c r="A250" s="1"/>
      <c r="B250" s="1">
        <v>889444</v>
      </c>
      <c r="C250" s="1" t="s">
        <v>940</v>
      </c>
      <c r="D250" s="1" t="s">
        <v>941</v>
      </c>
      <c r="E250" s="2" t="s">
        <v>942</v>
      </c>
      <c r="F250" s="2" t="s">
        <v>943</v>
      </c>
      <c r="G250" s="2">
        <v>4</v>
      </c>
      <c r="H250" s="2">
        <v>0</v>
      </c>
      <c r="I250" s="1">
        <v>0</v>
      </c>
      <c r="J250" s="3" t="s">
        <v>18</v>
      </c>
      <c r="K250" s="2" t="str">
        <f>J250*1568.49</f>
        <v>0</v>
      </c>
      <c r="L250" s="5"/>
    </row>
    <row r="251" spans="1:12" customHeight="1" ht="105" outlineLevel="5">
      <c r="A251" s="1"/>
      <c r="B251" s="1">
        <v>889424</v>
      </c>
      <c r="C251" s="1" t="s">
        <v>944</v>
      </c>
      <c r="D251" s="1" t="s">
        <v>945</v>
      </c>
      <c r="E251" s="2" t="s">
        <v>946</v>
      </c>
      <c r="F251" s="2" t="s">
        <v>947</v>
      </c>
      <c r="G251" s="2" t="s">
        <v>17</v>
      </c>
      <c r="H251" s="2">
        <v>0</v>
      </c>
      <c r="I251" s="1">
        <v>0</v>
      </c>
      <c r="J251" s="3" t="s">
        <v>18</v>
      </c>
      <c r="K251" s="2" t="str">
        <f>J251*386.61</f>
        <v>0</v>
      </c>
      <c r="L251" s="5"/>
    </row>
    <row r="252" spans="1:12" customHeight="1" ht="105" outlineLevel="5">
      <c r="A252" s="1"/>
      <c r="B252" s="1">
        <v>889425</v>
      </c>
      <c r="C252" s="1" t="s">
        <v>948</v>
      </c>
      <c r="D252" s="1" t="s">
        <v>949</v>
      </c>
      <c r="E252" s="2" t="s">
        <v>950</v>
      </c>
      <c r="F252" s="2" t="s">
        <v>951</v>
      </c>
      <c r="G252" s="2" t="s">
        <v>87</v>
      </c>
      <c r="H252" s="2">
        <v>0</v>
      </c>
      <c r="I252" s="1">
        <v>0</v>
      </c>
      <c r="J252" s="3" t="s">
        <v>18</v>
      </c>
      <c r="K252" s="2" t="str">
        <f>J252*585.06</f>
        <v>0</v>
      </c>
      <c r="L252" s="5"/>
    </row>
    <row r="253" spans="1:12" customHeight="1" ht="105" outlineLevel="5">
      <c r="A253" s="1"/>
      <c r="B253" s="1">
        <v>889426</v>
      </c>
      <c r="C253" s="1" t="s">
        <v>952</v>
      </c>
      <c r="D253" s="1" t="s">
        <v>953</v>
      </c>
      <c r="E253" s="2" t="s">
        <v>954</v>
      </c>
      <c r="F253" s="2" t="s">
        <v>955</v>
      </c>
      <c r="G253" s="2" t="s">
        <v>87</v>
      </c>
      <c r="H253" s="2">
        <v>0</v>
      </c>
      <c r="I253" s="1">
        <v>0</v>
      </c>
      <c r="J253" s="3" t="s">
        <v>18</v>
      </c>
      <c r="K253" s="2" t="str">
        <f>J253*964.32</f>
        <v>0</v>
      </c>
      <c r="L253" s="5"/>
    </row>
    <row r="254" spans="1:12" customHeight="1" ht="105" outlineLevel="5">
      <c r="A254" s="1"/>
      <c r="B254" s="1">
        <v>889427</v>
      </c>
      <c r="C254" s="1" t="s">
        <v>956</v>
      </c>
      <c r="D254" s="1" t="s">
        <v>957</v>
      </c>
      <c r="E254" s="2" t="s">
        <v>958</v>
      </c>
      <c r="F254" s="2" t="s">
        <v>959</v>
      </c>
      <c r="G254" s="2" t="s">
        <v>87</v>
      </c>
      <c r="H254" s="2">
        <v>0</v>
      </c>
      <c r="I254" s="1">
        <v>0</v>
      </c>
      <c r="J254" s="3" t="s">
        <v>18</v>
      </c>
      <c r="K254" s="2" t="str">
        <f>J254*443.94</f>
        <v>0</v>
      </c>
      <c r="L254" s="5"/>
    </row>
    <row r="255" spans="1:12" customHeight="1" ht="105" outlineLevel="5">
      <c r="A255" s="1"/>
      <c r="B255" s="1">
        <v>889428</v>
      </c>
      <c r="C255" s="1" t="s">
        <v>960</v>
      </c>
      <c r="D255" s="1" t="s">
        <v>961</v>
      </c>
      <c r="E255" s="2" t="s">
        <v>962</v>
      </c>
      <c r="F255" s="2" t="s">
        <v>963</v>
      </c>
      <c r="G255" s="2" t="s">
        <v>23</v>
      </c>
      <c r="H255" s="2">
        <v>0</v>
      </c>
      <c r="I255" s="1">
        <v>0</v>
      </c>
      <c r="J255" s="3" t="s">
        <v>18</v>
      </c>
      <c r="K255" s="2" t="str">
        <f>J255*608.58</f>
        <v>0</v>
      </c>
      <c r="L255" s="5"/>
    </row>
    <row r="256" spans="1:12" customHeight="1" ht="105" outlineLevel="5">
      <c r="A256" s="1"/>
      <c r="B256" s="1">
        <v>889429</v>
      </c>
      <c r="C256" s="1" t="s">
        <v>964</v>
      </c>
      <c r="D256" s="1" t="s">
        <v>965</v>
      </c>
      <c r="E256" s="2" t="s">
        <v>966</v>
      </c>
      <c r="F256" s="2" t="s">
        <v>967</v>
      </c>
      <c r="G256" s="2" t="s">
        <v>87</v>
      </c>
      <c r="H256" s="2">
        <v>0</v>
      </c>
      <c r="I256" s="1">
        <v>0</v>
      </c>
      <c r="J256" s="3" t="s">
        <v>18</v>
      </c>
      <c r="K256" s="2" t="str">
        <f>J256*976.08</f>
        <v>0</v>
      </c>
      <c r="L256" s="5"/>
    </row>
    <row r="257" spans="1:12" customHeight="1" ht="105" outlineLevel="5">
      <c r="A257" s="1"/>
      <c r="B257" s="1">
        <v>889430</v>
      </c>
      <c r="C257" s="1" t="s">
        <v>968</v>
      </c>
      <c r="D257" s="1" t="s">
        <v>969</v>
      </c>
      <c r="E257" s="2" t="s">
        <v>970</v>
      </c>
      <c r="F257" s="2" t="s">
        <v>808</v>
      </c>
      <c r="G257" s="2" t="s">
        <v>87</v>
      </c>
      <c r="H257" s="2">
        <v>0</v>
      </c>
      <c r="I257" s="1">
        <v>0</v>
      </c>
      <c r="J257" s="3" t="s">
        <v>18</v>
      </c>
      <c r="K257" s="2" t="str">
        <f>J257*410.13</f>
        <v>0</v>
      </c>
      <c r="L257" s="5"/>
    </row>
    <row r="258" spans="1:12" customHeight="1" ht="105" outlineLevel="5">
      <c r="A258" s="1"/>
      <c r="B258" s="1">
        <v>889431</v>
      </c>
      <c r="C258" s="1" t="s">
        <v>971</v>
      </c>
      <c r="D258" s="1" t="s">
        <v>972</v>
      </c>
      <c r="E258" s="2" t="s">
        <v>973</v>
      </c>
      <c r="F258" s="2" t="s">
        <v>974</v>
      </c>
      <c r="G258" s="2" t="s">
        <v>23</v>
      </c>
      <c r="H258" s="2">
        <v>0</v>
      </c>
      <c r="I258" s="1">
        <v>0</v>
      </c>
      <c r="J258" s="3" t="s">
        <v>18</v>
      </c>
      <c r="K258" s="2" t="str">
        <f>J258*582.12</f>
        <v>0</v>
      </c>
      <c r="L258" s="5"/>
    </row>
    <row r="259" spans="1:12" customHeight="1" ht="105" outlineLevel="5">
      <c r="A259" s="1"/>
      <c r="B259" s="1">
        <v>889432</v>
      </c>
      <c r="C259" s="1" t="s">
        <v>975</v>
      </c>
      <c r="D259" s="1" t="s">
        <v>976</v>
      </c>
      <c r="E259" s="2" t="s">
        <v>977</v>
      </c>
      <c r="F259" s="2" t="s">
        <v>978</v>
      </c>
      <c r="G259" s="2" t="s">
        <v>48</v>
      </c>
      <c r="H259" s="2">
        <v>0</v>
      </c>
      <c r="I259" s="1">
        <v>0</v>
      </c>
      <c r="J259" s="3" t="s">
        <v>18</v>
      </c>
      <c r="K259" s="2" t="str">
        <f>J259*1002.54</f>
        <v>0</v>
      </c>
      <c r="L259" s="5"/>
    </row>
    <row r="260" spans="1:12" customHeight="1" ht="105" outlineLevel="5">
      <c r="A260" s="1"/>
      <c r="B260" s="1">
        <v>889433</v>
      </c>
      <c r="C260" s="1" t="s">
        <v>979</v>
      </c>
      <c r="D260" s="1" t="s">
        <v>980</v>
      </c>
      <c r="E260" s="2" t="s">
        <v>981</v>
      </c>
      <c r="F260" s="2" t="s">
        <v>982</v>
      </c>
      <c r="G260" s="2">
        <v>2</v>
      </c>
      <c r="H260" s="2">
        <v>0</v>
      </c>
      <c r="I260" s="1">
        <v>0</v>
      </c>
      <c r="J260" s="3" t="s">
        <v>18</v>
      </c>
      <c r="K260" s="2" t="str">
        <f>J260*1425.90</f>
        <v>0</v>
      </c>
      <c r="L260" s="5"/>
    </row>
    <row r="261" spans="1:12" customHeight="1" ht="105" outlineLevel="5">
      <c r="A261" s="1"/>
      <c r="B261" s="1">
        <v>889434</v>
      </c>
      <c r="C261" s="1" t="s">
        <v>983</v>
      </c>
      <c r="D261" s="1" t="s">
        <v>984</v>
      </c>
      <c r="E261" s="2" t="s">
        <v>985</v>
      </c>
      <c r="F261" s="2" t="s">
        <v>986</v>
      </c>
      <c r="G261" s="2">
        <v>7</v>
      </c>
      <c r="H261" s="2">
        <v>0</v>
      </c>
      <c r="I261" s="1">
        <v>0</v>
      </c>
      <c r="J261" s="3" t="s">
        <v>18</v>
      </c>
      <c r="K261" s="2" t="str">
        <f>J261*2184.42</f>
        <v>0</v>
      </c>
      <c r="L261" s="5"/>
    </row>
    <row r="262" spans="1:12" customHeight="1" ht="105" outlineLevel="5">
      <c r="A262" s="1"/>
      <c r="B262" s="1">
        <v>889435</v>
      </c>
      <c r="C262" s="1" t="s">
        <v>987</v>
      </c>
      <c r="D262" s="1" t="s">
        <v>988</v>
      </c>
      <c r="E262" s="2" t="s">
        <v>989</v>
      </c>
      <c r="F262" s="2" t="s">
        <v>990</v>
      </c>
      <c r="G262" s="2">
        <v>10</v>
      </c>
      <c r="H262" s="2">
        <v>0</v>
      </c>
      <c r="I262" s="1">
        <v>0</v>
      </c>
      <c r="J262" s="3" t="s">
        <v>18</v>
      </c>
      <c r="K262" s="2" t="str">
        <f>J262*3306.03</f>
        <v>0</v>
      </c>
      <c r="L262" s="5"/>
    </row>
    <row r="263" spans="1:12" customHeight="1" ht="105" outlineLevel="5">
      <c r="A263" s="1"/>
      <c r="B263" s="1">
        <v>889436</v>
      </c>
      <c r="C263" s="1" t="s">
        <v>991</v>
      </c>
      <c r="D263" s="1" t="s">
        <v>992</v>
      </c>
      <c r="E263" s="2" t="s">
        <v>993</v>
      </c>
      <c r="F263" s="2" t="s">
        <v>994</v>
      </c>
      <c r="G263" s="2" t="s">
        <v>23</v>
      </c>
      <c r="H263" s="2">
        <v>0</v>
      </c>
      <c r="I263" s="1">
        <v>0</v>
      </c>
      <c r="J263" s="3" t="s">
        <v>18</v>
      </c>
      <c r="K263" s="2" t="str">
        <f>J263*430.71</f>
        <v>0</v>
      </c>
      <c r="L263" s="5"/>
    </row>
    <row r="264" spans="1:12" customHeight="1" ht="105" outlineLevel="5">
      <c r="A264" s="1"/>
      <c r="B264" s="1">
        <v>889437</v>
      </c>
      <c r="C264" s="1" t="s">
        <v>995</v>
      </c>
      <c r="D264" s="1" t="s">
        <v>996</v>
      </c>
      <c r="E264" s="2" t="s">
        <v>997</v>
      </c>
      <c r="F264" s="2" t="s">
        <v>998</v>
      </c>
      <c r="G264" s="2" t="s">
        <v>23</v>
      </c>
      <c r="H264" s="2">
        <v>0</v>
      </c>
      <c r="I264" s="1">
        <v>0</v>
      </c>
      <c r="J264" s="3" t="s">
        <v>18</v>
      </c>
      <c r="K264" s="2" t="str">
        <f>J264*593.88</f>
        <v>0</v>
      </c>
      <c r="L264" s="5"/>
    </row>
    <row r="265" spans="1:12" customHeight="1" ht="105" outlineLevel="5">
      <c r="A265" s="1"/>
      <c r="B265" s="1">
        <v>889438</v>
      </c>
      <c r="C265" s="1" t="s">
        <v>999</v>
      </c>
      <c r="D265" s="1" t="s">
        <v>1000</v>
      </c>
      <c r="E265" s="2" t="s">
        <v>1001</v>
      </c>
      <c r="F265" s="2" t="s">
        <v>1002</v>
      </c>
      <c r="G265" s="2" t="s">
        <v>48</v>
      </c>
      <c r="H265" s="2">
        <v>0</v>
      </c>
      <c r="I265" s="1">
        <v>0</v>
      </c>
      <c r="J265" s="3" t="s">
        <v>18</v>
      </c>
      <c r="K265" s="2" t="str">
        <f>J265*1012.83</f>
        <v>0</v>
      </c>
      <c r="L265" s="5"/>
    </row>
    <row r="266" spans="1:12" customHeight="1" ht="105" outlineLevel="5">
      <c r="A266" s="1"/>
      <c r="B266" s="1">
        <v>889439</v>
      </c>
      <c r="C266" s="1" t="s">
        <v>1003</v>
      </c>
      <c r="D266" s="1" t="s">
        <v>1004</v>
      </c>
      <c r="E266" s="2" t="s">
        <v>1005</v>
      </c>
      <c r="F266" s="2" t="s">
        <v>1006</v>
      </c>
      <c r="G266" s="2" t="s">
        <v>48</v>
      </c>
      <c r="H266" s="2">
        <v>0</v>
      </c>
      <c r="I266" s="1">
        <v>0</v>
      </c>
      <c r="J266" s="3" t="s">
        <v>18</v>
      </c>
      <c r="K266" s="2" t="str">
        <f>J266*1515.57</f>
        <v>0</v>
      </c>
      <c r="L266" s="5"/>
    </row>
    <row r="267" spans="1:12" customHeight="1" ht="105" outlineLevel="5">
      <c r="A267" s="1"/>
      <c r="B267" s="1">
        <v>889440</v>
      </c>
      <c r="C267" s="1" t="s">
        <v>1007</v>
      </c>
      <c r="D267" s="1" t="s">
        <v>1008</v>
      </c>
      <c r="E267" s="2" t="s">
        <v>1009</v>
      </c>
      <c r="F267" s="2" t="s">
        <v>1010</v>
      </c>
      <c r="G267" s="2">
        <v>8</v>
      </c>
      <c r="H267" s="2">
        <v>0</v>
      </c>
      <c r="I267" s="1">
        <v>0</v>
      </c>
      <c r="J267" s="3" t="s">
        <v>18</v>
      </c>
      <c r="K267" s="2" t="str">
        <f>J267*2240.28</f>
        <v>0</v>
      </c>
      <c r="L267" s="5"/>
    </row>
    <row r="268" spans="1:12" customHeight="1" ht="105" outlineLevel="5">
      <c r="A268" s="1"/>
      <c r="B268" s="1">
        <v>889441</v>
      </c>
      <c r="C268" s="1" t="s">
        <v>1011</v>
      </c>
      <c r="D268" s="1" t="s">
        <v>1012</v>
      </c>
      <c r="E268" s="2" t="s">
        <v>1013</v>
      </c>
      <c r="F268" s="2" t="s">
        <v>1014</v>
      </c>
      <c r="G268" s="2">
        <v>6</v>
      </c>
      <c r="H268" s="2">
        <v>0</v>
      </c>
      <c r="I268" s="1">
        <v>0</v>
      </c>
      <c r="J268" s="3" t="s">
        <v>18</v>
      </c>
      <c r="K268" s="2" t="str">
        <f>J268*3486.84</f>
        <v>0</v>
      </c>
      <c r="L268" s="5"/>
    </row>
    <row r="269" spans="1:12" outlineLevel="2">
      <c r="A269" s="8" t="s">
        <v>1015</v>
      </c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5"/>
    </row>
    <row r="270" spans="1:12" outlineLevel="3">
      <c r="A270" s="9" t="s">
        <v>1016</v>
      </c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5"/>
    </row>
    <row r="271" spans="1:12" customHeight="1" ht="105" outlineLevel="5">
      <c r="A271" s="1"/>
      <c r="B271" s="1">
        <v>833140</v>
      </c>
      <c r="C271" s="1" t="s">
        <v>1017</v>
      </c>
      <c r="D271" s="1" t="s">
        <v>1018</v>
      </c>
      <c r="E271" s="2" t="s">
        <v>1019</v>
      </c>
      <c r="F271" s="2" t="s">
        <v>1020</v>
      </c>
      <c r="G271" s="2" t="s">
        <v>48</v>
      </c>
      <c r="H271" s="2">
        <v>0</v>
      </c>
      <c r="I271" s="1">
        <v>0</v>
      </c>
      <c r="J271" s="3" t="s">
        <v>18</v>
      </c>
      <c r="K271" s="2" t="str">
        <f>J271*365.91</f>
        <v>0</v>
      </c>
      <c r="L271" s="5"/>
    </row>
    <row r="272" spans="1:12" customHeight="1" ht="105" outlineLevel="5">
      <c r="A272" s="1"/>
      <c r="B272" s="1">
        <v>833141</v>
      </c>
      <c r="C272" s="1" t="s">
        <v>1021</v>
      </c>
      <c r="D272" s="1" t="s">
        <v>1022</v>
      </c>
      <c r="E272" s="2" t="s">
        <v>1023</v>
      </c>
      <c r="F272" s="2" t="s">
        <v>1024</v>
      </c>
      <c r="G272" s="2" t="s">
        <v>87</v>
      </c>
      <c r="H272" s="2">
        <v>0</v>
      </c>
      <c r="I272" s="1">
        <v>0</v>
      </c>
      <c r="J272" s="3" t="s">
        <v>18</v>
      </c>
      <c r="K272" s="2" t="str">
        <f>J272*539.31</f>
        <v>0</v>
      </c>
      <c r="L272" s="5"/>
    </row>
    <row r="273" spans="1:12" customHeight="1" ht="105" outlineLevel="5">
      <c r="A273" s="1"/>
      <c r="B273" s="1">
        <v>833142</v>
      </c>
      <c r="C273" s="1" t="s">
        <v>1025</v>
      </c>
      <c r="D273" s="1" t="s">
        <v>1026</v>
      </c>
      <c r="E273" s="2" t="s">
        <v>1027</v>
      </c>
      <c r="F273" s="2" t="s">
        <v>1028</v>
      </c>
      <c r="G273" s="2">
        <v>0</v>
      </c>
      <c r="H273" s="2">
        <v>0</v>
      </c>
      <c r="I273" s="1">
        <v>0</v>
      </c>
      <c r="J273" s="3" t="s">
        <v>18</v>
      </c>
      <c r="K273" s="2" t="str">
        <f>J273*717.49</f>
        <v>0</v>
      </c>
      <c r="L273" s="5"/>
    </row>
    <row r="274" spans="1:12" customHeight="1" ht="105" outlineLevel="5">
      <c r="A274" s="1"/>
      <c r="B274" s="1">
        <v>833143</v>
      </c>
      <c r="C274" s="1" t="s">
        <v>1029</v>
      </c>
      <c r="D274" s="1" t="s">
        <v>1030</v>
      </c>
      <c r="E274" s="2" t="s">
        <v>1031</v>
      </c>
      <c r="F274" s="2" t="s">
        <v>1032</v>
      </c>
      <c r="G274" s="2">
        <v>0</v>
      </c>
      <c r="H274" s="2">
        <v>0</v>
      </c>
      <c r="I274" s="1">
        <v>0</v>
      </c>
      <c r="J274" s="3" t="s">
        <v>18</v>
      </c>
      <c r="K274" s="2" t="str">
        <f>J274*386.82</f>
        <v>0</v>
      </c>
      <c r="L274" s="5"/>
    </row>
    <row r="275" spans="1:12" customHeight="1" ht="105" outlineLevel="5">
      <c r="A275" s="1"/>
      <c r="B275" s="1">
        <v>833144</v>
      </c>
      <c r="C275" s="1" t="s">
        <v>1033</v>
      </c>
      <c r="D275" s="1" t="s">
        <v>1034</v>
      </c>
      <c r="E275" s="2" t="s">
        <v>1035</v>
      </c>
      <c r="F275" s="2" t="s">
        <v>1036</v>
      </c>
      <c r="G275" s="2">
        <v>0</v>
      </c>
      <c r="H275" s="2">
        <v>0</v>
      </c>
      <c r="I275" s="1">
        <v>0</v>
      </c>
      <c r="J275" s="3" t="s">
        <v>18</v>
      </c>
      <c r="K275" s="2" t="str">
        <f>J275*560.46</f>
        <v>0</v>
      </c>
      <c r="L275" s="5"/>
    </row>
    <row r="276" spans="1:12" customHeight="1" ht="105" outlineLevel="5">
      <c r="A276" s="1"/>
      <c r="B276" s="1">
        <v>833145</v>
      </c>
      <c r="C276" s="1" t="s">
        <v>1037</v>
      </c>
      <c r="D276" s="1" t="s">
        <v>1038</v>
      </c>
      <c r="E276" s="2" t="s">
        <v>1039</v>
      </c>
      <c r="F276" s="2" t="s">
        <v>1040</v>
      </c>
      <c r="G276" s="2">
        <v>2</v>
      </c>
      <c r="H276" s="2">
        <v>0</v>
      </c>
      <c r="I276" s="1">
        <v>0</v>
      </c>
      <c r="J276" s="3" t="s">
        <v>18</v>
      </c>
      <c r="K276" s="2" t="str">
        <f>J276*842.49</f>
        <v>0</v>
      </c>
      <c r="L276" s="5"/>
    </row>
    <row r="277" spans="1:12" customHeight="1" ht="105" outlineLevel="5">
      <c r="A277" s="1"/>
      <c r="B277" s="1">
        <v>833146</v>
      </c>
      <c r="C277" s="1" t="s">
        <v>1041</v>
      </c>
      <c r="D277" s="1" t="s">
        <v>1042</v>
      </c>
      <c r="E277" s="2" t="s">
        <v>1043</v>
      </c>
      <c r="F277" s="2" t="s">
        <v>1044</v>
      </c>
      <c r="G277" s="2">
        <v>0</v>
      </c>
      <c r="H277" s="2">
        <v>0</v>
      </c>
      <c r="I277" s="1">
        <v>0</v>
      </c>
      <c r="J277" s="3" t="s">
        <v>18</v>
      </c>
      <c r="K277" s="2" t="str">
        <f>J277*372.84</f>
        <v>0</v>
      </c>
      <c r="L277" s="5"/>
    </row>
    <row r="278" spans="1:12" customHeight="1" ht="105" outlineLevel="5">
      <c r="A278" s="1"/>
      <c r="B278" s="1">
        <v>833147</v>
      </c>
      <c r="C278" s="1" t="s">
        <v>1045</v>
      </c>
      <c r="D278" s="1" t="s">
        <v>1046</v>
      </c>
      <c r="E278" s="2" t="s">
        <v>1047</v>
      </c>
      <c r="F278" s="2" t="s">
        <v>1048</v>
      </c>
      <c r="G278" s="2" t="s">
        <v>17</v>
      </c>
      <c r="H278" s="2">
        <v>0</v>
      </c>
      <c r="I278" s="1">
        <v>0</v>
      </c>
      <c r="J278" s="3" t="s">
        <v>18</v>
      </c>
      <c r="K278" s="2" t="str">
        <f>J278*400.64</f>
        <v>0</v>
      </c>
      <c r="L278" s="5"/>
    </row>
    <row r="279" spans="1:12" customHeight="1" ht="105" outlineLevel="5">
      <c r="A279" s="1"/>
      <c r="B279" s="1">
        <v>833148</v>
      </c>
      <c r="C279" s="1" t="s">
        <v>1049</v>
      </c>
      <c r="D279" s="1" t="s">
        <v>1050</v>
      </c>
      <c r="E279" s="2" t="s">
        <v>1051</v>
      </c>
      <c r="F279" s="2" t="s">
        <v>1052</v>
      </c>
      <c r="G279" s="2" t="s">
        <v>23</v>
      </c>
      <c r="H279" s="2">
        <v>0</v>
      </c>
      <c r="I279" s="1">
        <v>0</v>
      </c>
      <c r="J279" s="3" t="s">
        <v>18</v>
      </c>
      <c r="K279" s="2" t="str">
        <f>J279*570.94</f>
        <v>0</v>
      </c>
      <c r="L279" s="5"/>
    </row>
    <row r="280" spans="1:12" customHeight="1" ht="105" outlineLevel="5">
      <c r="A280" s="1"/>
      <c r="B280" s="1">
        <v>833149</v>
      </c>
      <c r="C280" s="1" t="s">
        <v>1053</v>
      </c>
      <c r="D280" s="1" t="s">
        <v>1054</v>
      </c>
      <c r="E280" s="2" t="s">
        <v>1055</v>
      </c>
      <c r="F280" s="2" t="s">
        <v>1056</v>
      </c>
      <c r="G280" s="2" t="s">
        <v>23</v>
      </c>
      <c r="H280" s="2">
        <v>0</v>
      </c>
      <c r="I280" s="1">
        <v>0</v>
      </c>
      <c r="J280" s="3" t="s">
        <v>18</v>
      </c>
      <c r="K280" s="2" t="str">
        <f>J280*848.04</f>
        <v>0</v>
      </c>
      <c r="L280" s="5"/>
    </row>
    <row r="281" spans="1:12" customHeight="1" ht="105" outlineLevel="5">
      <c r="A281" s="1"/>
      <c r="B281" s="1">
        <v>833150</v>
      </c>
      <c r="C281" s="1" t="s">
        <v>1057</v>
      </c>
      <c r="D281" s="1" t="s">
        <v>1058</v>
      </c>
      <c r="E281" s="2" t="s">
        <v>1059</v>
      </c>
      <c r="F281" s="2" t="s">
        <v>1060</v>
      </c>
      <c r="G281" s="2">
        <v>0</v>
      </c>
      <c r="H281" s="2">
        <v>0</v>
      </c>
      <c r="I281" s="1">
        <v>0</v>
      </c>
      <c r="J281" s="3" t="s">
        <v>18</v>
      </c>
      <c r="K281" s="2" t="str">
        <f>J281*1167.12</f>
        <v>0</v>
      </c>
      <c r="L281" s="5"/>
    </row>
    <row r="282" spans="1:12" customHeight="1" ht="105" outlineLevel="5">
      <c r="A282" s="1"/>
      <c r="B282" s="1">
        <v>833151</v>
      </c>
      <c r="C282" s="1" t="s">
        <v>1061</v>
      </c>
      <c r="D282" s="1" t="s">
        <v>1062</v>
      </c>
      <c r="E282" s="2" t="s">
        <v>1063</v>
      </c>
      <c r="F282" s="2" t="s">
        <v>1064</v>
      </c>
      <c r="G282" s="2">
        <v>0</v>
      </c>
      <c r="H282" s="2">
        <v>0</v>
      </c>
      <c r="I282" s="1">
        <v>0</v>
      </c>
      <c r="J282" s="3" t="s">
        <v>18</v>
      </c>
      <c r="K282" s="2" t="str">
        <f>J282*1901.32</f>
        <v>0</v>
      </c>
      <c r="L282" s="5"/>
    </row>
    <row r="283" spans="1:12" customHeight="1" ht="105" outlineLevel="5">
      <c r="A283" s="1"/>
      <c r="B283" s="1">
        <v>833152</v>
      </c>
      <c r="C283" s="1" t="s">
        <v>1065</v>
      </c>
      <c r="D283" s="1" t="s">
        <v>1066</v>
      </c>
      <c r="E283" s="2" t="s">
        <v>1067</v>
      </c>
      <c r="F283" s="2" t="s">
        <v>1068</v>
      </c>
      <c r="G283" s="2" t="s">
        <v>48</v>
      </c>
      <c r="H283" s="2">
        <v>0</v>
      </c>
      <c r="I283" s="1">
        <v>0</v>
      </c>
      <c r="J283" s="3" t="s">
        <v>18</v>
      </c>
      <c r="K283" s="2" t="str">
        <f>J283*3104.98</f>
        <v>0</v>
      </c>
      <c r="L283" s="5"/>
    </row>
    <row r="284" spans="1:12" customHeight="1" ht="105" outlineLevel="5">
      <c r="A284" s="1"/>
      <c r="B284" s="1">
        <v>833153</v>
      </c>
      <c r="C284" s="1" t="s">
        <v>1069</v>
      </c>
      <c r="D284" s="1" t="s">
        <v>1070</v>
      </c>
      <c r="E284" s="2" t="s">
        <v>1071</v>
      </c>
      <c r="F284" s="2" t="s">
        <v>1072</v>
      </c>
      <c r="G284" s="2" t="s">
        <v>23</v>
      </c>
      <c r="H284" s="2">
        <v>0</v>
      </c>
      <c r="I284" s="1">
        <v>0</v>
      </c>
      <c r="J284" s="3" t="s">
        <v>18</v>
      </c>
      <c r="K284" s="2" t="str">
        <f>J284*339.23</f>
        <v>0</v>
      </c>
      <c r="L284" s="5"/>
    </row>
    <row r="285" spans="1:12" customHeight="1" ht="105" outlineLevel="5">
      <c r="A285" s="1"/>
      <c r="B285" s="1">
        <v>833154</v>
      </c>
      <c r="C285" s="1" t="s">
        <v>1073</v>
      </c>
      <c r="D285" s="1" t="s">
        <v>1074</v>
      </c>
      <c r="E285" s="2" t="s">
        <v>1075</v>
      </c>
      <c r="F285" s="2" t="s">
        <v>1076</v>
      </c>
      <c r="G285" s="2" t="s">
        <v>48</v>
      </c>
      <c r="H285" s="2">
        <v>0</v>
      </c>
      <c r="I285" s="1">
        <v>0</v>
      </c>
      <c r="J285" s="3" t="s">
        <v>18</v>
      </c>
      <c r="K285" s="2" t="str">
        <f>J285*559.66</f>
        <v>0</v>
      </c>
      <c r="L285" s="5"/>
    </row>
    <row r="286" spans="1:12" customHeight="1" ht="105" outlineLevel="5">
      <c r="A286" s="1"/>
      <c r="B286" s="1">
        <v>833155</v>
      </c>
      <c r="C286" s="1" t="s">
        <v>1077</v>
      </c>
      <c r="D286" s="1" t="s">
        <v>1078</v>
      </c>
      <c r="E286" s="2" t="s">
        <v>1079</v>
      </c>
      <c r="F286" s="2" t="s">
        <v>1080</v>
      </c>
      <c r="G286" s="2" t="s">
        <v>48</v>
      </c>
      <c r="H286" s="2">
        <v>0</v>
      </c>
      <c r="I286" s="1">
        <v>0</v>
      </c>
      <c r="J286" s="3" t="s">
        <v>18</v>
      </c>
      <c r="K286" s="2" t="str">
        <f>J286*919.99</f>
        <v>0</v>
      </c>
      <c r="L286" s="5"/>
    </row>
    <row r="287" spans="1:12" customHeight="1" ht="105" outlineLevel="5">
      <c r="A287" s="1"/>
      <c r="B287" s="1">
        <v>833156</v>
      </c>
      <c r="C287" s="1" t="s">
        <v>1081</v>
      </c>
      <c r="D287" s="1" t="s">
        <v>1082</v>
      </c>
      <c r="E287" s="2" t="s">
        <v>1083</v>
      </c>
      <c r="F287" s="2" t="s">
        <v>1084</v>
      </c>
      <c r="G287" s="2">
        <v>6</v>
      </c>
      <c r="H287" s="2">
        <v>0</v>
      </c>
      <c r="I287" s="1">
        <v>0</v>
      </c>
      <c r="J287" s="3" t="s">
        <v>18</v>
      </c>
      <c r="K287" s="2" t="str">
        <f>J287*1379.99</f>
        <v>0</v>
      </c>
      <c r="L287" s="5"/>
    </row>
    <row r="288" spans="1:12" customHeight="1" ht="105" outlineLevel="5">
      <c r="A288" s="1"/>
      <c r="B288" s="1">
        <v>833157</v>
      </c>
      <c r="C288" s="1" t="s">
        <v>1085</v>
      </c>
      <c r="D288" s="1" t="s">
        <v>1086</v>
      </c>
      <c r="E288" s="2" t="s">
        <v>1087</v>
      </c>
      <c r="F288" s="2" t="s">
        <v>1088</v>
      </c>
      <c r="G288" s="2" t="s">
        <v>87</v>
      </c>
      <c r="H288" s="2">
        <v>0</v>
      </c>
      <c r="I288" s="1">
        <v>0</v>
      </c>
      <c r="J288" s="3" t="s">
        <v>18</v>
      </c>
      <c r="K288" s="2" t="str">
        <f>J288*2156.23</f>
        <v>0</v>
      </c>
      <c r="L288" s="5"/>
    </row>
    <row r="289" spans="1:12" customHeight="1" ht="105" outlineLevel="5">
      <c r="A289" s="1"/>
      <c r="B289" s="1">
        <v>833158</v>
      </c>
      <c r="C289" s="1" t="s">
        <v>1089</v>
      </c>
      <c r="D289" s="1" t="s">
        <v>1090</v>
      </c>
      <c r="E289" s="2" t="s">
        <v>1091</v>
      </c>
      <c r="F289" s="2" t="s">
        <v>1092</v>
      </c>
      <c r="G289" s="2">
        <v>2</v>
      </c>
      <c r="H289" s="2">
        <v>0</v>
      </c>
      <c r="I289" s="1">
        <v>0</v>
      </c>
      <c r="J289" s="3" t="s">
        <v>18</v>
      </c>
      <c r="K289" s="2" t="str">
        <f>J289*3436.44</f>
        <v>0</v>
      </c>
      <c r="L289" s="5"/>
    </row>
    <row r="290" spans="1:12" customHeight="1" ht="105" outlineLevel="5">
      <c r="A290" s="1"/>
      <c r="B290" s="1">
        <v>833159</v>
      </c>
      <c r="C290" s="1" t="s">
        <v>1093</v>
      </c>
      <c r="D290" s="1" t="s">
        <v>1094</v>
      </c>
      <c r="E290" s="2" t="s">
        <v>1095</v>
      </c>
      <c r="F290" s="2" t="s">
        <v>1096</v>
      </c>
      <c r="G290" s="2" t="s">
        <v>48</v>
      </c>
      <c r="H290" s="2">
        <v>0</v>
      </c>
      <c r="I290" s="1">
        <v>0</v>
      </c>
      <c r="J290" s="3" t="s">
        <v>18</v>
      </c>
      <c r="K290" s="2" t="str">
        <f>J290*512.27</f>
        <v>0</v>
      </c>
      <c r="L290" s="5"/>
    </row>
    <row r="291" spans="1:12" customHeight="1" ht="105" outlineLevel="5">
      <c r="A291" s="1"/>
      <c r="B291" s="1">
        <v>833160</v>
      </c>
      <c r="C291" s="1" t="s">
        <v>1097</v>
      </c>
      <c r="D291" s="1" t="s">
        <v>1098</v>
      </c>
      <c r="E291" s="2" t="s">
        <v>1099</v>
      </c>
      <c r="F291" s="2" t="s">
        <v>1100</v>
      </c>
      <c r="G291" s="2" t="s">
        <v>87</v>
      </c>
      <c r="H291" s="2">
        <v>0</v>
      </c>
      <c r="I291" s="1">
        <v>0</v>
      </c>
      <c r="J291" s="3" t="s">
        <v>18</v>
      </c>
      <c r="K291" s="2" t="str">
        <f>J291*744.88</f>
        <v>0</v>
      </c>
      <c r="L291" s="5"/>
    </row>
    <row r="292" spans="1:12" customHeight="1" ht="105" outlineLevel="5">
      <c r="A292" s="1"/>
      <c r="B292" s="1">
        <v>833161</v>
      </c>
      <c r="C292" s="1" t="s">
        <v>1101</v>
      </c>
      <c r="D292" s="1" t="s">
        <v>1102</v>
      </c>
      <c r="E292" s="2" t="s">
        <v>1103</v>
      </c>
      <c r="F292" s="2" t="s">
        <v>1104</v>
      </c>
      <c r="G292" s="2" t="s">
        <v>48</v>
      </c>
      <c r="H292" s="2">
        <v>0</v>
      </c>
      <c r="I292" s="1">
        <v>0</v>
      </c>
      <c r="J292" s="3" t="s">
        <v>18</v>
      </c>
      <c r="K292" s="2" t="str">
        <f>J292*1218.99</f>
        <v>0</v>
      </c>
      <c r="L292" s="5"/>
    </row>
    <row r="293" spans="1:12" customHeight="1" ht="105" outlineLevel="5">
      <c r="A293" s="1"/>
      <c r="B293" s="1">
        <v>833162</v>
      </c>
      <c r="C293" s="1" t="s">
        <v>1105</v>
      </c>
      <c r="D293" s="1" t="s">
        <v>1106</v>
      </c>
      <c r="E293" s="2" t="s">
        <v>1107</v>
      </c>
      <c r="F293" s="2" t="s">
        <v>1108</v>
      </c>
      <c r="G293" s="2">
        <v>1</v>
      </c>
      <c r="H293" s="2">
        <v>0</v>
      </c>
      <c r="I293" s="1">
        <v>0</v>
      </c>
      <c r="J293" s="3" t="s">
        <v>18</v>
      </c>
      <c r="K293" s="2" t="str">
        <f>J293*506.49</f>
        <v>0</v>
      </c>
      <c r="L293" s="5"/>
    </row>
    <row r="294" spans="1:12" customHeight="1" ht="105" outlineLevel="5">
      <c r="A294" s="1"/>
      <c r="B294" s="1">
        <v>833163</v>
      </c>
      <c r="C294" s="1" t="s">
        <v>1109</v>
      </c>
      <c r="D294" s="1" t="s">
        <v>1110</v>
      </c>
      <c r="E294" s="2" t="s">
        <v>1111</v>
      </c>
      <c r="F294" s="2" t="s">
        <v>1112</v>
      </c>
      <c r="G294" s="2" t="s">
        <v>48</v>
      </c>
      <c r="H294" s="2">
        <v>0</v>
      </c>
      <c r="I294" s="1">
        <v>0</v>
      </c>
      <c r="J294" s="3" t="s">
        <v>18</v>
      </c>
      <c r="K294" s="2" t="str">
        <f>J294*827.01</f>
        <v>0</v>
      </c>
      <c r="L294" s="5"/>
    </row>
    <row r="295" spans="1:12" customHeight="1" ht="105" outlineLevel="5">
      <c r="A295" s="1"/>
      <c r="B295" s="1">
        <v>833164</v>
      </c>
      <c r="C295" s="1" t="s">
        <v>1113</v>
      </c>
      <c r="D295" s="1" t="s">
        <v>1114</v>
      </c>
      <c r="E295" s="2" t="s">
        <v>1115</v>
      </c>
      <c r="F295" s="2" t="s">
        <v>1116</v>
      </c>
      <c r="G295" s="2" t="s">
        <v>87</v>
      </c>
      <c r="H295" s="2">
        <v>0</v>
      </c>
      <c r="I295" s="1">
        <v>0</v>
      </c>
      <c r="J295" s="3" t="s">
        <v>18</v>
      </c>
      <c r="K295" s="2" t="str">
        <f>J295*524.60</f>
        <v>0</v>
      </c>
      <c r="L295" s="5"/>
    </row>
    <row r="296" spans="1:12" customHeight="1" ht="105" outlineLevel="5">
      <c r="A296" s="1"/>
      <c r="B296" s="1">
        <v>833165</v>
      </c>
      <c r="C296" s="1" t="s">
        <v>1117</v>
      </c>
      <c r="D296" s="1" t="s">
        <v>1118</v>
      </c>
      <c r="E296" s="2" t="s">
        <v>1119</v>
      </c>
      <c r="F296" s="2" t="s">
        <v>1120</v>
      </c>
      <c r="G296" s="2" t="s">
        <v>23</v>
      </c>
      <c r="H296" s="2">
        <v>0</v>
      </c>
      <c r="I296" s="1">
        <v>0</v>
      </c>
      <c r="J296" s="3" t="s">
        <v>18</v>
      </c>
      <c r="K296" s="2" t="str">
        <f>J296*791.62</f>
        <v>0</v>
      </c>
      <c r="L296" s="5"/>
    </row>
    <row r="297" spans="1:12" customHeight="1" ht="105" outlineLevel="5">
      <c r="A297" s="1"/>
      <c r="B297" s="1">
        <v>833166</v>
      </c>
      <c r="C297" s="1" t="s">
        <v>1121</v>
      </c>
      <c r="D297" s="1" t="s">
        <v>1122</v>
      </c>
      <c r="E297" s="2" t="s">
        <v>1123</v>
      </c>
      <c r="F297" s="2" t="s">
        <v>1124</v>
      </c>
      <c r="G297" s="2">
        <v>8</v>
      </c>
      <c r="H297" s="2">
        <v>0</v>
      </c>
      <c r="I297" s="1">
        <v>0</v>
      </c>
      <c r="J297" s="3" t="s">
        <v>18</v>
      </c>
      <c r="K297" s="2" t="str">
        <f>J297*580.06</f>
        <v>0</v>
      </c>
      <c r="L297" s="5"/>
    </row>
    <row r="298" spans="1:12" customHeight="1" ht="105" outlineLevel="5">
      <c r="A298" s="1"/>
      <c r="B298" s="1">
        <v>833167</v>
      </c>
      <c r="C298" s="1" t="s">
        <v>1125</v>
      </c>
      <c r="D298" s="1" t="s">
        <v>1126</v>
      </c>
      <c r="E298" s="2" t="s">
        <v>1127</v>
      </c>
      <c r="F298" s="2" t="s">
        <v>1128</v>
      </c>
      <c r="G298" s="2" t="s">
        <v>48</v>
      </c>
      <c r="H298" s="2">
        <v>0</v>
      </c>
      <c r="I298" s="1">
        <v>0</v>
      </c>
      <c r="J298" s="3" t="s">
        <v>18</v>
      </c>
      <c r="K298" s="2" t="str">
        <f>J298*1063.40</f>
        <v>0</v>
      </c>
      <c r="L298" s="5"/>
    </row>
    <row r="299" spans="1:12" customHeight="1" ht="105" outlineLevel="5">
      <c r="A299" s="1"/>
      <c r="B299" s="1">
        <v>833170</v>
      </c>
      <c r="C299" s="1" t="s">
        <v>1129</v>
      </c>
      <c r="D299" s="1" t="s">
        <v>1130</v>
      </c>
      <c r="E299" s="2" t="s">
        <v>1131</v>
      </c>
      <c r="F299" s="2" t="s">
        <v>1132</v>
      </c>
      <c r="G299" s="2">
        <v>-4</v>
      </c>
      <c r="H299" s="2">
        <v>0</v>
      </c>
      <c r="I299" s="1">
        <v>0</v>
      </c>
      <c r="J299" s="3" t="s">
        <v>18</v>
      </c>
      <c r="K299" s="2" t="str">
        <f>J299*321.99</f>
        <v>0</v>
      </c>
      <c r="L299" s="5"/>
    </row>
    <row r="300" spans="1:12" customHeight="1" ht="105" outlineLevel="5">
      <c r="A300" s="1"/>
      <c r="B300" s="1">
        <v>833171</v>
      </c>
      <c r="C300" s="1" t="s">
        <v>1133</v>
      </c>
      <c r="D300" s="1" t="s">
        <v>1134</v>
      </c>
      <c r="E300" s="2" t="s">
        <v>1135</v>
      </c>
      <c r="F300" s="2" t="s">
        <v>1136</v>
      </c>
      <c r="G300" s="2">
        <v>0</v>
      </c>
      <c r="H300" s="2">
        <v>0</v>
      </c>
      <c r="I300" s="1">
        <v>0</v>
      </c>
      <c r="J300" s="3" t="s">
        <v>18</v>
      </c>
      <c r="K300" s="2" t="str">
        <f>J300*531.26</f>
        <v>0</v>
      </c>
      <c r="L300" s="5"/>
    </row>
    <row r="301" spans="1:12" customHeight="1" ht="105" outlineLevel="5">
      <c r="A301" s="1"/>
      <c r="B301" s="1">
        <v>833172</v>
      </c>
      <c r="C301" s="1" t="s">
        <v>1137</v>
      </c>
      <c r="D301" s="1" t="s">
        <v>1138</v>
      </c>
      <c r="E301" s="2" t="s">
        <v>1139</v>
      </c>
      <c r="F301" s="2" t="s">
        <v>1140</v>
      </c>
      <c r="G301" s="2">
        <v>7</v>
      </c>
      <c r="H301" s="2">
        <v>0</v>
      </c>
      <c r="I301" s="1">
        <v>0</v>
      </c>
      <c r="J301" s="3" t="s">
        <v>18</v>
      </c>
      <c r="K301" s="2" t="str">
        <f>J301*807.61</f>
        <v>0</v>
      </c>
      <c r="L301" s="5"/>
    </row>
    <row r="302" spans="1:12" customHeight="1" ht="105" outlineLevel="5">
      <c r="A302" s="1"/>
      <c r="B302" s="1">
        <v>833173</v>
      </c>
      <c r="C302" s="1" t="s">
        <v>1141</v>
      </c>
      <c r="D302" s="1" t="s">
        <v>1142</v>
      </c>
      <c r="E302" s="2" t="s">
        <v>1143</v>
      </c>
      <c r="F302" s="2" t="s">
        <v>1144</v>
      </c>
      <c r="G302" s="2">
        <v>4</v>
      </c>
      <c r="H302" s="2">
        <v>0</v>
      </c>
      <c r="I302" s="1">
        <v>0</v>
      </c>
      <c r="J302" s="3" t="s">
        <v>18</v>
      </c>
      <c r="K302" s="2" t="str">
        <f>J302*1120.61</f>
        <v>0</v>
      </c>
      <c r="L302" s="5"/>
    </row>
    <row r="303" spans="1:12" customHeight="1" ht="105" outlineLevel="5">
      <c r="A303" s="1"/>
      <c r="B303" s="1">
        <v>833174</v>
      </c>
      <c r="C303" s="1" t="s">
        <v>1145</v>
      </c>
      <c r="D303" s="1" t="s">
        <v>1146</v>
      </c>
      <c r="E303" s="2" t="s">
        <v>1147</v>
      </c>
      <c r="F303" s="2" t="s">
        <v>1148</v>
      </c>
      <c r="G303" s="2" t="s">
        <v>23</v>
      </c>
      <c r="H303" s="2">
        <v>0</v>
      </c>
      <c r="I303" s="1">
        <v>0</v>
      </c>
      <c r="J303" s="3" t="s">
        <v>18</v>
      </c>
      <c r="K303" s="2" t="str">
        <f>J303*428.37</f>
        <v>0</v>
      </c>
      <c r="L303" s="5"/>
    </row>
    <row r="304" spans="1:12" customHeight="1" ht="105" outlineLevel="5">
      <c r="A304" s="1"/>
      <c r="B304" s="1">
        <v>833175</v>
      </c>
      <c r="C304" s="1" t="s">
        <v>1149</v>
      </c>
      <c r="D304" s="1" t="s">
        <v>1150</v>
      </c>
      <c r="E304" s="2" t="s">
        <v>1151</v>
      </c>
      <c r="F304" s="2" t="s">
        <v>1152</v>
      </c>
      <c r="G304" s="2" t="s">
        <v>17</v>
      </c>
      <c r="H304" s="2">
        <v>0</v>
      </c>
      <c r="I304" s="1">
        <v>0</v>
      </c>
      <c r="J304" s="3" t="s">
        <v>18</v>
      </c>
      <c r="K304" s="2" t="str">
        <f>J304*595.12</f>
        <v>0</v>
      </c>
      <c r="L304" s="5"/>
    </row>
    <row r="305" spans="1:12" customHeight="1" ht="105" outlineLevel="5">
      <c r="A305" s="1"/>
      <c r="B305" s="1">
        <v>833176</v>
      </c>
      <c r="C305" s="1" t="s">
        <v>1153</v>
      </c>
      <c r="D305" s="1" t="s">
        <v>1154</v>
      </c>
      <c r="E305" s="2" t="s">
        <v>1155</v>
      </c>
      <c r="F305" s="2" t="s">
        <v>1156</v>
      </c>
      <c r="G305" s="2">
        <v>1</v>
      </c>
      <c r="H305" s="2">
        <v>0</v>
      </c>
      <c r="I305" s="1">
        <v>0</v>
      </c>
      <c r="J305" s="3" t="s">
        <v>18</v>
      </c>
      <c r="K305" s="2" t="str">
        <f>J305*400.47</f>
        <v>0</v>
      </c>
      <c r="L305" s="5"/>
    </row>
    <row r="306" spans="1:12" customHeight="1" ht="105" outlineLevel="5">
      <c r="A306" s="1"/>
      <c r="B306" s="1">
        <v>833177</v>
      </c>
      <c r="C306" s="1" t="s">
        <v>1157</v>
      </c>
      <c r="D306" s="1" t="s">
        <v>1158</v>
      </c>
      <c r="E306" s="2" t="s">
        <v>1159</v>
      </c>
      <c r="F306" s="2" t="s">
        <v>1160</v>
      </c>
      <c r="G306" s="2">
        <v>9</v>
      </c>
      <c r="H306" s="2">
        <v>0</v>
      </c>
      <c r="I306" s="1">
        <v>0</v>
      </c>
      <c r="J306" s="3" t="s">
        <v>18</v>
      </c>
      <c r="K306" s="2" t="str">
        <f>J306*554.70</f>
        <v>0</v>
      </c>
      <c r="L306" s="5"/>
    </row>
    <row r="307" spans="1:12" customHeight="1" ht="105" outlineLevel="5">
      <c r="A307" s="1"/>
      <c r="B307" s="1">
        <v>833178</v>
      </c>
      <c r="C307" s="1" t="s">
        <v>1161</v>
      </c>
      <c r="D307" s="1" t="s">
        <v>1162</v>
      </c>
      <c r="E307" s="2" t="s">
        <v>1163</v>
      </c>
      <c r="F307" s="2" t="s">
        <v>1164</v>
      </c>
      <c r="G307" s="2" t="s">
        <v>23</v>
      </c>
      <c r="H307" s="2">
        <v>0</v>
      </c>
      <c r="I307" s="1">
        <v>0</v>
      </c>
      <c r="J307" s="3" t="s">
        <v>18</v>
      </c>
      <c r="K307" s="2" t="str">
        <f>J307*492.47</f>
        <v>0</v>
      </c>
      <c r="L307" s="5"/>
    </row>
    <row r="308" spans="1:12" customHeight="1" ht="105" outlineLevel="5">
      <c r="A308" s="1"/>
      <c r="B308" s="1">
        <v>833179</v>
      </c>
      <c r="C308" s="1" t="s">
        <v>1165</v>
      </c>
      <c r="D308" s="1" t="s">
        <v>1166</v>
      </c>
      <c r="E308" s="2" t="s">
        <v>1167</v>
      </c>
      <c r="F308" s="2" t="s">
        <v>1168</v>
      </c>
      <c r="G308" s="2" t="s">
        <v>48</v>
      </c>
      <c r="H308" s="2">
        <v>0</v>
      </c>
      <c r="I308" s="1">
        <v>0</v>
      </c>
      <c r="J308" s="3" t="s">
        <v>18</v>
      </c>
      <c r="K308" s="2" t="str">
        <f>J308*679.17</f>
        <v>0</v>
      </c>
      <c r="L308" s="5"/>
    </row>
    <row r="309" spans="1:12" customHeight="1" ht="105" outlineLevel="5">
      <c r="A309" s="1"/>
      <c r="B309" s="1">
        <v>833180</v>
      </c>
      <c r="C309" s="1" t="s">
        <v>1169</v>
      </c>
      <c r="D309" s="1" t="s">
        <v>1170</v>
      </c>
      <c r="E309" s="2" t="s">
        <v>1171</v>
      </c>
      <c r="F309" s="2" t="s">
        <v>1172</v>
      </c>
      <c r="G309" s="2" t="s">
        <v>23</v>
      </c>
      <c r="H309" s="2">
        <v>0</v>
      </c>
      <c r="I309" s="1">
        <v>0</v>
      </c>
      <c r="J309" s="3" t="s">
        <v>18</v>
      </c>
      <c r="K309" s="2" t="str">
        <f>J309*374.36</f>
        <v>0</v>
      </c>
      <c r="L309" s="5"/>
    </row>
    <row r="310" spans="1:12" customHeight="1" ht="105" outlineLevel="5">
      <c r="A310" s="1"/>
      <c r="B310" s="1">
        <v>833181</v>
      </c>
      <c r="C310" s="1" t="s">
        <v>1173</v>
      </c>
      <c r="D310" s="1" t="s">
        <v>1174</v>
      </c>
      <c r="E310" s="2" t="s">
        <v>1175</v>
      </c>
      <c r="F310" s="2" t="s">
        <v>1176</v>
      </c>
      <c r="G310" s="2" t="s">
        <v>23</v>
      </c>
      <c r="H310" s="2">
        <v>0</v>
      </c>
      <c r="I310" s="1">
        <v>0</v>
      </c>
      <c r="J310" s="3" t="s">
        <v>18</v>
      </c>
      <c r="K310" s="2" t="str">
        <f>J310*526.06</f>
        <v>0</v>
      </c>
      <c r="L310" s="5"/>
    </row>
    <row r="311" spans="1:12" customHeight="1" ht="105" outlineLevel="5">
      <c r="A311" s="1"/>
      <c r="B311" s="1">
        <v>837290</v>
      </c>
      <c r="C311" s="1" t="s">
        <v>1177</v>
      </c>
      <c r="D311" s="1" t="s">
        <v>1178</v>
      </c>
      <c r="E311" s="2" t="s">
        <v>1179</v>
      </c>
      <c r="F311" s="2" t="s">
        <v>622</v>
      </c>
      <c r="G311" s="2" t="s">
        <v>23</v>
      </c>
      <c r="H311" s="2">
        <v>0</v>
      </c>
      <c r="I311" s="1">
        <v>0</v>
      </c>
      <c r="J311" s="3" t="s">
        <v>18</v>
      </c>
      <c r="K311" s="2" t="str">
        <f>J311*565.00</f>
        <v>0</v>
      </c>
      <c r="L311" s="5"/>
    </row>
    <row r="312" spans="1:12" customHeight="1" ht="105" outlineLevel="5">
      <c r="A312" s="1"/>
      <c r="B312" s="1">
        <v>837294</v>
      </c>
      <c r="C312" s="1" t="s">
        <v>1180</v>
      </c>
      <c r="D312" s="1" t="s">
        <v>1181</v>
      </c>
      <c r="E312" s="2" t="s">
        <v>1182</v>
      </c>
      <c r="F312" s="2" t="s">
        <v>1183</v>
      </c>
      <c r="G312" s="2" t="s">
        <v>48</v>
      </c>
      <c r="H312" s="2">
        <v>0</v>
      </c>
      <c r="I312" s="1">
        <v>0</v>
      </c>
      <c r="J312" s="3" t="s">
        <v>18</v>
      </c>
      <c r="K312" s="2" t="str">
        <f>J312*966.82</f>
        <v>0</v>
      </c>
      <c r="L312" s="5"/>
    </row>
    <row r="313" spans="1:12" customHeight="1" ht="105" outlineLevel="5">
      <c r="A313" s="1"/>
      <c r="B313" s="1">
        <v>859024</v>
      </c>
      <c r="C313" s="1" t="s">
        <v>1184</v>
      </c>
      <c r="D313" s="1" t="s">
        <v>1185</v>
      </c>
      <c r="E313" s="2" t="s">
        <v>1186</v>
      </c>
      <c r="F313" s="2" t="s">
        <v>1187</v>
      </c>
      <c r="G313" s="2">
        <v>0</v>
      </c>
      <c r="H313" s="2">
        <v>0</v>
      </c>
      <c r="I313" s="1">
        <v>0</v>
      </c>
      <c r="J313" s="3" t="s">
        <v>18</v>
      </c>
      <c r="K313" s="2" t="str">
        <f>J313*1609.99</f>
        <v>0</v>
      </c>
      <c r="L313" s="5"/>
    </row>
    <row r="314" spans="1:12" outlineLevel="3">
      <c r="A314" s="9" t="s">
        <v>1188</v>
      </c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5"/>
    </row>
    <row r="315" spans="1:12" customHeight="1" ht="105" outlineLevel="5">
      <c r="A315" s="1"/>
      <c r="B315" s="1">
        <v>859025</v>
      </c>
      <c r="C315" s="1" t="s">
        <v>1189</v>
      </c>
      <c r="D315" s="1" t="s">
        <v>1190</v>
      </c>
      <c r="E315" s="2" t="s">
        <v>1191</v>
      </c>
      <c r="F315" s="2" t="s">
        <v>1192</v>
      </c>
      <c r="G315" s="2" t="s">
        <v>87</v>
      </c>
      <c r="H315" s="2">
        <v>0</v>
      </c>
      <c r="I315" s="1">
        <v>0</v>
      </c>
      <c r="J315" s="3" t="s">
        <v>18</v>
      </c>
      <c r="K315" s="2" t="str">
        <f>J315*403.72</f>
        <v>0</v>
      </c>
      <c r="L315" s="5"/>
    </row>
    <row r="316" spans="1:12" customHeight="1" ht="105" outlineLevel="5">
      <c r="A316" s="1"/>
      <c r="B316" s="1">
        <v>859028</v>
      </c>
      <c r="C316" s="1" t="s">
        <v>1193</v>
      </c>
      <c r="D316" s="1" t="s">
        <v>1194</v>
      </c>
      <c r="E316" s="2" t="s">
        <v>1195</v>
      </c>
      <c r="F316" s="2" t="s">
        <v>1196</v>
      </c>
      <c r="G316" s="2">
        <v>0</v>
      </c>
      <c r="H316" s="2">
        <v>0</v>
      </c>
      <c r="I316" s="1">
        <v>0</v>
      </c>
      <c r="J316" s="3" t="s">
        <v>18</v>
      </c>
      <c r="K316" s="2" t="str">
        <f>J316*423.29</f>
        <v>0</v>
      </c>
      <c r="L316" s="5"/>
    </row>
    <row r="317" spans="1:12" customHeight="1" ht="105" outlineLevel="5">
      <c r="A317" s="1"/>
      <c r="B317" s="1">
        <v>859031</v>
      </c>
      <c r="C317" s="1" t="s">
        <v>1197</v>
      </c>
      <c r="D317" s="1" t="s">
        <v>1198</v>
      </c>
      <c r="E317" s="2" t="s">
        <v>1199</v>
      </c>
      <c r="F317" s="2" t="s">
        <v>1200</v>
      </c>
      <c r="G317" s="2" t="s">
        <v>48</v>
      </c>
      <c r="H317" s="2">
        <v>0</v>
      </c>
      <c r="I317" s="1">
        <v>0</v>
      </c>
      <c r="J317" s="3" t="s">
        <v>18</v>
      </c>
      <c r="K317" s="2" t="str">
        <f>J317*406.17</f>
        <v>0</v>
      </c>
      <c r="L317" s="5"/>
    </row>
    <row r="318" spans="1:12" customHeight="1" ht="105" outlineLevel="5">
      <c r="A318" s="1"/>
      <c r="B318" s="1">
        <v>859034</v>
      </c>
      <c r="C318" s="1" t="s">
        <v>1201</v>
      </c>
      <c r="D318" s="1" t="s">
        <v>1202</v>
      </c>
      <c r="E318" s="2" t="s">
        <v>1203</v>
      </c>
      <c r="F318" s="2" t="s">
        <v>1204</v>
      </c>
      <c r="G318" s="2" t="s">
        <v>23</v>
      </c>
      <c r="H318" s="2">
        <v>0</v>
      </c>
      <c r="I318" s="1">
        <v>0</v>
      </c>
      <c r="J318" s="3" t="s">
        <v>18</v>
      </c>
      <c r="K318" s="2" t="str">
        <f>J318*423.68</f>
        <v>0</v>
      </c>
      <c r="L318" s="5"/>
    </row>
    <row r="319" spans="1:12" customHeight="1" ht="105" outlineLevel="5">
      <c r="A319" s="1"/>
      <c r="B319" s="1">
        <v>873437</v>
      </c>
      <c r="C319" s="1" t="s">
        <v>1205</v>
      </c>
      <c r="D319" s="1" t="s">
        <v>1206</v>
      </c>
      <c r="E319" s="2" t="s">
        <v>1207</v>
      </c>
      <c r="F319" s="2" t="s">
        <v>1208</v>
      </c>
      <c r="G319" s="2" t="s">
        <v>23</v>
      </c>
      <c r="H319" s="2">
        <v>0</v>
      </c>
      <c r="I319" s="1">
        <v>0</v>
      </c>
      <c r="J319" s="3" t="s">
        <v>18</v>
      </c>
      <c r="K319" s="2" t="str">
        <f>J319*564.77</f>
        <v>0</v>
      </c>
      <c r="L319" s="5"/>
    </row>
    <row r="320" spans="1:12" customHeight="1" ht="105" outlineLevel="5">
      <c r="A320" s="1"/>
      <c r="B320" s="1">
        <v>873438</v>
      </c>
      <c r="C320" s="1" t="s">
        <v>1209</v>
      </c>
      <c r="D320" s="1" t="s">
        <v>1210</v>
      </c>
      <c r="E320" s="2" t="s">
        <v>1211</v>
      </c>
      <c r="F320" s="2" t="s">
        <v>1212</v>
      </c>
      <c r="G320" s="2" t="s">
        <v>23</v>
      </c>
      <c r="H320" s="2">
        <v>0</v>
      </c>
      <c r="I320" s="1">
        <v>0</v>
      </c>
      <c r="J320" s="3" t="s">
        <v>18</v>
      </c>
      <c r="K320" s="2" t="str">
        <f>J320*807.55</f>
        <v>0</v>
      </c>
      <c r="L320" s="5"/>
    </row>
    <row r="321" spans="1:12" outlineLevel="2">
      <c r="A321" s="8" t="s">
        <v>1213</v>
      </c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5"/>
    </row>
    <row r="322" spans="1:12" outlineLevel="3">
      <c r="A322" s="9" t="s">
        <v>1214</v>
      </c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5"/>
    </row>
    <row r="323" spans="1:12" customHeight="1" ht="105" outlineLevel="5">
      <c r="A323" s="1"/>
      <c r="B323" s="1">
        <v>882403</v>
      </c>
      <c r="C323" s="1" t="s">
        <v>1215</v>
      </c>
      <c r="D323" s="1" t="s">
        <v>1216</v>
      </c>
      <c r="E323" s="2" t="s">
        <v>1217</v>
      </c>
      <c r="F323" s="2" t="s">
        <v>1218</v>
      </c>
      <c r="G323" s="2" t="s">
        <v>17</v>
      </c>
      <c r="H323" s="2">
        <v>0</v>
      </c>
      <c r="I323" s="1">
        <v>0</v>
      </c>
      <c r="J323" s="3" t="s">
        <v>18</v>
      </c>
      <c r="K323" s="2" t="str">
        <f>J323*361.25</f>
        <v>0</v>
      </c>
      <c r="L323" s="5"/>
    </row>
    <row r="324" spans="1:12" customHeight="1" ht="105" outlineLevel="5">
      <c r="A324" s="1"/>
      <c r="B324" s="1">
        <v>882404</v>
      </c>
      <c r="C324" s="1" t="s">
        <v>1219</v>
      </c>
      <c r="D324" s="1" t="s">
        <v>1220</v>
      </c>
      <c r="E324" s="2" t="s">
        <v>1221</v>
      </c>
      <c r="F324" s="2" t="s">
        <v>1222</v>
      </c>
      <c r="G324" s="2" t="s">
        <v>17</v>
      </c>
      <c r="H324" s="2">
        <v>0</v>
      </c>
      <c r="I324" s="1">
        <v>0</v>
      </c>
      <c r="J324" s="3" t="s">
        <v>18</v>
      </c>
      <c r="K324" s="2" t="str">
        <f>J324*467.83</f>
        <v>0</v>
      </c>
      <c r="L324" s="5"/>
    </row>
    <row r="325" spans="1:12" customHeight="1" ht="105" outlineLevel="5">
      <c r="A325" s="1"/>
      <c r="B325" s="1">
        <v>882405</v>
      </c>
      <c r="C325" s="1" t="s">
        <v>1223</v>
      </c>
      <c r="D325" s="1" t="s">
        <v>1224</v>
      </c>
      <c r="E325" s="2" t="s">
        <v>1225</v>
      </c>
      <c r="F325" s="2" t="s">
        <v>1226</v>
      </c>
      <c r="G325" s="2" t="s">
        <v>23</v>
      </c>
      <c r="H325" s="2">
        <v>0</v>
      </c>
      <c r="I325" s="1">
        <v>0</v>
      </c>
      <c r="J325" s="3" t="s">
        <v>18</v>
      </c>
      <c r="K325" s="2" t="str">
        <f>J325*908.43</f>
        <v>0</v>
      </c>
      <c r="L325" s="5"/>
    </row>
    <row r="326" spans="1:12" customHeight="1" ht="105" outlineLevel="5">
      <c r="A326" s="1"/>
      <c r="B326" s="1">
        <v>882406</v>
      </c>
      <c r="C326" s="1" t="s">
        <v>1227</v>
      </c>
      <c r="D326" s="1" t="s">
        <v>1228</v>
      </c>
      <c r="E326" s="2" t="s">
        <v>1229</v>
      </c>
      <c r="F326" s="2" t="s">
        <v>1230</v>
      </c>
      <c r="G326" s="2" t="s">
        <v>48</v>
      </c>
      <c r="H326" s="2">
        <v>0</v>
      </c>
      <c r="I326" s="1">
        <v>0</v>
      </c>
      <c r="J326" s="3" t="s">
        <v>18</v>
      </c>
      <c r="K326" s="2" t="str">
        <f>J326*1415.03</f>
        <v>0</v>
      </c>
      <c r="L326" s="5"/>
    </row>
    <row r="327" spans="1:12" customHeight="1" ht="105" outlineLevel="5">
      <c r="A327" s="1"/>
      <c r="B327" s="1">
        <v>882407</v>
      </c>
      <c r="C327" s="1" t="s">
        <v>1231</v>
      </c>
      <c r="D327" s="1" t="s">
        <v>1232</v>
      </c>
      <c r="E327" s="2" t="s">
        <v>1233</v>
      </c>
      <c r="F327" s="2" t="s">
        <v>1234</v>
      </c>
      <c r="G327" s="2">
        <v>8</v>
      </c>
      <c r="H327" s="2">
        <v>0</v>
      </c>
      <c r="I327" s="1">
        <v>0</v>
      </c>
      <c r="J327" s="3" t="s">
        <v>18</v>
      </c>
      <c r="K327" s="2" t="str">
        <f>J327*2373.07</f>
        <v>0</v>
      </c>
      <c r="L327" s="5"/>
    </row>
    <row r="328" spans="1:12" customHeight="1" ht="105" outlineLevel="5">
      <c r="A328" s="1"/>
      <c r="B328" s="1">
        <v>882408</v>
      </c>
      <c r="C328" s="1" t="s">
        <v>1235</v>
      </c>
      <c r="D328" s="1" t="s">
        <v>1236</v>
      </c>
      <c r="E328" s="2" t="s">
        <v>1237</v>
      </c>
      <c r="F328" s="2" t="s">
        <v>1238</v>
      </c>
      <c r="G328" s="2">
        <v>8</v>
      </c>
      <c r="H328" s="2">
        <v>0</v>
      </c>
      <c r="I328" s="1">
        <v>0</v>
      </c>
      <c r="J328" s="3" t="s">
        <v>18</v>
      </c>
      <c r="K328" s="2" t="str">
        <f>J328*3650.51</f>
        <v>0</v>
      </c>
      <c r="L328" s="5"/>
    </row>
    <row r="329" spans="1:12" customHeight="1" ht="105" outlineLevel="5">
      <c r="A329" s="1"/>
      <c r="B329" s="1">
        <v>882409</v>
      </c>
      <c r="C329" s="1" t="s">
        <v>1239</v>
      </c>
      <c r="D329" s="1" t="s">
        <v>1240</v>
      </c>
      <c r="E329" s="2" t="s">
        <v>1241</v>
      </c>
      <c r="F329" s="2" t="s">
        <v>1242</v>
      </c>
      <c r="G329" s="2" t="s">
        <v>17</v>
      </c>
      <c r="H329" s="2">
        <v>0</v>
      </c>
      <c r="I329" s="1">
        <v>0</v>
      </c>
      <c r="J329" s="3" t="s">
        <v>18</v>
      </c>
      <c r="K329" s="2" t="str">
        <f>J329*356.41</f>
        <v>0</v>
      </c>
      <c r="L329" s="5"/>
    </row>
    <row r="330" spans="1:12" customHeight="1" ht="105" outlineLevel="5">
      <c r="A330" s="1"/>
      <c r="B330" s="1">
        <v>882410</v>
      </c>
      <c r="C330" s="1" t="s">
        <v>1243</v>
      </c>
      <c r="D330" s="1" t="s">
        <v>1244</v>
      </c>
      <c r="E330" s="2" t="s">
        <v>1245</v>
      </c>
      <c r="F330" s="2" t="s">
        <v>1246</v>
      </c>
      <c r="G330" s="2" t="s">
        <v>87</v>
      </c>
      <c r="H330" s="2">
        <v>0</v>
      </c>
      <c r="I330" s="1">
        <v>0</v>
      </c>
      <c r="J330" s="3" t="s">
        <v>18</v>
      </c>
      <c r="K330" s="2" t="str">
        <f>J330*462.67</f>
        <v>0</v>
      </c>
      <c r="L330" s="5"/>
    </row>
    <row r="331" spans="1:12" customHeight="1" ht="105" outlineLevel="5">
      <c r="A331" s="1"/>
      <c r="B331" s="1">
        <v>882411</v>
      </c>
      <c r="C331" s="1" t="s">
        <v>1247</v>
      </c>
      <c r="D331" s="1" t="s">
        <v>1248</v>
      </c>
      <c r="E331" s="2" t="s">
        <v>1249</v>
      </c>
      <c r="F331" s="2" t="s">
        <v>1226</v>
      </c>
      <c r="G331" s="2" t="s">
        <v>23</v>
      </c>
      <c r="H331" s="2">
        <v>0</v>
      </c>
      <c r="I331" s="1">
        <v>0</v>
      </c>
      <c r="J331" s="3" t="s">
        <v>18</v>
      </c>
      <c r="K331" s="2" t="str">
        <f>J331*908.43</f>
        <v>0</v>
      </c>
      <c r="L331" s="5"/>
    </row>
    <row r="332" spans="1:12" customHeight="1" ht="105" outlineLevel="5">
      <c r="A332" s="1"/>
      <c r="B332" s="1">
        <v>882412</v>
      </c>
      <c r="C332" s="1" t="s">
        <v>1250</v>
      </c>
      <c r="D332" s="1" t="s">
        <v>1251</v>
      </c>
      <c r="E332" s="2" t="s">
        <v>1252</v>
      </c>
      <c r="F332" s="2" t="s">
        <v>1253</v>
      </c>
      <c r="G332" s="2">
        <v>0</v>
      </c>
      <c r="H332" s="2">
        <v>0</v>
      </c>
      <c r="I332" s="1">
        <v>0</v>
      </c>
      <c r="J332" s="3" t="s">
        <v>18</v>
      </c>
      <c r="K332" s="2" t="str">
        <f>J332*363.45</f>
        <v>0</v>
      </c>
      <c r="L332" s="5"/>
    </row>
    <row r="333" spans="1:12" customHeight="1" ht="105" outlineLevel="5">
      <c r="A333" s="1"/>
      <c r="B333" s="1">
        <v>882413</v>
      </c>
      <c r="C333" s="1" t="s">
        <v>1254</v>
      </c>
      <c r="D333" s="1" t="s">
        <v>1255</v>
      </c>
      <c r="E333" s="2" t="s">
        <v>1256</v>
      </c>
      <c r="F333" s="2" t="s">
        <v>1257</v>
      </c>
      <c r="G333" s="2" t="s">
        <v>87</v>
      </c>
      <c r="H333" s="2">
        <v>0</v>
      </c>
      <c r="I333" s="1">
        <v>0</v>
      </c>
      <c r="J333" s="3" t="s">
        <v>18</v>
      </c>
      <c r="K333" s="2" t="str">
        <f>J333*524.83</f>
        <v>0</v>
      </c>
      <c r="L333" s="5"/>
    </row>
    <row r="334" spans="1:12" customHeight="1" ht="105" outlineLevel="5">
      <c r="A334" s="1"/>
      <c r="B334" s="1">
        <v>882414</v>
      </c>
      <c r="C334" s="1" t="s">
        <v>1258</v>
      </c>
      <c r="D334" s="1" t="s">
        <v>1259</v>
      </c>
      <c r="E334" s="2" t="s">
        <v>1260</v>
      </c>
      <c r="F334" s="2" t="s">
        <v>1261</v>
      </c>
      <c r="G334" s="2" t="s">
        <v>48</v>
      </c>
      <c r="H334" s="2">
        <v>0</v>
      </c>
      <c r="I334" s="1">
        <v>0</v>
      </c>
      <c r="J334" s="3" t="s">
        <v>18</v>
      </c>
      <c r="K334" s="2" t="str">
        <f>J334*952.09</f>
        <v>0</v>
      </c>
      <c r="L334" s="5"/>
    </row>
    <row r="335" spans="1:12" customHeight="1" ht="105" outlineLevel="5">
      <c r="A335" s="1"/>
      <c r="B335" s="1">
        <v>882415</v>
      </c>
      <c r="C335" s="1" t="s">
        <v>1262</v>
      </c>
      <c r="D335" s="1" t="s">
        <v>1263</v>
      </c>
      <c r="E335" s="2" t="s">
        <v>1264</v>
      </c>
      <c r="F335" s="2" t="s">
        <v>1265</v>
      </c>
      <c r="G335" s="2" t="s">
        <v>48</v>
      </c>
      <c r="H335" s="2">
        <v>0</v>
      </c>
      <c r="I335" s="1">
        <v>0</v>
      </c>
      <c r="J335" s="3" t="s">
        <v>18</v>
      </c>
      <c r="K335" s="2" t="str">
        <f>J335*1619.45</f>
        <v>0</v>
      </c>
      <c r="L335" s="5"/>
    </row>
    <row r="336" spans="1:12" customHeight="1" ht="105" outlineLevel="5">
      <c r="A336" s="1"/>
      <c r="B336" s="1">
        <v>882416</v>
      </c>
      <c r="C336" s="1" t="s">
        <v>1266</v>
      </c>
      <c r="D336" s="1" t="s">
        <v>1267</v>
      </c>
      <c r="E336" s="2" t="s">
        <v>1268</v>
      </c>
      <c r="F336" s="2" t="s">
        <v>1269</v>
      </c>
      <c r="G336" s="2">
        <v>10</v>
      </c>
      <c r="H336" s="2">
        <v>0</v>
      </c>
      <c r="I336" s="1">
        <v>0</v>
      </c>
      <c r="J336" s="3" t="s">
        <v>18</v>
      </c>
      <c r="K336" s="2" t="str">
        <f>J336*2450.28</f>
        <v>0</v>
      </c>
      <c r="L336" s="5"/>
    </row>
    <row r="337" spans="1:12" customHeight="1" ht="105" outlineLevel="5">
      <c r="A337" s="1"/>
      <c r="B337" s="1">
        <v>882417</v>
      </c>
      <c r="C337" s="1" t="s">
        <v>1270</v>
      </c>
      <c r="D337" s="1" t="s">
        <v>1271</v>
      </c>
      <c r="E337" s="2" t="s">
        <v>1272</v>
      </c>
      <c r="F337" s="2" t="s">
        <v>1273</v>
      </c>
      <c r="G337" s="2" t="s">
        <v>17</v>
      </c>
      <c r="H337" s="2">
        <v>0</v>
      </c>
      <c r="I337" s="1">
        <v>0</v>
      </c>
      <c r="J337" s="3" t="s">
        <v>18</v>
      </c>
      <c r="K337" s="2" t="str">
        <f>J337*358.59</f>
        <v>0</v>
      </c>
      <c r="L337" s="5"/>
    </row>
    <row r="338" spans="1:12" customHeight="1" ht="105" outlineLevel="5">
      <c r="A338" s="1"/>
      <c r="B338" s="1">
        <v>882418</v>
      </c>
      <c r="C338" s="1" t="s">
        <v>1274</v>
      </c>
      <c r="D338" s="1" t="s">
        <v>1275</v>
      </c>
      <c r="E338" s="2" t="s">
        <v>1276</v>
      </c>
      <c r="F338" s="2" t="s">
        <v>1257</v>
      </c>
      <c r="G338" s="2" t="s">
        <v>17</v>
      </c>
      <c r="H338" s="2">
        <v>0</v>
      </c>
      <c r="I338" s="1">
        <v>0</v>
      </c>
      <c r="J338" s="3" t="s">
        <v>18</v>
      </c>
      <c r="K338" s="2" t="str">
        <f>J338*524.83</f>
        <v>0</v>
      </c>
      <c r="L338" s="5"/>
    </row>
    <row r="339" spans="1:12" customHeight="1" ht="105" outlineLevel="5">
      <c r="A339" s="1"/>
      <c r="B339" s="1">
        <v>882419</v>
      </c>
      <c r="C339" s="1" t="s">
        <v>1277</v>
      </c>
      <c r="D339" s="1" t="s">
        <v>1278</v>
      </c>
      <c r="E339" s="2" t="s">
        <v>1279</v>
      </c>
      <c r="F339" s="2" t="s">
        <v>1280</v>
      </c>
      <c r="G339" s="2" t="s">
        <v>23</v>
      </c>
      <c r="H339" s="2">
        <v>0</v>
      </c>
      <c r="I339" s="1">
        <v>0</v>
      </c>
      <c r="J339" s="3" t="s">
        <v>18</v>
      </c>
      <c r="K339" s="2" t="str">
        <f>J339*937.75</f>
        <v>0</v>
      </c>
      <c r="L339" s="5"/>
    </row>
    <row r="340" spans="1:12" customHeight="1" ht="105" outlineLevel="5">
      <c r="A340" s="1"/>
      <c r="B340" s="1">
        <v>882420</v>
      </c>
      <c r="C340" s="1" t="s">
        <v>1281</v>
      </c>
      <c r="D340" s="1" t="s">
        <v>1282</v>
      </c>
      <c r="E340" s="2" t="s">
        <v>1283</v>
      </c>
      <c r="F340" s="2" t="s">
        <v>1284</v>
      </c>
      <c r="G340" s="2" t="s">
        <v>87</v>
      </c>
      <c r="H340" s="2">
        <v>0</v>
      </c>
      <c r="I340" s="1">
        <v>0</v>
      </c>
      <c r="J340" s="3" t="s">
        <v>18</v>
      </c>
      <c r="K340" s="2" t="str">
        <f>J340*558.87</f>
        <v>0</v>
      </c>
      <c r="L340" s="5"/>
    </row>
    <row r="341" spans="1:12" customHeight="1" ht="105" outlineLevel="5">
      <c r="A341" s="1"/>
      <c r="B341" s="1">
        <v>882421</v>
      </c>
      <c r="C341" s="1" t="s">
        <v>1285</v>
      </c>
      <c r="D341" s="1" t="s">
        <v>1286</v>
      </c>
      <c r="E341" s="2" t="s">
        <v>1287</v>
      </c>
      <c r="F341" s="2" t="s">
        <v>1288</v>
      </c>
      <c r="G341" s="2" t="s">
        <v>23</v>
      </c>
      <c r="H341" s="2">
        <v>0</v>
      </c>
      <c r="I341" s="1">
        <v>0</v>
      </c>
      <c r="J341" s="3" t="s">
        <v>18</v>
      </c>
      <c r="K341" s="2" t="str">
        <f>J341*796.46</f>
        <v>0</v>
      </c>
      <c r="L341" s="5"/>
    </row>
    <row r="342" spans="1:12" customHeight="1" ht="105" outlineLevel="5">
      <c r="A342" s="1"/>
      <c r="B342" s="1">
        <v>882422</v>
      </c>
      <c r="C342" s="1" t="s">
        <v>1289</v>
      </c>
      <c r="D342" s="1" t="s">
        <v>1290</v>
      </c>
      <c r="E342" s="2" t="s">
        <v>1291</v>
      </c>
      <c r="F342" s="2" t="s">
        <v>1292</v>
      </c>
      <c r="G342" s="2">
        <v>10</v>
      </c>
      <c r="H342" s="2">
        <v>0</v>
      </c>
      <c r="I342" s="1">
        <v>0</v>
      </c>
      <c r="J342" s="3" t="s">
        <v>18</v>
      </c>
      <c r="K342" s="2" t="str">
        <f>J342*1282.57</f>
        <v>0</v>
      </c>
      <c r="L342" s="5"/>
    </row>
    <row r="343" spans="1:12" customHeight="1" ht="105" outlineLevel="5">
      <c r="A343" s="1"/>
      <c r="B343" s="1">
        <v>882423</v>
      </c>
      <c r="C343" s="1" t="s">
        <v>1293</v>
      </c>
      <c r="D343" s="1" t="s">
        <v>1294</v>
      </c>
      <c r="E343" s="2" t="s">
        <v>1295</v>
      </c>
      <c r="F343" s="2" t="s">
        <v>1296</v>
      </c>
      <c r="G343" s="2" t="s">
        <v>48</v>
      </c>
      <c r="H343" s="2">
        <v>0</v>
      </c>
      <c r="I343" s="1">
        <v>0</v>
      </c>
      <c r="J343" s="3" t="s">
        <v>18</v>
      </c>
      <c r="K343" s="2" t="str">
        <f>J343*1291.97</f>
        <v>0</v>
      </c>
      <c r="L343" s="5"/>
    </row>
    <row r="344" spans="1:12" customHeight="1" ht="105" outlineLevel="5">
      <c r="A344" s="1"/>
      <c r="B344" s="1">
        <v>882424</v>
      </c>
      <c r="C344" s="1" t="s">
        <v>1297</v>
      </c>
      <c r="D344" s="1" t="s">
        <v>1298</v>
      </c>
      <c r="E344" s="2" t="s">
        <v>1299</v>
      </c>
      <c r="F344" s="2" t="s">
        <v>1300</v>
      </c>
      <c r="G344" s="2">
        <v>0</v>
      </c>
      <c r="H344" s="2">
        <v>0</v>
      </c>
      <c r="I344" s="1">
        <v>0</v>
      </c>
      <c r="J344" s="3" t="s">
        <v>18</v>
      </c>
      <c r="K344" s="2" t="str">
        <f>J344*1974.73</f>
        <v>0</v>
      </c>
      <c r="L344" s="5"/>
    </row>
    <row r="345" spans="1:12" customHeight="1" ht="105" outlineLevel="5">
      <c r="A345" s="1"/>
      <c r="B345" s="1">
        <v>882425</v>
      </c>
      <c r="C345" s="1" t="s">
        <v>1301</v>
      </c>
      <c r="D345" s="1" t="s">
        <v>1302</v>
      </c>
      <c r="E345" s="2" t="s">
        <v>1303</v>
      </c>
      <c r="F345" s="2" t="s">
        <v>383</v>
      </c>
      <c r="G345" s="2">
        <v>0</v>
      </c>
      <c r="H345" s="2">
        <v>0</v>
      </c>
      <c r="I345" s="1">
        <v>0</v>
      </c>
      <c r="J345" s="3" t="s">
        <v>18</v>
      </c>
      <c r="K345" s="2" t="str">
        <f>J345*0.00</f>
        <v>0</v>
      </c>
      <c r="L345" s="5"/>
    </row>
    <row r="346" spans="1:12" customHeight="1" ht="105" outlineLevel="5">
      <c r="A346" s="1"/>
      <c r="B346" s="1">
        <v>882426</v>
      </c>
      <c r="C346" s="1" t="s">
        <v>1304</v>
      </c>
      <c r="D346" s="1" t="s">
        <v>1305</v>
      </c>
      <c r="E346" s="2" t="s">
        <v>1306</v>
      </c>
      <c r="F346" s="2" t="s">
        <v>1307</v>
      </c>
      <c r="G346" s="2">
        <v>0</v>
      </c>
      <c r="H346" s="2">
        <v>0</v>
      </c>
      <c r="I346" s="1">
        <v>0</v>
      </c>
      <c r="J346" s="3" t="s">
        <v>18</v>
      </c>
      <c r="K346" s="2" t="str">
        <f>J346*411.16</f>
        <v>0</v>
      </c>
      <c r="L346" s="5"/>
    </row>
    <row r="347" spans="1:12" customHeight="1" ht="105" outlineLevel="5">
      <c r="A347" s="1"/>
      <c r="B347" s="1">
        <v>882427</v>
      </c>
      <c r="C347" s="1" t="s">
        <v>1308</v>
      </c>
      <c r="D347" s="1" t="s">
        <v>1309</v>
      </c>
      <c r="E347" s="2" t="s">
        <v>1310</v>
      </c>
      <c r="F347" s="2" t="s">
        <v>1311</v>
      </c>
      <c r="G347" s="2">
        <v>0</v>
      </c>
      <c r="H347" s="2">
        <v>0</v>
      </c>
      <c r="I347" s="1">
        <v>0</v>
      </c>
      <c r="J347" s="3" t="s">
        <v>18</v>
      </c>
      <c r="K347" s="2" t="str">
        <f>J347*581.34</f>
        <v>0</v>
      </c>
      <c r="L347" s="5"/>
    </row>
    <row r="348" spans="1:12" customHeight="1" ht="105" outlineLevel="5">
      <c r="A348" s="1"/>
      <c r="B348" s="1">
        <v>882428</v>
      </c>
      <c r="C348" s="1" t="s">
        <v>1312</v>
      </c>
      <c r="D348" s="1" t="s">
        <v>1313</v>
      </c>
      <c r="E348" s="2" t="s">
        <v>1314</v>
      </c>
      <c r="F348" s="2" t="s">
        <v>1315</v>
      </c>
      <c r="G348" s="2">
        <v>0</v>
      </c>
      <c r="H348" s="2">
        <v>0</v>
      </c>
      <c r="I348" s="1">
        <v>0</v>
      </c>
      <c r="J348" s="3" t="s">
        <v>18</v>
      </c>
      <c r="K348" s="2" t="str">
        <f>J348*998.52</f>
        <v>0</v>
      </c>
      <c r="L348" s="5"/>
    </row>
    <row r="349" spans="1:12" customHeight="1" ht="105" outlineLevel="5">
      <c r="A349" s="1"/>
      <c r="B349" s="1">
        <v>882429</v>
      </c>
      <c r="C349" s="1" t="s">
        <v>1316</v>
      </c>
      <c r="D349" s="1" t="s">
        <v>1317</v>
      </c>
      <c r="E349" s="2" t="s">
        <v>1318</v>
      </c>
      <c r="F349" s="2" t="s">
        <v>1307</v>
      </c>
      <c r="G349" s="2" t="s">
        <v>87</v>
      </c>
      <c r="H349" s="2">
        <v>0</v>
      </c>
      <c r="I349" s="1">
        <v>0</v>
      </c>
      <c r="J349" s="3" t="s">
        <v>18</v>
      </c>
      <c r="K349" s="2" t="str">
        <f>J349*411.16</f>
        <v>0</v>
      </c>
      <c r="L349" s="5"/>
    </row>
    <row r="350" spans="1:12" customHeight="1" ht="105" outlineLevel="5">
      <c r="A350" s="1"/>
      <c r="B350" s="1">
        <v>882430</v>
      </c>
      <c r="C350" s="1" t="s">
        <v>1319</v>
      </c>
      <c r="D350" s="1" t="s">
        <v>1320</v>
      </c>
      <c r="E350" s="2" t="s">
        <v>1321</v>
      </c>
      <c r="F350" s="2" t="s">
        <v>1311</v>
      </c>
      <c r="G350" s="2">
        <v>0</v>
      </c>
      <c r="H350" s="2">
        <v>0</v>
      </c>
      <c r="I350" s="1">
        <v>0</v>
      </c>
      <c r="J350" s="3" t="s">
        <v>18</v>
      </c>
      <c r="K350" s="2" t="str">
        <f>J350*581.34</f>
        <v>0</v>
      </c>
      <c r="L350" s="5"/>
    </row>
    <row r="351" spans="1:12" customHeight="1" ht="105" outlineLevel="5">
      <c r="A351" s="1"/>
      <c r="B351" s="1">
        <v>882431</v>
      </c>
      <c r="C351" s="1" t="s">
        <v>1322</v>
      </c>
      <c r="D351" s="1" t="s">
        <v>1323</v>
      </c>
      <c r="E351" s="2" t="s">
        <v>1324</v>
      </c>
      <c r="F351" s="2" t="s">
        <v>1325</v>
      </c>
      <c r="G351" s="2">
        <v>0</v>
      </c>
      <c r="H351" s="2">
        <v>0</v>
      </c>
      <c r="I351" s="1">
        <v>0</v>
      </c>
      <c r="J351" s="3" t="s">
        <v>18</v>
      </c>
      <c r="K351" s="2" t="str">
        <f>J351*998.48</f>
        <v>0</v>
      </c>
      <c r="L351" s="5"/>
    </row>
    <row r="352" spans="1:12" outlineLevel="2">
      <c r="A352" s="8" t="s">
        <v>1326</v>
      </c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5"/>
    </row>
    <row r="353" spans="1:12" customHeight="1" ht="105" outlineLevel="4">
      <c r="A353" s="1"/>
      <c r="B353" s="1">
        <v>882516</v>
      </c>
      <c r="C353" s="1" t="s">
        <v>1327</v>
      </c>
      <c r="D353" s="1"/>
      <c r="E353" s="2" t="s">
        <v>1328</v>
      </c>
      <c r="F353" s="2" t="s">
        <v>1329</v>
      </c>
      <c r="G353" s="2" t="s">
        <v>23</v>
      </c>
      <c r="H353" s="2">
        <v>0</v>
      </c>
      <c r="I353" s="1">
        <v>0</v>
      </c>
      <c r="J353" s="3" t="s">
        <v>18</v>
      </c>
      <c r="K353" s="2" t="str">
        <f>J353*212.04</f>
        <v>0</v>
      </c>
      <c r="L353" s="5"/>
    </row>
    <row r="354" spans="1:12" customHeight="1" ht="105" outlineLevel="4">
      <c r="A354" s="1"/>
      <c r="B354" s="1">
        <v>882517</v>
      </c>
      <c r="C354" s="1" t="s">
        <v>1330</v>
      </c>
      <c r="D354" s="1"/>
      <c r="E354" s="2" t="s">
        <v>1331</v>
      </c>
      <c r="F354" s="2" t="s">
        <v>1332</v>
      </c>
      <c r="G354" s="2" t="s">
        <v>17</v>
      </c>
      <c r="H354" s="2">
        <v>0</v>
      </c>
      <c r="I354" s="1">
        <v>0</v>
      </c>
      <c r="J354" s="3" t="s">
        <v>18</v>
      </c>
      <c r="K354" s="2" t="str">
        <f>J354*299.25</f>
        <v>0</v>
      </c>
      <c r="L354" s="5"/>
    </row>
    <row r="355" spans="1:12" customHeight="1" ht="105" outlineLevel="4">
      <c r="A355" s="1"/>
      <c r="B355" s="1">
        <v>882518</v>
      </c>
      <c r="C355" s="1" t="s">
        <v>1333</v>
      </c>
      <c r="D355" s="1"/>
      <c r="E355" s="2" t="s">
        <v>1334</v>
      </c>
      <c r="F355" s="2" t="s">
        <v>1335</v>
      </c>
      <c r="G355" s="2" t="s">
        <v>87</v>
      </c>
      <c r="H355" s="2">
        <v>0</v>
      </c>
      <c r="I355" s="1">
        <v>0</v>
      </c>
      <c r="J355" s="3" t="s">
        <v>18</v>
      </c>
      <c r="K355" s="2" t="str">
        <f>J355*388.17</f>
        <v>0</v>
      </c>
      <c r="L355" s="5"/>
    </row>
    <row r="356" spans="1:12" customHeight="1" ht="105" outlineLevel="4">
      <c r="A356" s="1"/>
      <c r="B356" s="1">
        <v>882519</v>
      </c>
      <c r="C356" s="1" t="s">
        <v>1336</v>
      </c>
      <c r="D356" s="1"/>
      <c r="E356" s="2" t="s">
        <v>1337</v>
      </c>
      <c r="F356" s="2" t="s">
        <v>1329</v>
      </c>
      <c r="G356" s="2" t="s">
        <v>23</v>
      </c>
      <c r="H356" s="2">
        <v>0</v>
      </c>
      <c r="I356" s="1">
        <v>0</v>
      </c>
      <c r="J356" s="3" t="s">
        <v>18</v>
      </c>
      <c r="K356" s="2" t="str">
        <f>J356*212.04</f>
        <v>0</v>
      </c>
      <c r="L356" s="5"/>
    </row>
    <row r="357" spans="1:12" customHeight="1" ht="105" outlineLevel="4">
      <c r="A357" s="1"/>
      <c r="B357" s="1">
        <v>882520</v>
      </c>
      <c r="C357" s="1" t="s">
        <v>1338</v>
      </c>
      <c r="D357" s="1"/>
      <c r="E357" s="2" t="s">
        <v>1339</v>
      </c>
      <c r="F357" s="2" t="s">
        <v>1340</v>
      </c>
      <c r="G357" s="2" t="s">
        <v>48</v>
      </c>
      <c r="H357" s="2">
        <v>0</v>
      </c>
      <c r="I357" s="1">
        <v>0</v>
      </c>
      <c r="J357" s="3" t="s">
        <v>18</v>
      </c>
      <c r="K357" s="2" t="str">
        <f>J357*309.51</f>
        <v>0</v>
      </c>
      <c r="L357" s="5"/>
    </row>
    <row r="358" spans="1:12" customHeight="1" ht="105" outlineLevel="4">
      <c r="A358" s="1"/>
      <c r="B358" s="1">
        <v>882521</v>
      </c>
      <c r="C358" s="1" t="s">
        <v>1341</v>
      </c>
      <c r="D358" s="1"/>
      <c r="E358" s="2" t="s">
        <v>1342</v>
      </c>
      <c r="F358" s="2" t="s">
        <v>1343</v>
      </c>
      <c r="G358" s="2" t="s">
        <v>87</v>
      </c>
      <c r="H358" s="2">
        <v>0</v>
      </c>
      <c r="I358" s="1">
        <v>0</v>
      </c>
      <c r="J358" s="3" t="s">
        <v>18</v>
      </c>
      <c r="K358" s="2" t="str">
        <f>J358*396.72</f>
        <v>0</v>
      </c>
      <c r="L358" s="5"/>
    </row>
    <row r="359" spans="1:12" outlineLevel="2">
      <c r="A359" s="8" t="s">
        <v>1344</v>
      </c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5"/>
    </row>
    <row r="360" spans="1:12" customHeight="1" ht="105" outlineLevel="4">
      <c r="A360" s="1"/>
      <c r="B360" s="1">
        <v>884199</v>
      </c>
      <c r="C360" s="1" t="s">
        <v>1345</v>
      </c>
      <c r="D360" s="1" t="s">
        <v>1346</v>
      </c>
      <c r="E360" s="2" t="s">
        <v>1347</v>
      </c>
      <c r="F360" s="2" t="s">
        <v>1348</v>
      </c>
      <c r="G360" s="2" t="s">
        <v>17</v>
      </c>
      <c r="H360" s="2">
        <v>0</v>
      </c>
      <c r="I360" s="1">
        <v>0</v>
      </c>
      <c r="J360" s="3" t="s">
        <v>18</v>
      </c>
      <c r="K360" s="2" t="str">
        <f>J360*505.48</f>
        <v>0</v>
      </c>
      <c r="L360" s="5"/>
    </row>
    <row r="361" spans="1:12" customHeight="1" ht="105" outlineLevel="4">
      <c r="A361" s="1"/>
      <c r="B361" s="1">
        <v>884200</v>
      </c>
      <c r="C361" s="1" t="s">
        <v>1349</v>
      </c>
      <c r="D361" s="1" t="s">
        <v>1350</v>
      </c>
      <c r="E361" s="2" t="s">
        <v>1351</v>
      </c>
      <c r="F361" s="2" t="s">
        <v>1352</v>
      </c>
      <c r="G361" s="2" t="s">
        <v>87</v>
      </c>
      <c r="H361" s="2">
        <v>0</v>
      </c>
      <c r="I361" s="1">
        <v>0</v>
      </c>
      <c r="J361" s="3" t="s">
        <v>18</v>
      </c>
      <c r="K361" s="2" t="str">
        <f>J361*749.21</f>
        <v>0</v>
      </c>
      <c r="L361" s="5"/>
    </row>
    <row r="362" spans="1:12" customHeight="1" ht="105" outlineLevel="4">
      <c r="A362" s="1"/>
      <c r="B362" s="1">
        <v>884201</v>
      </c>
      <c r="C362" s="1" t="s">
        <v>1353</v>
      </c>
      <c r="D362" s="1" t="s">
        <v>1354</v>
      </c>
      <c r="E362" s="2" t="s">
        <v>1355</v>
      </c>
      <c r="F362" s="2" t="s">
        <v>1356</v>
      </c>
      <c r="G362" s="2" t="s">
        <v>48</v>
      </c>
      <c r="H362" s="2">
        <v>0</v>
      </c>
      <c r="I362" s="1">
        <v>0</v>
      </c>
      <c r="J362" s="3" t="s">
        <v>18</v>
      </c>
      <c r="K362" s="2" t="str">
        <f>J362*1181.72</f>
        <v>0</v>
      </c>
      <c r="L362" s="5"/>
    </row>
    <row r="363" spans="1:12" customHeight="1" ht="105" outlineLevel="4">
      <c r="A363" s="1"/>
      <c r="B363" s="1">
        <v>884202</v>
      </c>
      <c r="C363" s="1" t="s">
        <v>1357</v>
      </c>
      <c r="D363" s="1" t="s">
        <v>1358</v>
      </c>
      <c r="E363" s="2" t="s">
        <v>1359</v>
      </c>
      <c r="F363" s="2" t="s">
        <v>1360</v>
      </c>
      <c r="G363" s="2">
        <v>0</v>
      </c>
      <c r="H363" s="2">
        <v>0</v>
      </c>
      <c r="I363" s="1" t="s">
        <v>48</v>
      </c>
      <c r="J363" s="3" t="s">
        <v>18</v>
      </c>
      <c r="K363" s="2" t="str">
        <f>J363*1897.19</f>
        <v>0</v>
      </c>
      <c r="L363" s="5"/>
    </row>
    <row r="364" spans="1:12" customHeight="1" ht="105" outlineLevel="4">
      <c r="A364" s="1"/>
      <c r="B364" s="1">
        <v>884203</v>
      </c>
      <c r="C364" s="1" t="s">
        <v>1361</v>
      </c>
      <c r="D364" s="1" t="s">
        <v>1362</v>
      </c>
      <c r="E364" s="2" t="s">
        <v>1363</v>
      </c>
      <c r="F364" s="2" t="s">
        <v>1364</v>
      </c>
      <c r="G364" s="2" t="s">
        <v>48</v>
      </c>
      <c r="H364" s="2">
        <v>0</v>
      </c>
      <c r="I364" s="1">
        <v>0</v>
      </c>
      <c r="J364" s="3" t="s">
        <v>18</v>
      </c>
      <c r="K364" s="2" t="str">
        <f>J364*2844.98</f>
        <v>0</v>
      </c>
      <c r="L364" s="5"/>
    </row>
    <row r="365" spans="1:12" customHeight="1" ht="105" outlineLevel="4">
      <c r="A365" s="1"/>
      <c r="B365" s="1">
        <v>884204</v>
      </c>
      <c r="C365" s="1" t="s">
        <v>1365</v>
      </c>
      <c r="D365" s="1" t="s">
        <v>1366</v>
      </c>
      <c r="E365" s="2" t="s">
        <v>1367</v>
      </c>
      <c r="F365" s="2" t="s">
        <v>1368</v>
      </c>
      <c r="G365" s="2">
        <v>8</v>
      </c>
      <c r="H365" s="2">
        <v>0</v>
      </c>
      <c r="I365" s="1">
        <v>0</v>
      </c>
      <c r="J365" s="3" t="s">
        <v>18</v>
      </c>
      <c r="K365" s="2" t="str">
        <f>J365*4171.03</f>
        <v>0</v>
      </c>
      <c r="L365" s="5"/>
    </row>
    <row r="366" spans="1:12" customHeight="1" ht="105" outlineLevel="4">
      <c r="A366" s="1"/>
      <c r="B366" s="1">
        <v>884205</v>
      </c>
      <c r="C366" s="1" t="s">
        <v>1369</v>
      </c>
      <c r="D366" s="1" t="s">
        <v>1370</v>
      </c>
      <c r="E366" s="2" t="s">
        <v>1371</v>
      </c>
      <c r="F366" s="2" t="s">
        <v>1372</v>
      </c>
      <c r="G366" s="2" t="s">
        <v>23</v>
      </c>
      <c r="H366" s="2">
        <v>0</v>
      </c>
      <c r="I366" s="1">
        <v>0</v>
      </c>
      <c r="J366" s="3" t="s">
        <v>18</v>
      </c>
      <c r="K366" s="2" t="str">
        <f>J366*531.01</f>
        <v>0</v>
      </c>
      <c r="L366" s="5"/>
    </row>
    <row r="367" spans="1:12" customHeight="1" ht="105" outlineLevel="4">
      <c r="A367" s="1"/>
      <c r="B367" s="1">
        <v>884206</v>
      </c>
      <c r="C367" s="1" t="s">
        <v>1373</v>
      </c>
      <c r="D367" s="1" t="s">
        <v>1374</v>
      </c>
      <c r="E367" s="2" t="s">
        <v>1375</v>
      </c>
      <c r="F367" s="2" t="s">
        <v>1376</v>
      </c>
      <c r="G367" s="2" t="s">
        <v>23</v>
      </c>
      <c r="H367" s="2">
        <v>0</v>
      </c>
      <c r="I367" s="1">
        <v>0</v>
      </c>
      <c r="J367" s="3" t="s">
        <v>18</v>
      </c>
      <c r="K367" s="2" t="str">
        <f>J367*795.72</f>
        <v>0</v>
      </c>
      <c r="L367" s="5"/>
    </row>
    <row r="368" spans="1:12" customHeight="1" ht="105" outlineLevel="4">
      <c r="A368" s="1"/>
      <c r="B368" s="1">
        <v>884207</v>
      </c>
      <c r="C368" s="1" t="s">
        <v>1377</v>
      </c>
      <c r="D368" s="1" t="s">
        <v>1378</v>
      </c>
      <c r="E368" s="2" t="s">
        <v>1379</v>
      </c>
      <c r="F368" s="2" t="s">
        <v>1380</v>
      </c>
      <c r="G368" s="2">
        <v>7</v>
      </c>
      <c r="H368" s="2">
        <v>0</v>
      </c>
      <c r="I368" s="1">
        <v>0</v>
      </c>
      <c r="J368" s="3" t="s">
        <v>18</v>
      </c>
      <c r="K368" s="2" t="str">
        <f>J368*1258.10</f>
        <v>0</v>
      </c>
      <c r="L368" s="5"/>
    </row>
    <row r="369" spans="1:12" customHeight="1" ht="105" outlineLevel="4">
      <c r="A369" s="1"/>
      <c r="B369" s="1">
        <v>884208</v>
      </c>
      <c r="C369" s="1" t="s">
        <v>1381</v>
      </c>
      <c r="D369" s="1" t="s">
        <v>1382</v>
      </c>
      <c r="E369" s="2" t="s">
        <v>1383</v>
      </c>
      <c r="F369" s="2" t="s">
        <v>1384</v>
      </c>
      <c r="G369" s="2">
        <v>8</v>
      </c>
      <c r="H369" s="2">
        <v>0</v>
      </c>
      <c r="I369" s="1">
        <v>0</v>
      </c>
      <c r="J369" s="3" t="s">
        <v>18</v>
      </c>
      <c r="K369" s="2" t="str">
        <f>J369*2165.77</f>
        <v>0</v>
      </c>
      <c r="L369" s="5"/>
    </row>
    <row r="370" spans="1:12" customHeight="1" ht="105" outlineLevel="4">
      <c r="A370" s="1"/>
      <c r="B370" s="1">
        <v>884209</v>
      </c>
      <c r="C370" s="1" t="s">
        <v>1385</v>
      </c>
      <c r="D370" s="1" t="s">
        <v>1386</v>
      </c>
      <c r="E370" s="2" t="s">
        <v>1387</v>
      </c>
      <c r="F370" s="2" t="s">
        <v>1388</v>
      </c>
      <c r="G370" s="2">
        <v>3</v>
      </c>
      <c r="H370" s="2">
        <v>0</v>
      </c>
      <c r="I370" s="1">
        <v>0</v>
      </c>
      <c r="J370" s="3" t="s">
        <v>18</v>
      </c>
      <c r="K370" s="2" t="str">
        <f>J370*2998.66</f>
        <v>0</v>
      </c>
      <c r="L370" s="5"/>
    </row>
    <row r="371" spans="1:12" customHeight="1" ht="105" outlineLevel="4">
      <c r="A371" s="1"/>
      <c r="B371" s="1">
        <v>884210</v>
      </c>
      <c r="C371" s="1" t="s">
        <v>1389</v>
      </c>
      <c r="D371" s="1"/>
      <c r="E371" s="2" t="s">
        <v>1390</v>
      </c>
      <c r="F371" s="2" t="s">
        <v>383</v>
      </c>
      <c r="G371" s="2">
        <v>0</v>
      </c>
      <c r="H371" s="2">
        <v>0</v>
      </c>
      <c r="I371" s="1">
        <v>0</v>
      </c>
      <c r="J371" s="3" t="s">
        <v>18</v>
      </c>
      <c r="K371" s="2" t="str">
        <f>J371*0.00</f>
        <v>0</v>
      </c>
      <c r="L371" s="5"/>
    </row>
    <row r="372" spans="1:12" customHeight="1" ht="105" outlineLevel="4">
      <c r="A372" s="1"/>
      <c r="B372" s="1">
        <v>884211</v>
      </c>
      <c r="C372" s="1" t="s">
        <v>1391</v>
      </c>
      <c r="D372" s="1" t="s">
        <v>1392</v>
      </c>
      <c r="E372" s="2" t="s">
        <v>1393</v>
      </c>
      <c r="F372" s="2" t="s">
        <v>1394</v>
      </c>
      <c r="G372" s="2">
        <v>2</v>
      </c>
      <c r="H372" s="2">
        <v>0</v>
      </c>
      <c r="I372" s="1">
        <v>0</v>
      </c>
      <c r="J372" s="3" t="s">
        <v>18</v>
      </c>
      <c r="K372" s="2" t="str">
        <f>J372*532.61</f>
        <v>0</v>
      </c>
      <c r="L372" s="5"/>
    </row>
    <row r="373" spans="1:12" customHeight="1" ht="105" outlineLevel="4">
      <c r="A373" s="1"/>
      <c r="B373" s="1">
        <v>884212</v>
      </c>
      <c r="C373" s="1" t="s">
        <v>1395</v>
      </c>
      <c r="D373" s="1" t="s">
        <v>1396</v>
      </c>
      <c r="E373" s="2" t="s">
        <v>1397</v>
      </c>
      <c r="F373" s="2" t="s">
        <v>1398</v>
      </c>
      <c r="G373" s="2" t="s">
        <v>48</v>
      </c>
      <c r="H373" s="2">
        <v>0</v>
      </c>
      <c r="I373" s="1">
        <v>0</v>
      </c>
      <c r="J373" s="3" t="s">
        <v>18</v>
      </c>
      <c r="K373" s="2" t="str">
        <f>J373*782.72</f>
        <v>0</v>
      </c>
      <c r="L373" s="5"/>
    </row>
    <row r="374" spans="1:12" customHeight="1" ht="105" outlineLevel="4">
      <c r="A374" s="1"/>
      <c r="B374" s="1">
        <v>884213</v>
      </c>
      <c r="C374" s="1" t="s">
        <v>1399</v>
      </c>
      <c r="D374" s="1" t="s">
        <v>1400</v>
      </c>
      <c r="E374" s="2" t="s">
        <v>1401</v>
      </c>
      <c r="F374" s="2" t="s">
        <v>1402</v>
      </c>
      <c r="G374" s="2">
        <v>0</v>
      </c>
      <c r="H374" s="2">
        <v>0</v>
      </c>
      <c r="I374" s="1">
        <v>0</v>
      </c>
      <c r="J374" s="3" t="s">
        <v>18</v>
      </c>
      <c r="K374" s="2" t="str">
        <f>J374*1295.50</f>
        <v>0</v>
      </c>
      <c r="L374" s="5"/>
    </row>
    <row r="375" spans="1:12" customHeight="1" ht="105" outlineLevel="4">
      <c r="A375" s="1"/>
      <c r="B375" s="1">
        <v>884214</v>
      </c>
      <c r="C375" s="1" t="s">
        <v>1403</v>
      </c>
      <c r="D375" s="1" t="s">
        <v>1404</v>
      </c>
      <c r="E375" s="2" t="s">
        <v>1405</v>
      </c>
      <c r="F375" s="2" t="s">
        <v>1406</v>
      </c>
      <c r="G375" s="2" t="s">
        <v>17</v>
      </c>
      <c r="H375" s="2">
        <v>0</v>
      </c>
      <c r="I375" s="1">
        <v>0</v>
      </c>
      <c r="J375" s="3" t="s">
        <v>18</v>
      </c>
      <c r="K375" s="2" t="str">
        <f>J375*479.71</f>
        <v>0</v>
      </c>
      <c r="L375" s="5"/>
    </row>
    <row r="376" spans="1:12" customHeight="1" ht="105" outlineLevel="4">
      <c r="A376" s="1"/>
      <c r="B376" s="1">
        <v>884215</v>
      </c>
      <c r="C376" s="1" t="s">
        <v>1407</v>
      </c>
      <c r="D376" s="1" t="s">
        <v>1408</v>
      </c>
      <c r="E376" s="2" t="s">
        <v>1409</v>
      </c>
      <c r="F376" s="2" t="s">
        <v>1410</v>
      </c>
      <c r="G376" s="2" t="s">
        <v>87</v>
      </c>
      <c r="H376" s="2">
        <v>0</v>
      </c>
      <c r="I376" s="1">
        <v>0</v>
      </c>
      <c r="J376" s="3" t="s">
        <v>18</v>
      </c>
      <c r="K376" s="2" t="str">
        <f>J376*701.56</f>
        <v>0</v>
      </c>
      <c r="L376" s="5"/>
    </row>
    <row r="377" spans="1:12" customHeight="1" ht="105" outlineLevel="4">
      <c r="A377" s="1"/>
      <c r="B377" s="1">
        <v>884216</v>
      </c>
      <c r="C377" s="1" t="s">
        <v>1411</v>
      </c>
      <c r="D377" s="1" t="s">
        <v>1412</v>
      </c>
      <c r="E377" s="2" t="s">
        <v>1413</v>
      </c>
      <c r="F377" s="2" t="s">
        <v>1414</v>
      </c>
      <c r="G377" s="2" t="s">
        <v>23</v>
      </c>
      <c r="H377" s="2">
        <v>0</v>
      </c>
      <c r="I377" s="1">
        <v>0</v>
      </c>
      <c r="J377" s="3" t="s">
        <v>18</v>
      </c>
      <c r="K377" s="2" t="str">
        <f>J377*1161.43</f>
        <v>0</v>
      </c>
      <c r="L377" s="5"/>
    </row>
    <row r="378" spans="1:12" customHeight="1" ht="105" outlineLevel="4">
      <c r="A378" s="1"/>
      <c r="B378" s="1">
        <v>882244</v>
      </c>
      <c r="C378" s="1" t="s">
        <v>1415</v>
      </c>
      <c r="D378" s="1" t="s">
        <v>1416</v>
      </c>
      <c r="E378" s="2" t="s">
        <v>1417</v>
      </c>
      <c r="F378" s="2" t="s">
        <v>1418</v>
      </c>
      <c r="G378" s="2">
        <v>2</v>
      </c>
      <c r="H378" s="2">
        <v>0</v>
      </c>
      <c r="I378" s="1">
        <v>0</v>
      </c>
      <c r="J378" s="3" t="s">
        <v>18</v>
      </c>
      <c r="K378" s="2" t="str">
        <f>J378*352.49</f>
        <v>0</v>
      </c>
      <c r="L378" s="5"/>
    </row>
    <row r="379" spans="1:12" customHeight="1" ht="105" outlineLevel="4">
      <c r="A379" s="1"/>
      <c r="B379" s="1">
        <v>884217</v>
      </c>
      <c r="C379" s="1" t="s">
        <v>1419</v>
      </c>
      <c r="D379" s="1" t="s">
        <v>1420</v>
      </c>
      <c r="E379" s="2" t="s">
        <v>1421</v>
      </c>
      <c r="F379" s="2" t="s">
        <v>1422</v>
      </c>
      <c r="G379" s="2">
        <v>0</v>
      </c>
      <c r="H379" s="2">
        <v>0</v>
      </c>
      <c r="I379" s="1" t="s">
        <v>17</v>
      </c>
      <c r="J379" s="3" t="s">
        <v>18</v>
      </c>
      <c r="K379" s="2" t="str">
        <f>J379*499.78</f>
        <v>0</v>
      </c>
      <c r="L379" s="5"/>
    </row>
    <row r="380" spans="1:12" customHeight="1" ht="105" outlineLevel="4">
      <c r="A380" s="1"/>
      <c r="B380" s="1">
        <v>884218</v>
      </c>
      <c r="C380" s="1" t="s">
        <v>1423</v>
      </c>
      <c r="D380" s="1" t="s">
        <v>1424</v>
      </c>
      <c r="E380" s="2" t="s">
        <v>1425</v>
      </c>
      <c r="F380" s="2" t="s">
        <v>1426</v>
      </c>
      <c r="G380" s="2" t="s">
        <v>87</v>
      </c>
      <c r="H380" s="2">
        <v>0</v>
      </c>
      <c r="I380" s="1">
        <v>0</v>
      </c>
      <c r="J380" s="3" t="s">
        <v>18</v>
      </c>
      <c r="K380" s="2" t="str">
        <f>J380*731.42</f>
        <v>0</v>
      </c>
      <c r="L380" s="5"/>
    </row>
    <row r="381" spans="1:12" customHeight="1" ht="105" outlineLevel="4">
      <c r="A381" s="1"/>
      <c r="B381" s="1">
        <v>884219</v>
      </c>
      <c r="C381" s="1" t="s">
        <v>1427</v>
      </c>
      <c r="D381" s="1" t="s">
        <v>1428</v>
      </c>
      <c r="E381" s="2" t="s">
        <v>1429</v>
      </c>
      <c r="F381" s="2" t="s">
        <v>1430</v>
      </c>
      <c r="G381" s="2" t="s">
        <v>48</v>
      </c>
      <c r="H381" s="2">
        <v>0</v>
      </c>
      <c r="I381" s="1" t="s">
        <v>48</v>
      </c>
      <c r="J381" s="3" t="s">
        <v>18</v>
      </c>
      <c r="K381" s="2" t="str">
        <f>J381*1231.88</f>
        <v>0</v>
      </c>
      <c r="L381" s="5"/>
    </row>
    <row r="382" spans="1:12" customHeight="1" ht="105" outlineLevel="4">
      <c r="A382" s="1"/>
      <c r="B382" s="1">
        <v>884220</v>
      </c>
      <c r="C382" s="1" t="s">
        <v>1431</v>
      </c>
      <c r="D382" s="1" t="s">
        <v>1432</v>
      </c>
      <c r="E382" s="2" t="s">
        <v>1433</v>
      </c>
      <c r="F382" s="2" t="s">
        <v>1348</v>
      </c>
      <c r="G382" s="2">
        <v>0</v>
      </c>
      <c r="H382" s="2">
        <v>0</v>
      </c>
      <c r="I382" s="1">
        <v>0</v>
      </c>
      <c r="J382" s="3" t="s">
        <v>18</v>
      </c>
      <c r="K382" s="2" t="str">
        <f>J382*505.48</f>
        <v>0</v>
      </c>
      <c r="L382" s="5"/>
    </row>
    <row r="383" spans="1:12" customHeight="1" ht="105" outlineLevel="4">
      <c r="A383" s="1"/>
      <c r="B383" s="1">
        <v>884221</v>
      </c>
      <c r="C383" s="1" t="s">
        <v>1434</v>
      </c>
      <c r="D383" s="1" t="s">
        <v>1435</v>
      </c>
      <c r="E383" s="2" t="s">
        <v>1436</v>
      </c>
      <c r="F383" s="2" t="s">
        <v>1437</v>
      </c>
      <c r="G383" s="2">
        <v>8</v>
      </c>
      <c r="H383" s="2">
        <v>0</v>
      </c>
      <c r="I383" s="1">
        <v>0</v>
      </c>
      <c r="J383" s="3" t="s">
        <v>18</v>
      </c>
      <c r="K383" s="2" t="str">
        <f>J383*755.82</f>
        <v>0</v>
      </c>
      <c r="L383" s="5"/>
    </row>
    <row r="384" spans="1:12" customHeight="1" ht="105" outlineLevel="4">
      <c r="A384" s="1"/>
      <c r="B384" s="1">
        <v>884222</v>
      </c>
      <c r="C384" s="1" t="s">
        <v>1438</v>
      </c>
      <c r="D384" s="1" t="s">
        <v>1439</v>
      </c>
      <c r="E384" s="2" t="s">
        <v>1440</v>
      </c>
      <c r="F384" s="2" t="s">
        <v>1430</v>
      </c>
      <c r="G384" s="2" t="s">
        <v>48</v>
      </c>
      <c r="H384" s="2">
        <v>0</v>
      </c>
      <c r="I384" s="1">
        <v>0</v>
      </c>
      <c r="J384" s="3" t="s">
        <v>18</v>
      </c>
      <c r="K384" s="2" t="str">
        <f>J384*1231.88</f>
        <v>0</v>
      </c>
      <c r="L384" s="5"/>
    </row>
    <row r="385" spans="1:12" customHeight="1" ht="105" outlineLevel="4">
      <c r="A385" s="1"/>
      <c r="B385" s="1">
        <v>884223</v>
      </c>
      <c r="C385" s="1" t="s">
        <v>1441</v>
      </c>
      <c r="D385" s="1" t="s">
        <v>1442</v>
      </c>
      <c r="E385" s="2" t="s">
        <v>1443</v>
      </c>
      <c r="F385" s="2" t="s">
        <v>1444</v>
      </c>
      <c r="G385" s="2" t="s">
        <v>87</v>
      </c>
      <c r="H385" s="2">
        <v>0</v>
      </c>
      <c r="I385" s="1">
        <v>0</v>
      </c>
      <c r="J385" s="3" t="s">
        <v>18</v>
      </c>
      <c r="K385" s="2" t="str">
        <f>J385*649.80</f>
        <v>0</v>
      </c>
      <c r="L385" s="5"/>
    </row>
    <row r="386" spans="1:12" customHeight="1" ht="105" outlineLevel="4">
      <c r="A386" s="1"/>
      <c r="B386" s="1">
        <v>884224</v>
      </c>
      <c r="C386" s="1" t="s">
        <v>1445</v>
      </c>
      <c r="D386" s="1" t="s">
        <v>1446</v>
      </c>
      <c r="E386" s="2" t="s">
        <v>1447</v>
      </c>
      <c r="F386" s="2" t="s">
        <v>1448</v>
      </c>
      <c r="G386" s="2" t="s">
        <v>17</v>
      </c>
      <c r="H386" s="2">
        <v>0</v>
      </c>
      <c r="I386" s="1">
        <v>0</v>
      </c>
      <c r="J386" s="3" t="s">
        <v>18</v>
      </c>
      <c r="K386" s="2" t="str">
        <f>J386*994.31</f>
        <v>0</v>
      </c>
      <c r="L386" s="5"/>
    </row>
    <row r="387" spans="1:12" customHeight="1" ht="105" outlineLevel="4">
      <c r="A387" s="1"/>
      <c r="B387" s="1">
        <v>884225</v>
      </c>
      <c r="C387" s="1" t="s">
        <v>1449</v>
      </c>
      <c r="D387" s="1" t="s">
        <v>1450</v>
      </c>
      <c r="E387" s="2" t="s">
        <v>1451</v>
      </c>
      <c r="F387" s="2" t="s">
        <v>1452</v>
      </c>
      <c r="G387" s="2" t="s">
        <v>48</v>
      </c>
      <c r="H387" s="2">
        <v>0</v>
      </c>
      <c r="I387" s="1">
        <v>0</v>
      </c>
      <c r="J387" s="3" t="s">
        <v>18</v>
      </c>
      <c r="K387" s="2" t="str">
        <f>J387*1753.55</f>
        <v>0</v>
      </c>
      <c r="L387" s="5"/>
    </row>
    <row r="388" spans="1:12" customHeight="1" ht="105" outlineLevel="4">
      <c r="A388" s="1"/>
      <c r="B388" s="1">
        <v>884226</v>
      </c>
      <c r="C388" s="1" t="s">
        <v>1453</v>
      </c>
      <c r="D388" s="1" t="s">
        <v>1454</v>
      </c>
      <c r="E388" s="2" t="s">
        <v>1455</v>
      </c>
      <c r="F388" s="2" t="s">
        <v>1456</v>
      </c>
      <c r="G388" s="2">
        <v>10</v>
      </c>
      <c r="H388" s="2">
        <v>0</v>
      </c>
      <c r="I388" s="1">
        <v>0</v>
      </c>
      <c r="J388" s="3" t="s">
        <v>18</v>
      </c>
      <c r="K388" s="2" t="str">
        <f>J388*2626.33</f>
        <v>0</v>
      </c>
      <c r="L388" s="5"/>
    </row>
    <row r="389" spans="1:12" customHeight="1" ht="105" outlineLevel="4">
      <c r="A389" s="1"/>
      <c r="B389" s="1">
        <v>884227</v>
      </c>
      <c r="C389" s="1" t="s">
        <v>1457</v>
      </c>
      <c r="D389" s="1" t="s">
        <v>1458</v>
      </c>
      <c r="E389" s="2" t="s">
        <v>1459</v>
      </c>
      <c r="F389" s="2" t="s">
        <v>1460</v>
      </c>
      <c r="G389" s="2" t="s">
        <v>23</v>
      </c>
      <c r="H389" s="2">
        <v>0</v>
      </c>
      <c r="I389" s="1">
        <v>0</v>
      </c>
      <c r="J389" s="3" t="s">
        <v>18</v>
      </c>
      <c r="K389" s="2" t="str">
        <f>J389*779.99</f>
        <v>0</v>
      </c>
      <c r="L389" s="5"/>
    </row>
    <row r="390" spans="1:12" customHeight="1" ht="105" outlineLevel="4">
      <c r="A390" s="1"/>
      <c r="B390" s="1">
        <v>884228</v>
      </c>
      <c r="C390" s="1" t="s">
        <v>1461</v>
      </c>
      <c r="D390" s="1" t="s">
        <v>1462</v>
      </c>
      <c r="E390" s="2" t="s">
        <v>1463</v>
      </c>
      <c r="F390" s="2" t="s">
        <v>1464</v>
      </c>
      <c r="G390" s="2" t="s">
        <v>48</v>
      </c>
      <c r="H390" s="2">
        <v>0</v>
      </c>
      <c r="I390" s="1">
        <v>0</v>
      </c>
      <c r="J390" s="3" t="s">
        <v>18</v>
      </c>
      <c r="K390" s="2" t="str">
        <f>J390*1212.50</f>
        <v>0</v>
      </c>
      <c r="L390" s="5"/>
    </row>
    <row r="391" spans="1:12" customHeight="1" ht="105" outlineLevel="4">
      <c r="A391" s="1"/>
      <c r="B391" s="1">
        <v>884229</v>
      </c>
      <c r="C391" s="1" t="s">
        <v>1465</v>
      </c>
      <c r="D391" s="1" t="s">
        <v>1466</v>
      </c>
      <c r="E391" s="2" t="s">
        <v>1467</v>
      </c>
      <c r="F391" s="2" t="s">
        <v>1468</v>
      </c>
      <c r="G391" s="2">
        <v>8</v>
      </c>
      <c r="H391" s="2">
        <v>0</v>
      </c>
      <c r="I391" s="1">
        <v>0</v>
      </c>
      <c r="J391" s="3" t="s">
        <v>18</v>
      </c>
      <c r="K391" s="2" t="str">
        <f>J391*2005.26</f>
        <v>0</v>
      </c>
      <c r="L391" s="5"/>
    </row>
    <row r="392" spans="1:12" customHeight="1" ht="105" outlineLevel="4">
      <c r="A392" s="1"/>
      <c r="B392" s="1">
        <v>884230</v>
      </c>
      <c r="C392" s="1" t="s">
        <v>1469</v>
      </c>
      <c r="D392" s="1" t="s">
        <v>1470</v>
      </c>
      <c r="E392" s="2" t="s">
        <v>1471</v>
      </c>
      <c r="F392" s="2" t="s">
        <v>1444</v>
      </c>
      <c r="G392" s="2" t="s">
        <v>17</v>
      </c>
      <c r="H392" s="2">
        <v>0</v>
      </c>
      <c r="I392" s="1">
        <v>0</v>
      </c>
      <c r="J392" s="3" t="s">
        <v>18</v>
      </c>
      <c r="K392" s="2" t="str">
        <f>J392*649.80</f>
        <v>0</v>
      </c>
      <c r="L392" s="5"/>
    </row>
    <row r="393" spans="1:12" customHeight="1" ht="105" outlineLevel="4">
      <c r="A393" s="1"/>
      <c r="B393" s="1">
        <v>884231</v>
      </c>
      <c r="C393" s="1" t="s">
        <v>1472</v>
      </c>
      <c r="D393" s="1" t="s">
        <v>1473</v>
      </c>
      <c r="E393" s="2" t="s">
        <v>1474</v>
      </c>
      <c r="F393" s="2" t="s">
        <v>1448</v>
      </c>
      <c r="G393" s="2" t="s">
        <v>17</v>
      </c>
      <c r="H393" s="2">
        <v>0</v>
      </c>
      <c r="I393" s="1">
        <v>0</v>
      </c>
      <c r="J393" s="3" t="s">
        <v>18</v>
      </c>
      <c r="K393" s="2" t="str">
        <f>J393*994.31</f>
        <v>0</v>
      </c>
      <c r="L393" s="5"/>
    </row>
    <row r="394" spans="1:12" customHeight="1" ht="105" outlineLevel="4">
      <c r="A394" s="1"/>
      <c r="B394" s="1">
        <v>884232</v>
      </c>
      <c r="C394" s="1" t="s">
        <v>1475</v>
      </c>
      <c r="D394" s="1" t="s">
        <v>1476</v>
      </c>
      <c r="E394" s="2" t="s">
        <v>1477</v>
      </c>
      <c r="F394" s="2" t="s">
        <v>1460</v>
      </c>
      <c r="G394" s="2">
        <v>0</v>
      </c>
      <c r="H394" s="2">
        <v>0</v>
      </c>
      <c r="I394" s="1">
        <v>0</v>
      </c>
      <c r="J394" s="3" t="s">
        <v>18</v>
      </c>
      <c r="K394" s="2" t="str">
        <f>J394*779.99</f>
        <v>0</v>
      </c>
      <c r="L394" s="5"/>
    </row>
    <row r="395" spans="1:12" customHeight="1" ht="105" outlineLevel="4">
      <c r="A395" s="1"/>
      <c r="B395" s="1">
        <v>884233</v>
      </c>
      <c r="C395" s="1" t="s">
        <v>1478</v>
      </c>
      <c r="D395" s="1" t="s">
        <v>1479</v>
      </c>
      <c r="E395" s="2" t="s">
        <v>1480</v>
      </c>
      <c r="F395" s="2" t="s">
        <v>1481</v>
      </c>
      <c r="G395" s="2">
        <v>0</v>
      </c>
      <c r="H395" s="2">
        <v>0</v>
      </c>
      <c r="I395" s="1">
        <v>0</v>
      </c>
      <c r="J395" s="3" t="s">
        <v>18</v>
      </c>
      <c r="K395" s="2" t="str">
        <f>J395*545.84</f>
        <v>0</v>
      </c>
      <c r="L395" s="5"/>
    </row>
    <row r="396" spans="1:12" customHeight="1" ht="105" outlineLevel="4">
      <c r="A396" s="1"/>
      <c r="B396" s="1">
        <v>884234</v>
      </c>
      <c r="C396" s="1" t="s">
        <v>1482</v>
      </c>
      <c r="D396" s="1" t="s">
        <v>1483</v>
      </c>
      <c r="E396" s="2" t="s">
        <v>1484</v>
      </c>
      <c r="F396" s="2" t="s">
        <v>1485</v>
      </c>
      <c r="G396" s="2">
        <v>9</v>
      </c>
      <c r="H396" s="2">
        <v>0</v>
      </c>
      <c r="I396" s="1">
        <v>0</v>
      </c>
      <c r="J396" s="3" t="s">
        <v>18</v>
      </c>
      <c r="K396" s="2" t="str">
        <f>J396*914.96</f>
        <v>0</v>
      </c>
      <c r="L396" s="5"/>
    </row>
    <row r="397" spans="1:12" customHeight="1" ht="105" outlineLevel="4">
      <c r="A397" s="1"/>
      <c r="B397" s="1">
        <v>884235</v>
      </c>
      <c r="C397" s="1" t="s">
        <v>1486</v>
      </c>
      <c r="D397" s="1" t="s">
        <v>1487</v>
      </c>
      <c r="E397" s="2" t="s">
        <v>1488</v>
      </c>
      <c r="F397" s="2" t="s">
        <v>1489</v>
      </c>
      <c r="G397" s="2">
        <v>0</v>
      </c>
      <c r="H397" s="2">
        <v>0</v>
      </c>
      <c r="I397" s="1">
        <v>0</v>
      </c>
      <c r="J397" s="3" t="s">
        <v>18</v>
      </c>
      <c r="K397" s="2" t="str">
        <f>J397*812.82</f>
        <v>0</v>
      </c>
      <c r="L397" s="5"/>
    </row>
    <row r="398" spans="1:12" customHeight="1" ht="105" outlineLevel="4">
      <c r="A398" s="1"/>
      <c r="B398" s="1">
        <v>884236</v>
      </c>
      <c r="C398" s="1" t="s">
        <v>1490</v>
      </c>
      <c r="D398" s="1" t="s">
        <v>1491</v>
      </c>
      <c r="E398" s="2" t="s">
        <v>1492</v>
      </c>
      <c r="F398" s="2" t="s">
        <v>1493</v>
      </c>
      <c r="G398" s="2" t="s">
        <v>48</v>
      </c>
      <c r="H398" s="2">
        <v>0</v>
      </c>
      <c r="I398" s="1">
        <v>0</v>
      </c>
      <c r="J398" s="3" t="s">
        <v>18</v>
      </c>
      <c r="K398" s="2" t="str">
        <f>J398*513.68</f>
        <v>0</v>
      </c>
      <c r="L398" s="5"/>
    </row>
    <row r="399" spans="1:12" outlineLevel="2">
      <c r="A399" s="8" t="s">
        <v>1494</v>
      </c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5"/>
    </row>
    <row r="400" spans="1:12" customHeight="1" ht="105" outlineLevel="4">
      <c r="A400" s="1"/>
      <c r="B400" s="1">
        <v>889571</v>
      </c>
      <c r="C400" s="1" t="s">
        <v>1495</v>
      </c>
      <c r="D400" s="1">
        <v>34885</v>
      </c>
      <c r="E400" s="2" t="s">
        <v>1496</v>
      </c>
      <c r="F400" s="2" t="s">
        <v>1497</v>
      </c>
      <c r="G400" s="2" t="s">
        <v>23</v>
      </c>
      <c r="H400" s="2">
        <v>0</v>
      </c>
      <c r="I400" s="1">
        <v>0</v>
      </c>
      <c r="J400" s="3" t="s">
        <v>18</v>
      </c>
      <c r="K400" s="2" t="str">
        <f>J400*320.70</f>
        <v>0</v>
      </c>
      <c r="L400" s="5"/>
    </row>
    <row r="401" spans="1:12" customHeight="1" ht="105" outlineLevel="4">
      <c r="A401" s="1"/>
      <c r="B401" s="1">
        <v>889572</v>
      </c>
      <c r="C401" s="1" t="s">
        <v>1498</v>
      </c>
      <c r="D401" s="1">
        <v>34887</v>
      </c>
      <c r="E401" s="2" t="s">
        <v>1499</v>
      </c>
      <c r="F401" s="2" t="s">
        <v>1500</v>
      </c>
      <c r="G401" s="2" t="s">
        <v>17</v>
      </c>
      <c r="H401" s="2">
        <v>0</v>
      </c>
      <c r="I401" s="1">
        <v>0</v>
      </c>
      <c r="J401" s="3" t="s">
        <v>18</v>
      </c>
      <c r="K401" s="2" t="str">
        <f>J401*343.86</f>
        <v>0</v>
      </c>
      <c r="L401" s="5"/>
    </row>
    <row r="402" spans="1:12" outlineLevel="2">
      <c r="A402" s="8" t="s">
        <v>1501</v>
      </c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5"/>
    </row>
    <row r="403" spans="1:12" customHeight="1" ht="105" outlineLevel="4">
      <c r="A403" s="1"/>
      <c r="B403" s="1">
        <v>954739</v>
      </c>
      <c r="C403" s="1" t="s">
        <v>1502</v>
      </c>
      <c r="D403" s="1" t="s">
        <v>1503</v>
      </c>
      <c r="E403" s="2" t="s">
        <v>1504</v>
      </c>
      <c r="F403" s="2" t="s">
        <v>1505</v>
      </c>
      <c r="G403" s="2">
        <v>0</v>
      </c>
      <c r="H403" s="2">
        <v>0</v>
      </c>
      <c r="I403" s="1">
        <v>0</v>
      </c>
      <c r="J403" s="3" t="s">
        <v>18</v>
      </c>
      <c r="K403" s="2" t="str">
        <f>J403*575.69</f>
        <v>0</v>
      </c>
      <c r="L403" s="5"/>
    </row>
    <row r="404" spans="1:12" customHeight="1" ht="105" outlineLevel="4">
      <c r="A404" s="1"/>
      <c r="B404" s="1">
        <v>954740</v>
      </c>
      <c r="C404" s="1" t="s">
        <v>1506</v>
      </c>
      <c r="D404" s="1" t="s">
        <v>1507</v>
      </c>
      <c r="E404" s="2" t="s">
        <v>1508</v>
      </c>
      <c r="F404" s="2" t="s">
        <v>1509</v>
      </c>
      <c r="G404" s="2">
        <v>0</v>
      </c>
      <c r="H404" s="2">
        <v>0</v>
      </c>
      <c r="I404" s="1">
        <v>0</v>
      </c>
      <c r="J404" s="3" t="s">
        <v>18</v>
      </c>
      <c r="K404" s="2" t="str">
        <f>J404*855.18</f>
        <v>0</v>
      </c>
      <c r="L404" s="5"/>
    </row>
    <row r="405" spans="1:12" customHeight="1" ht="105" outlineLevel="4">
      <c r="A405" s="1"/>
      <c r="B405" s="1">
        <v>954741</v>
      </c>
      <c r="C405" s="1" t="s">
        <v>1510</v>
      </c>
      <c r="D405" s="1" t="s">
        <v>1511</v>
      </c>
      <c r="E405" s="2" t="s">
        <v>1512</v>
      </c>
      <c r="F405" s="2" t="s">
        <v>383</v>
      </c>
      <c r="G405" s="2">
        <v>0</v>
      </c>
      <c r="H405" s="2">
        <v>0</v>
      </c>
      <c r="I405" s="1">
        <v>0</v>
      </c>
      <c r="J405" s="3" t="s">
        <v>18</v>
      </c>
      <c r="K405" s="2" t="str">
        <f>J405*0.00</f>
        <v>0</v>
      </c>
      <c r="L405" s="5"/>
    </row>
    <row r="406" spans="1:12" customHeight="1" ht="105" outlineLevel="4">
      <c r="A406" s="1"/>
      <c r="B406" s="1">
        <v>954742</v>
      </c>
      <c r="C406" s="1" t="s">
        <v>1513</v>
      </c>
      <c r="D406" s="1" t="s">
        <v>1514</v>
      </c>
      <c r="E406" s="2" t="s">
        <v>1515</v>
      </c>
      <c r="F406" s="2" t="s">
        <v>1516</v>
      </c>
      <c r="G406" s="2">
        <v>0</v>
      </c>
      <c r="H406" s="2">
        <v>0</v>
      </c>
      <c r="I406" s="1">
        <v>0</v>
      </c>
      <c r="J406" s="3" t="s">
        <v>18</v>
      </c>
      <c r="K406" s="2" t="str">
        <f>J406*595.43</f>
        <v>0</v>
      </c>
      <c r="L406" s="5"/>
    </row>
    <row r="407" spans="1:12" customHeight="1" ht="105" outlineLevel="4">
      <c r="A407" s="1"/>
      <c r="B407" s="1">
        <v>954743</v>
      </c>
      <c r="C407" s="1" t="s">
        <v>1517</v>
      </c>
      <c r="D407" s="1" t="s">
        <v>1518</v>
      </c>
      <c r="E407" s="2" t="s">
        <v>1519</v>
      </c>
      <c r="F407" s="2" t="s">
        <v>1520</v>
      </c>
      <c r="G407" s="2">
        <v>0</v>
      </c>
      <c r="H407" s="2">
        <v>0</v>
      </c>
      <c r="I407" s="1">
        <v>0</v>
      </c>
      <c r="J407" s="3" t="s">
        <v>18</v>
      </c>
      <c r="K407" s="2" t="str">
        <f>J407*912.90</f>
        <v>0</v>
      </c>
      <c r="L407" s="5"/>
    </row>
    <row r="408" spans="1:12" customHeight="1" ht="105" outlineLevel="4">
      <c r="A408" s="1"/>
      <c r="B408" s="1">
        <v>954744</v>
      </c>
      <c r="C408" s="1" t="s">
        <v>1521</v>
      </c>
      <c r="D408" s="1" t="s">
        <v>1522</v>
      </c>
      <c r="E408" s="2" t="s">
        <v>1523</v>
      </c>
      <c r="F408" s="2" t="s">
        <v>383</v>
      </c>
      <c r="G408" s="2">
        <v>0</v>
      </c>
      <c r="H408" s="2">
        <v>0</v>
      </c>
      <c r="I408" s="1">
        <v>0</v>
      </c>
      <c r="J408" s="3" t="s">
        <v>18</v>
      </c>
      <c r="K408" s="2" t="str">
        <f>J408*0.00</f>
        <v>0</v>
      </c>
      <c r="L408" s="5"/>
    </row>
    <row r="409" spans="1:12" customHeight="1" ht="105" outlineLevel="4">
      <c r="A409" s="1"/>
      <c r="B409" s="1">
        <v>954745</v>
      </c>
      <c r="C409" s="1" t="s">
        <v>1524</v>
      </c>
      <c r="D409" s="1" t="s">
        <v>1525</v>
      </c>
      <c r="E409" s="2" t="s">
        <v>1526</v>
      </c>
      <c r="F409" s="2" t="s">
        <v>1527</v>
      </c>
      <c r="G409" s="2" t="s">
        <v>23</v>
      </c>
      <c r="H409" s="2">
        <v>0</v>
      </c>
      <c r="I409" s="1">
        <v>0</v>
      </c>
      <c r="J409" s="3" t="s">
        <v>18</v>
      </c>
      <c r="K409" s="2" t="str">
        <f>J409*481.51</f>
        <v>0</v>
      </c>
      <c r="L409" s="5"/>
    </row>
    <row r="410" spans="1:12" customHeight="1" ht="105" outlineLevel="4">
      <c r="A410" s="1"/>
      <c r="B410" s="1">
        <v>954746</v>
      </c>
      <c r="C410" s="1" t="s">
        <v>1528</v>
      </c>
      <c r="D410" s="1" t="s">
        <v>1529</v>
      </c>
      <c r="E410" s="2" t="s">
        <v>1530</v>
      </c>
      <c r="F410" s="2" t="s">
        <v>1531</v>
      </c>
      <c r="G410" s="2" t="s">
        <v>87</v>
      </c>
      <c r="H410" s="2">
        <v>0</v>
      </c>
      <c r="I410" s="1">
        <v>0</v>
      </c>
      <c r="J410" s="3" t="s">
        <v>18</v>
      </c>
      <c r="K410" s="2" t="str">
        <f>J410*710.88</f>
        <v>0</v>
      </c>
      <c r="L410" s="5"/>
    </row>
    <row r="411" spans="1:12" customHeight="1" ht="105" outlineLevel="4">
      <c r="A411" s="1"/>
      <c r="B411" s="1">
        <v>954747</v>
      </c>
      <c r="C411" s="1" t="s">
        <v>1532</v>
      </c>
      <c r="D411" s="1" t="s">
        <v>1533</v>
      </c>
      <c r="E411" s="2" t="s">
        <v>1534</v>
      </c>
      <c r="F411" s="2" t="s">
        <v>1535</v>
      </c>
      <c r="G411" s="2" t="s">
        <v>23</v>
      </c>
      <c r="H411" s="2">
        <v>0</v>
      </c>
      <c r="I411" s="1">
        <v>0</v>
      </c>
      <c r="J411" s="3" t="s">
        <v>18</v>
      </c>
      <c r="K411" s="2" t="str">
        <f>J411*524.04</f>
        <v>0</v>
      </c>
      <c r="L411" s="5"/>
    </row>
    <row r="412" spans="1:12" customHeight="1" ht="105" outlineLevel="4">
      <c r="A412" s="1"/>
      <c r="B412" s="1">
        <v>954748</v>
      </c>
      <c r="C412" s="1" t="s">
        <v>1536</v>
      </c>
      <c r="D412" s="1" t="s">
        <v>1537</v>
      </c>
      <c r="E412" s="2" t="s">
        <v>1538</v>
      </c>
      <c r="F412" s="2" t="s">
        <v>1539</v>
      </c>
      <c r="G412" s="2" t="s">
        <v>23</v>
      </c>
      <c r="H412" s="2">
        <v>0</v>
      </c>
      <c r="I412" s="1">
        <v>0</v>
      </c>
      <c r="J412" s="3" t="s">
        <v>18</v>
      </c>
      <c r="K412" s="2" t="str">
        <f>J412*757.96</f>
        <v>0</v>
      </c>
      <c r="L412" s="5"/>
    </row>
    <row r="413" spans="1:12" customHeight="1" ht="105" outlineLevel="4">
      <c r="A413" s="1"/>
      <c r="B413" s="1">
        <v>954749</v>
      </c>
      <c r="C413" s="1" t="s">
        <v>1540</v>
      </c>
      <c r="D413" s="1" t="s">
        <v>1541</v>
      </c>
      <c r="E413" s="2" t="s">
        <v>1542</v>
      </c>
      <c r="F413" s="2" t="s">
        <v>1543</v>
      </c>
      <c r="G413" s="2" t="s">
        <v>48</v>
      </c>
      <c r="H413" s="2">
        <v>0</v>
      </c>
      <c r="I413" s="1">
        <v>0</v>
      </c>
      <c r="J413" s="3" t="s">
        <v>18</v>
      </c>
      <c r="K413" s="2" t="str">
        <f>J413*1330.83</f>
        <v>0</v>
      </c>
      <c r="L413" s="5"/>
    </row>
    <row r="414" spans="1:12" customHeight="1" ht="105" outlineLevel="4">
      <c r="A414" s="1"/>
      <c r="B414" s="1">
        <v>954750</v>
      </c>
      <c r="C414" s="1" t="s">
        <v>1544</v>
      </c>
      <c r="D414" s="1" t="s">
        <v>1545</v>
      </c>
      <c r="E414" s="2" t="s">
        <v>1546</v>
      </c>
      <c r="F414" s="2" t="s">
        <v>1547</v>
      </c>
      <c r="G414" s="2" t="s">
        <v>87</v>
      </c>
      <c r="H414" s="2">
        <v>0</v>
      </c>
      <c r="I414" s="1">
        <v>0</v>
      </c>
      <c r="J414" s="3" t="s">
        <v>18</v>
      </c>
      <c r="K414" s="2" t="str">
        <f>J414*607.53</f>
        <v>0</v>
      </c>
      <c r="L414" s="5"/>
    </row>
    <row r="415" spans="1:12" customHeight="1" ht="105" outlineLevel="4">
      <c r="A415" s="1"/>
      <c r="B415" s="1">
        <v>954751</v>
      </c>
      <c r="C415" s="1" t="s">
        <v>1548</v>
      </c>
      <c r="D415" s="1" t="s">
        <v>1549</v>
      </c>
      <c r="E415" s="2" t="s">
        <v>1550</v>
      </c>
      <c r="F415" s="2" t="s">
        <v>1551</v>
      </c>
      <c r="G415" s="2" t="s">
        <v>23</v>
      </c>
      <c r="H415" s="2">
        <v>0</v>
      </c>
      <c r="I415" s="1">
        <v>0</v>
      </c>
      <c r="J415" s="3" t="s">
        <v>18</v>
      </c>
      <c r="K415" s="2" t="str">
        <f>J415*987.37</f>
        <v>0</v>
      </c>
      <c r="L415" s="5"/>
    </row>
    <row r="416" spans="1:12" customHeight="1" ht="105" outlineLevel="4">
      <c r="A416" s="1"/>
      <c r="B416" s="1">
        <v>954752</v>
      </c>
      <c r="C416" s="1" t="s">
        <v>1552</v>
      </c>
      <c r="D416" s="1" t="s">
        <v>1553</v>
      </c>
      <c r="E416" s="2" t="s">
        <v>1554</v>
      </c>
      <c r="F416" s="2" t="s">
        <v>1555</v>
      </c>
      <c r="G416" s="2">
        <v>1</v>
      </c>
      <c r="H416" s="2">
        <v>0</v>
      </c>
      <c r="I416" s="1" t="s">
        <v>48</v>
      </c>
      <c r="J416" s="3" t="s">
        <v>18</v>
      </c>
      <c r="K416" s="2" t="str">
        <f>J416*1310.86</f>
        <v>0</v>
      </c>
      <c r="L416" s="5"/>
    </row>
    <row r="417" spans="1:12" customHeight="1" ht="105" outlineLevel="4">
      <c r="A417" s="1"/>
      <c r="B417" s="1">
        <v>954753</v>
      </c>
      <c r="C417" s="1" t="s">
        <v>1556</v>
      </c>
      <c r="D417" s="1" t="s">
        <v>1557</v>
      </c>
      <c r="E417" s="2" t="s">
        <v>1558</v>
      </c>
      <c r="F417" s="2" t="s">
        <v>1559</v>
      </c>
      <c r="G417" s="2" t="s">
        <v>17</v>
      </c>
      <c r="H417" s="2">
        <v>0</v>
      </c>
      <c r="I417" s="1">
        <v>0</v>
      </c>
      <c r="J417" s="3" t="s">
        <v>18</v>
      </c>
      <c r="K417" s="2" t="str">
        <f>J417*409.15</f>
        <v>0</v>
      </c>
      <c r="L417" s="5"/>
    </row>
    <row r="418" spans="1:12" customHeight="1" ht="105" outlineLevel="4">
      <c r="A418" s="1"/>
      <c r="B418" s="1">
        <v>954754</v>
      </c>
      <c r="C418" s="1" t="s">
        <v>1560</v>
      </c>
      <c r="D418" s="1" t="s">
        <v>1561</v>
      </c>
      <c r="E418" s="2" t="s">
        <v>1562</v>
      </c>
      <c r="F418" s="2" t="s">
        <v>1563</v>
      </c>
      <c r="G418" s="2" t="s">
        <v>87</v>
      </c>
      <c r="H418" s="2">
        <v>0</v>
      </c>
      <c r="I418" s="1">
        <v>0</v>
      </c>
      <c r="J418" s="3" t="s">
        <v>18</v>
      </c>
      <c r="K418" s="2" t="str">
        <f>J418*614.29</f>
        <v>0</v>
      </c>
      <c r="L418" s="5"/>
    </row>
    <row r="419" spans="1:12" customHeight="1" ht="105" outlineLevel="4">
      <c r="A419" s="1"/>
      <c r="B419" s="1">
        <v>954755</v>
      </c>
      <c r="C419" s="1" t="s">
        <v>1564</v>
      </c>
      <c r="D419" s="1" t="s">
        <v>1565</v>
      </c>
      <c r="E419" s="2" t="s">
        <v>1566</v>
      </c>
      <c r="F419" s="2" t="s">
        <v>1567</v>
      </c>
      <c r="G419" s="2" t="s">
        <v>87</v>
      </c>
      <c r="H419" s="2">
        <v>0</v>
      </c>
      <c r="I419" s="1">
        <v>0</v>
      </c>
      <c r="J419" s="3" t="s">
        <v>18</v>
      </c>
      <c r="K419" s="2" t="str">
        <f>J419*922.00</f>
        <v>0</v>
      </c>
      <c r="L419" s="5"/>
    </row>
    <row r="420" spans="1:12" customHeight="1" ht="105" outlineLevel="4">
      <c r="A420" s="1"/>
      <c r="B420" s="1">
        <v>954756</v>
      </c>
      <c r="C420" s="1" t="s">
        <v>1568</v>
      </c>
      <c r="D420" s="1" t="s">
        <v>1569</v>
      </c>
      <c r="E420" s="2" t="s">
        <v>1570</v>
      </c>
      <c r="F420" s="2" t="s">
        <v>1571</v>
      </c>
      <c r="G420" s="2" t="s">
        <v>17</v>
      </c>
      <c r="H420" s="2">
        <v>0</v>
      </c>
      <c r="I420" s="1">
        <v>0</v>
      </c>
      <c r="J420" s="3" t="s">
        <v>18</v>
      </c>
      <c r="K420" s="2" t="str">
        <f>J420*433.95</f>
        <v>0</v>
      </c>
      <c r="L420" s="5"/>
    </row>
    <row r="421" spans="1:12" customHeight="1" ht="105" outlineLevel="4">
      <c r="A421" s="1"/>
      <c r="B421" s="1">
        <v>954757</v>
      </c>
      <c r="C421" s="1" t="s">
        <v>1572</v>
      </c>
      <c r="D421" s="1" t="s">
        <v>1573</v>
      </c>
      <c r="E421" s="2" t="s">
        <v>1574</v>
      </c>
      <c r="F421" s="2" t="s">
        <v>1575</v>
      </c>
      <c r="G421" s="2" t="s">
        <v>87</v>
      </c>
      <c r="H421" s="2">
        <v>0</v>
      </c>
      <c r="I421" s="1">
        <v>0</v>
      </c>
      <c r="J421" s="3" t="s">
        <v>18</v>
      </c>
      <c r="K421" s="2" t="str">
        <f>J421*635.71</f>
        <v>0</v>
      </c>
      <c r="L421" s="5"/>
    </row>
    <row r="422" spans="1:12" customHeight="1" ht="105" outlineLevel="4">
      <c r="A422" s="1"/>
      <c r="B422" s="1">
        <v>954758</v>
      </c>
      <c r="C422" s="1" t="s">
        <v>1576</v>
      </c>
      <c r="D422" s="1" t="s">
        <v>1577</v>
      </c>
      <c r="E422" s="2" t="s">
        <v>1578</v>
      </c>
      <c r="F422" s="2" t="s">
        <v>1579</v>
      </c>
      <c r="G422" s="2" t="s">
        <v>48</v>
      </c>
      <c r="H422" s="2">
        <v>0</v>
      </c>
      <c r="I422" s="1">
        <v>10</v>
      </c>
      <c r="J422" s="3" t="s">
        <v>18</v>
      </c>
      <c r="K422" s="2" t="str">
        <f>J422*980.61</f>
        <v>0</v>
      </c>
      <c r="L422" s="5"/>
    </row>
    <row r="423" spans="1:12" customHeight="1" ht="105" outlineLevel="4">
      <c r="A423" s="1"/>
      <c r="B423" s="1">
        <v>954759</v>
      </c>
      <c r="C423" s="1" t="s">
        <v>1580</v>
      </c>
      <c r="D423" s="1" t="s">
        <v>1581</v>
      </c>
      <c r="E423" s="2" t="s">
        <v>1582</v>
      </c>
      <c r="F423" s="2" t="s">
        <v>1583</v>
      </c>
      <c r="G423" s="2" t="s">
        <v>23</v>
      </c>
      <c r="H423" s="2">
        <v>0</v>
      </c>
      <c r="I423" s="1">
        <v>0</v>
      </c>
      <c r="J423" s="3" t="s">
        <v>18</v>
      </c>
      <c r="K423" s="2" t="str">
        <f>J423*429.44</f>
        <v>0</v>
      </c>
      <c r="L423" s="5"/>
    </row>
    <row r="424" spans="1:12" customHeight="1" ht="105" outlineLevel="4">
      <c r="A424" s="1"/>
      <c r="B424" s="1">
        <v>954760</v>
      </c>
      <c r="C424" s="1" t="s">
        <v>1584</v>
      </c>
      <c r="D424" s="1" t="s">
        <v>1585</v>
      </c>
      <c r="E424" s="2" t="s">
        <v>1586</v>
      </c>
      <c r="F424" s="2" t="s">
        <v>1587</v>
      </c>
      <c r="G424" s="2" t="s">
        <v>23</v>
      </c>
      <c r="H424" s="2">
        <v>0</v>
      </c>
      <c r="I424" s="1">
        <v>0</v>
      </c>
      <c r="J424" s="3" t="s">
        <v>18</v>
      </c>
      <c r="K424" s="2" t="str">
        <f>J424*627.82</f>
        <v>0</v>
      </c>
      <c r="L424" s="5"/>
    </row>
    <row r="425" spans="1:12" customHeight="1" ht="105" outlineLevel="4">
      <c r="A425" s="1"/>
      <c r="B425" s="1">
        <v>954761</v>
      </c>
      <c r="C425" s="1" t="s">
        <v>1588</v>
      </c>
      <c r="D425" s="1" t="s">
        <v>1589</v>
      </c>
      <c r="E425" s="2" t="s">
        <v>1590</v>
      </c>
      <c r="F425" s="2" t="s">
        <v>1591</v>
      </c>
      <c r="G425" s="2" t="s">
        <v>23</v>
      </c>
      <c r="H425" s="2">
        <v>0</v>
      </c>
      <c r="I425" s="1">
        <v>0</v>
      </c>
      <c r="J425" s="3" t="s">
        <v>18</v>
      </c>
      <c r="K425" s="2" t="str">
        <f>J425*432.82</f>
        <v>0</v>
      </c>
      <c r="L425" s="5"/>
    </row>
    <row r="426" spans="1:12" customHeight="1" ht="105" outlineLevel="4">
      <c r="A426" s="1"/>
      <c r="B426" s="1">
        <v>954762</v>
      </c>
      <c r="C426" s="1" t="s">
        <v>1592</v>
      </c>
      <c r="D426" s="1" t="s">
        <v>1593</v>
      </c>
      <c r="E426" s="2" t="s">
        <v>1594</v>
      </c>
      <c r="F426" s="2" t="s">
        <v>1595</v>
      </c>
      <c r="G426" s="2" t="s">
        <v>23</v>
      </c>
      <c r="H426" s="2">
        <v>0</v>
      </c>
      <c r="I426" s="1">
        <v>0</v>
      </c>
      <c r="J426" s="3" t="s">
        <v>18</v>
      </c>
      <c r="K426" s="2" t="str">
        <f>J426*658.25</f>
        <v>0</v>
      </c>
      <c r="L426" s="5"/>
    </row>
    <row r="427" spans="1:12" customHeight="1" ht="105" outlineLevel="4">
      <c r="A427" s="1"/>
      <c r="B427" s="1">
        <v>954763</v>
      </c>
      <c r="C427" s="1" t="s">
        <v>1596</v>
      </c>
      <c r="D427" s="1" t="s">
        <v>1597</v>
      </c>
      <c r="E427" s="2" t="s">
        <v>1598</v>
      </c>
      <c r="F427" s="2" t="s">
        <v>1599</v>
      </c>
      <c r="G427" s="2" t="s">
        <v>48</v>
      </c>
      <c r="H427" s="2">
        <v>0</v>
      </c>
      <c r="I427" s="1">
        <v>0</v>
      </c>
      <c r="J427" s="3" t="s">
        <v>18</v>
      </c>
      <c r="K427" s="2" t="str">
        <f>J427*959.20</f>
        <v>0</v>
      </c>
      <c r="L427" s="5"/>
    </row>
    <row r="428" spans="1:12" customHeight="1" ht="105" outlineLevel="4">
      <c r="A428" s="1"/>
      <c r="B428" s="1">
        <v>954764</v>
      </c>
      <c r="C428" s="1" t="s">
        <v>1600</v>
      </c>
      <c r="D428" s="1" t="s">
        <v>1601</v>
      </c>
      <c r="E428" s="2" t="s">
        <v>1602</v>
      </c>
      <c r="F428" s="2" t="s">
        <v>1603</v>
      </c>
      <c r="G428" s="2" t="s">
        <v>48</v>
      </c>
      <c r="H428" s="2">
        <v>0</v>
      </c>
      <c r="I428" s="1">
        <v>0</v>
      </c>
      <c r="J428" s="3" t="s">
        <v>18</v>
      </c>
      <c r="K428" s="2" t="str">
        <f>J428*1637.73</f>
        <v>0</v>
      </c>
      <c r="L428" s="5"/>
    </row>
    <row r="429" spans="1:12" customHeight="1" ht="105" outlineLevel="4">
      <c r="A429" s="1"/>
      <c r="B429" s="1">
        <v>954765</v>
      </c>
      <c r="C429" s="1" t="s">
        <v>1604</v>
      </c>
      <c r="D429" s="1" t="s">
        <v>1605</v>
      </c>
      <c r="E429" s="2" t="s">
        <v>1606</v>
      </c>
      <c r="F429" s="2" t="s">
        <v>1607</v>
      </c>
      <c r="G429" s="2">
        <v>8</v>
      </c>
      <c r="H429" s="2">
        <v>0</v>
      </c>
      <c r="I429" s="1">
        <v>0</v>
      </c>
      <c r="J429" s="3" t="s">
        <v>18</v>
      </c>
      <c r="K429" s="2" t="str">
        <f>J429*2332.05</f>
        <v>0</v>
      </c>
      <c r="L429" s="5"/>
    </row>
    <row r="430" spans="1:12" customHeight="1" ht="105" outlineLevel="4">
      <c r="A430" s="1"/>
      <c r="B430" s="1">
        <v>954766</v>
      </c>
      <c r="C430" s="1" t="s">
        <v>1608</v>
      </c>
      <c r="D430" s="1" t="s">
        <v>1609</v>
      </c>
      <c r="E430" s="2" t="s">
        <v>1610</v>
      </c>
      <c r="F430" s="2" t="s">
        <v>1611</v>
      </c>
      <c r="G430" s="2">
        <v>6</v>
      </c>
      <c r="H430" s="2">
        <v>0</v>
      </c>
      <c r="I430" s="1">
        <v>0</v>
      </c>
      <c r="J430" s="3" t="s">
        <v>18</v>
      </c>
      <c r="K430" s="2" t="str">
        <f>J430*3655.32</f>
        <v>0</v>
      </c>
      <c r="L430" s="5"/>
    </row>
    <row r="431" spans="1:12" customHeight="1" ht="105" outlineLevel="4">
      <c r="A431" s="1"/>
      <c r="B431" s="1">
        <v>954767</v>
      </c>
      <c r="C431" s="1" t="s">
        <v>1612</v>
      </c>
      <c r="D431" s="1" t="s">
        <v>1613</v>
      </c>
      <c r="E431" s="2" t="s">
        <v>1614</v>
      </c>
      <c r="F431" s="2" t="s">
        <v>1615</v>
      </c>
      <c r="G431" s="2" t="s">
        <v>23</v>
      </c>
      <c r="H431" s="2">
        <v>0</v>
      </c>
      <c r="I431" s="1">
        <v>0</v>
      </c>
      <c r="J431" s="3" t="s">
        <v>18</v>
      </c>
      <c r="K431" s="2" t="str">
        <f>J431*456.49</f>
        <v>0</v>
      </c>
      <c r="L431" s="5"/>
    </row>
    <row r="432" spans="1:12" customHeight="1" ht="105" outlineLevel="4">
      <c r="A432" s="1"/>
      <c r="B432" s="1">
        <v>954768</v>
      </c>
      <c r="C432" s="1" t="s">
        <v>1616</v>
      </c>
      <c r="D432" s="1" t="s">
        <v>1617</v>
      </c>
      <c r="E432" s="2" t="s">
        <v>1618</v>
      </c>
      <c r="F432" s="2" t="s">
        <v>1619</v>
      </c>
      <c r="G432" s="2" t="s">
        <v>23</v>
      </c>
      <c r="H432" s="2">
        <v>0</v>
      </c>
      <c r="I432" s="1">
        <v>0</v>
      </c>
      <c r="J432" s="3" t="s">
        <v>18</v>
      </c>
      <c r="K432" s="2" t="str">
        <f>J432*659.38</f>
        <v>0</v>
      </c>
      <c r="L432" s="5"/>
    </row>
    <row r="433" spans="1:12" customHeight="1" ht="105" outlineLevel="4">
      <c r="A433" s="1"/>
      <c r="B433" s="1">
        <v>954769</v>
      </c>
      <c r="C433" s="1" t="s">
        <v>1620</v>
      </c>
      <c r="D433" s="1" t="s">
        <v>1621</v>
      </c>
      <c r="E433" s="2" t="s">
        <v>1622</v>
      </c>
      <c r="F433" s="2" t="s">
        <v>1623</v>
      </c>
      <c r="G433" s="2" t="s">
        <v>48</v>
      </c>
      <c r="H433" s="2">
        <v>0</v>
      </c>
      <c r="I433" s="1">
        <v>0</v>
      </c>
      <c r="J433" s="3" t="s">
        <v>18</v>
      </c>
      <c r="K433" s="2" t="str">
        <f>J433*1017.81</f>
        <v>0</v>
      </c>
      <c r="L433" s="5"/>
    </row>
    <row r="434" spans="1:12" customHeight="1" ht="105" outlineLevel="4">
      <c r="A434" s="1"/>
      <c r="B434" s="1">
        <v>954770</v>
      </c>
      <c r="C434" s="1" t="s">
        <v>1624</v>
      </c>
      <c r="D434" s="1" t="s">
        <v>1625</v>
      </c>
      <c r="E434" s="2" t="s">
        <v>1626</v>
      </c>
      <c r="F434" s="2" t="s">
        <v>1627</v>
      </c>
      <c r="G434" s="2" t="s">
        <v>48</v>
      </c>
      <c r="H434" s="2">
        <v>0</v>
      </c>
      <c r="I434" s="1">
        <v>0</v>
      </c>
      <c r="J434" s="3" t="s">
        <v>18</v>
      </c>
      <c r="K434" s="2" t="str">
        <f>J434*1699.73</f>
        <v>0</v>
      </c>
      <c r="L434" s="5"/>
    </row>
    <row r="435" spans="1:12" customHeight="1" ht="105" outlineLevel="4">
      <c r="A435" s="1"/>
      <c r="B435" s="1">
        <v>954771</v>
      </c>
      <c r="C435" s="1" t="s">
        <v>1628</v>
      </c>
      <c r="D435" s="1" t="s">
        <v>1629</v>
      </c>
      <c r="E435" s="2" t="s">
        <v>1630</v>
      </c>
      <c r="F435" s="2" t="s">
        <v>1631</v>
      </c>
      <c r="G435" s="2" t="s">
        <v>23</v>
      </c>
      <c r="H435" s="2">
        <v>0</v>
      </c>
      <c r="I435" s="1">
        <v>0</v>
      </c>
      <c r="J435" s="3" t="s">
        <v>18</v>
      </c>
      <c r="K435" s="2" t="str">
        <f>J435*448.60</f>
        <v>0</v>
      </c>
      <c r="L435" s="5"/>
    </row>
    <row r="436" spans="1:12" customHeight="1" ht="105" outlineLevel="4">
      <c r="A436" s="1"/>
      <c r="B436" s="1">
        <v>954772</v>
      </c>
      <c r="C436" s="1" t="s">
        <v>1632</v>
      </c>
      <c r="D436" s="1" t="s">
        <v>1633</v>
      </c>
      <c r="E436" s="2" t="s">
        <v>1634</v>
      </c>
      <c r="F436" s="2" t="s">
        <v>1635</v>
      </c>
      <c r="G436" s="2" t="s">
        <v>48</v>
      </c>
      <c r="H436" s="2">
        <v>0</v>
      </c>
      <c r="I436" s="1">
        <v>0</v>
      </c>
      <c r="J436" s="3" t="s">
        <v>18</v>
      </c>
      <c r="K436" s="2" t="str">
        <f>J436*644.72</f>
        <v>0</v>
      </c>
      <c r="L436" s="5"/>
    </row>
    <row r="437" spans="1:12" customHeight="1" ht="105" outlineLevel="4">
      <c r="A437" s="1"/>
      <c r="B437" s="1">
        <v>954773</v>
      </c>
      <c r="C437" s="1" t="s">
        <v>1636</v>
      </c>
      <c r="D437" s="1" t="s">
        <v>1637</v>
      </c>
      <c r="E437" s="2" t="s">
        <v>1638</v>
      </c>
      <c r="F437" s="2" t="s">
        <v>1623</v>
      </c>
      <c r="G437" s="2">
        <v>10</v>
      </c>
      <c r="H437" s="2">
        <v>0</v>
      </c>
      <c r="I437" s="1">
        <v>0</v>
      </c>
      <c r="J437" s="3" t="s">
        <v>18</v>
      </c>
      <c r="K437" s="2" t="str">
        <f>J437*1017.81</f>
        <v>0</v>
      </c>
      <c r="L437" s="5"/>
    </row>
    <row r="438" spans="1:12" customHeight="1" ht="105" outlineLevel="4">
      <c r="A438" s="1"/>
      <c r="B438" s="1">
        <v>954774</v>
      </c>
      <c r="C438" s="1" t="s">
        <v>1639</v>
      </c>
      <c r="D438" s="1" t="s">
        <v>1640</v>
      </c>
      <c r="E438" s="2" t="s">
        <v>1641</v>
      </c>
      <c r="F438" s="2" t="s">
        <v>1642</v>
      </c>
      <c r="G438" s="2">
        <v>0</v>
      </c>
      <c r="H438" s="2">
        <v>0</v>
      </c>
      <c r="I438" s="1">
        <v>0</v>
      </c>
      <c r="J438" s="3" t="s">
        <v>18</v>
      </c>
      <c r="K438" s="2" t="str">
        <f>J438*347.67</f>
        <v>0</v>
      </c>
      <c r="L438" s="5"/>
    </row>
    <row r="439" spans="1:12" customHeight="1" ht="105" outlineLevel="4">
      <c r="A439" s="1"/>
      <c r="B439" s="1">
        <v>954775</v>
      </c>
      <c r="C439" s="1" t="s">
        <v>1643</v>
      </c>
      <c r="D439" s="1" t="s">
        <v>1644</v>
      </c>
      <c r="E439" s="2" t="s">
        <v>1645</v>
      </c>
      <c r="F439" s="2" t="s">
        <v>1646</v>
      </c>
      <c r="G439" s="2" t="s">
        <v>87</v>
      </c>
      <c r="H439" s="2">
        <v>0</v>
      </c>
      <c r="I439" s="1">
        <v>0</v>
      </c>
      <c r="J439" s="3" t="s">
        <v>18</v>
      </c>
      <c r="K439" s="2" t="str">
        <f>J439*368.41</f>
        <v>0</v>
      </c>
      <c r="L439" s="5"/>
    </row>
    <row r="440" spans="1:12" customHeight="1" ht="105" outlineLevel="4">
      <c r="A440" s="1"/>
      <c r="B440" s="1">
        <v>954776</v>
      </c>
      <c r="C440" s="1" t="s">
        <v>1647</v>
      </c>
      <c r="D440" s="1" t="s">
        <v>1648</v>
      </c>
      <c r="E440" s="2" t="s">
        <v>1649</v>
      </c>
      <c r="F440" s="2" t="s">
        <v>1650</v>
      </c>
      <c r="G440" s="2" t="s">
        <v>87</v>
      </c>
      <c r="H440" s="2">
        <v>0</v>
      </c>
      <c r="I440" s="1">
        <v>0</v>
      </c>
      <c r="J440" s="3" t="s">
        <v>18</v>
      </c>
      <c r="K440" s="2" t="str">
        <f>J440*371.38</f>
        <v>0</v>
      </c>
      <c r="L44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7:K17"/>
    <mergeCell ref="A182:K182"/>
    <mergeCell ref="A269:K269"/>
    <mergeCell ref="A321:K321"/>
    <mergeCell ref="A352:K352"/>
    <mergeCell ref="A359:K359"/>
    <mergeCell ref="A399:K399"/>
    <mergeCell ref="A402:K402"/>
    <mergeCell ref="A18:K18"/>
    <mergeCell ref="A117:K117"/>
    <mergeCell ref="A124:K124"/>
    <mergeCell ref="A138:K138"/>
    <mergeCell ref="A160:K160"/>
    <mergeCell ref="A168:K168"/>
    <mergeCell ref="A183:K183"/>
    <mergeCell ref="A247:K247"/>
    <mergeCell ref="A270:K270"/>
    <mergeCell ref="A314:K314"/>
    <mergeCell ref="A322:K32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2026-05-01T17:30:24+03:00</dcterms:created>
  <dcterms:modified xsi:type="dcterms:W3CDTF">2026-05-01T17:30:24+03:00</dcterms:modified>
  <dc:title>Untitled Spreadsheet</dc:title>
  <dc:description/>
  <dc:subject/>
  <cp:keywords/>
  <cp:category/>
</cp:coreProperties>
</file>