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<sst xmlns="http://schemas.openxmlformats.org/spreadsheetml/2006/main" uniqueCount="1466">
  <si>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</si>
  <si>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</si>
  <si>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</si>
  <si>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</si>
  <si>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</si>
  <si>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</si>
  <si>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</si>
  <si>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</si>
  <si>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</si>
  <si>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</si>
  <si>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</si>
  <si>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Группы быстрого монтажа</t>
  </si>
  <si>
    <t>Группы быстрого монтажа VIEIR</t>
  </si>
  <si>
    <t>Группы из нержавеющей стали</t>
  </si>
  <si>
    <t>VER-001008</t>
  </si>
  <si>
    <t>VP226</t>
  </si>
  <si>
    <t>Насосная группа  прямого контура из нержавеющей стали 1 1/2"x 1" VER PRO (2/1шт)</t>
  </si>
  <si>
    <t>10 896.38 руб.</t>
  </si>
  <si>
    <t>шт</t>
  </si>
  <si>
    <t>VER-001009</t>
  </si>
  <si>
    <t>VP227</t>
  </si>
  <si>
    <t>Насосная группа с 4-х ходовым смес клапаном НЕРЖ 1 1/2"x 1" универ (левая/правая) VER PRO (2/1шт)</t>
  </si>
  <si>
    <t>15 607.61 руб.</t>
  </si>
  <si>
    <t>VER-001011</t>
  </si>
  <si>
    <t>VP235</t>
  </si>
  <si>
    <t>Гидрострелка из нержавеющей стали 1 1/2"x 1 1/4" (1шт)</t>
  </si>
  <si>
    <t>13 873.60 руб.</t>
  </si>
  <si>
    <t>VER-001398</t>
  </si>
  <si>
    <t>VP230A</t>
  </si>
  <si>
    <t>Насосная группа из нерж. стали с трехходовым смесительным клапаном 1 1/2"x 1" (2/1шт) БЕЗ НАСОСА</t>
  </si>
  <si>
    <t>13 118.07 руб.</t>
  </si>
  <si>
    <t>&gt;10</t>
  </si>
  <si>
    <t>VER-001602</t>
  </si>
  <si>
    <t>VP226A</t>
  </si>
  <si>
    <t>Насосная группа из нерж. стали быстрого монтажа прямого контура 1 1/2"x 1" (2/1шт)</t>
  </si>
  <si>
    <t>VER-001765</t>
  </si>
  <si>
    <t>VP227A</t>
  </si>
  <si>
    <t>Насосная группа из нерж. стали с четырехходовым термостатическим смесительным клапаном 1 1/2"x 1" (2</t>
  </si>
  <si>
    <t>Группы из эмалированной стали</t>
  </si>
  <si>
    <t>KIO-210001</t>
  </si>
  <si>
    <t>VR216</t>
  </si>
  <si>
    <t>Группа быстрого монтажа 11/2  высокотемпературного прямого контура С ШАР КРАНОМ без насоса (1/2шт)</t>
  </si>
  <si>
    <t>9 301.71 руб.</t>
  </si>
  <si>
    <t>KIO-210004</t>
  </si>
  <si>
    <t>VR211.2</t>
  </si>
  <si>
    <t>Коллектор  на 3 контура с накид. гайками 11/2,  в теплоиз, сталь, до 70 кВт, VIEIR</t>
  </si>
  <si>
    <t>11 800.54 руб.</t>
  </si>
  <si>
    <t>KIO-210005</t>
  </si>
  <si>
    <t>VR211.3</t>
  </si>
  <si>
    <t>Коллектор  на 5  контуров с накид. гайками 1/12,  в теплоиз, сталь, до 70 кВт, VIEIR</t>
  </si>
  <si>
    <t>15 813.52 руб.</t>
  </si>
  <si>
    <t>KIO-210006</t>
  </si>
  <si>
    <t>VR211.4</t>
  </si>
  <si>
    <t>Коллектор  на 7  контуров с накид. гайками 1/12,  в теплоиз, сталь, до 70 кВт, VIEIR</t>
  </si>
  <si>
    <t>20 086.61 руб.</t>
  </si>
  <si>
    <t>KIO-210007</t>
  </si>
  <si>
    <t>VR205</t>
  </si>
  <si>
    <t>Гидрострелка VR 11/2  в сборе с авт воздух, дренаж кран, с накид. гайками</t>
  </si>
  <si>
    <t>10 820.51 руб.</t>
  </si>
  <si>
    <t>KIO-210009</t>
  </si>
  <si>
    <t>VR220L</t>
  </si>
  <si>
    <t>Группа быстрого монтажа 11/2" подключ СЛЕВА в теплоиз. с термометрами С ТРЕХХОД. КЛАПАН без насоса</t>
  </si>
  <si>
    <t>11 298.91 руб.</t>
  </si>
  <si>
    <t>KIO-210010</t>
  </si>
  <si>
    <t>VR220R</t>
  </si>
  <si>
    <t>Группа быстрого монтажа 11/2" подключ СПРАВА в теплоиз. с термометр  С ТРЕХХОД. КЛАПАН без насоса</t>
  </si>
  <si>
    <t>VER-001492</t>
  </si>
  <si>
    <t>VR217</t>
  </si>
  <si>
    <t>Насосная группа с трехходовым смесительным клапаном (2/1шт)</t>
  </si>
  <si>
    <t>12 944.67 руб.</t>
  </si>
  <si>
    <t>VER-001546</t>
  </si>
  <si>
    <t>VR218</t>
  </si>
  <si>
    <t>Насосная группа с термосмесительным клапаном "ViEiR"(2/1шт)</t>
  </si>
  <si>
    <t>13 249.67 руб.</t>
  </si>
  <si>
    <t>VER-001615</t>
  </si>
  <si>
    <t>VR222</t>
  </si>
  <si>
    <t>Насосная группа с теплообменником (2/1шт)</t>
  </si>
  <si>
    <t>25 400.11 руб.</t>
  </si>
  <si>
    <t>Комплектующие</t>
  </si>
  <si>
    <t>KIO-210008</t>
  </si>
  <si>
    <t>VR210A</t>
  </si>
  <si>
    <t>Кронштейн крепления коллектора (1/100шт)</t>
  </si>
  <si>
    <t>908.81 руб.</t>
  </si>
  <si>
    <t>KIO-210011</t>
  </si>
  <si>
    <t>VR209A</t>
  </si>
  <si>
    <t>Кронштейны крепления коллектора с отступом ПАРА (1/100шт)</t>
  </si>
  <si>
    <t>541.88 руб.</t>
  </si>
  <si>
    <t>VER-001088</t>
  </si>
  <si>
    <t>VR1134</t>
  </si>
  <si>
    <t>Магнитный уловитель для гидрострелки 3/4" (50/1шт)</t>
  </si>
  <si>
    <t>1 354.69 руб.</t>
  </si>
  <si>
    <t>VER-001677</t>
  </si>
  <si>
    <t>VR211-D</t>
  </si>
  <si>
    <t>Заглушка (пластина) для коллектора 1 1/2"M (250/1пара)</t>
  </si>
  <si>
    <t>139.34 руб.</t>
  </si>
  <si>
    <t>Группы быстрого монтажа VALTEC</t>
  </si>
  <si>
    <t>VLC-811058</t>
  </si>
  <si>
    <t>VT.VAR00.G.07</t>
  </si>
  <si>
    <t>Гидравлическая стрелка для систем VARIMIX 1 1/4" бронза (Италия)</t>
  </si>
  <si>
    <t>43 409.00 руб.</t>
  </si>
  <si>
    <t>VLC-811059</t>
  </si>
  <si>
    <t>VT.TVR00.FP.07</t>
  </si>
  <si>
    <t>Теплоизоляция для гидравлической стрелки VT. VAR.00</t>
  </si>
  <si>
    <t>5 216.00 руб.</t>
  </si>
  <si>
    <t>VLC-811060</t>
  </si>
  <si>
    <t>VT.VAR10.G.07</t>
  </si>
  <si>
    <t>Насосная группа высокотемп. контура для систем VARIMIX 1 1/4" бронза (Италия)</t>
  </si>
  <si>
    <t>46 022.00 руб.</t>
  </si>
  <si>
    <t>VLC-811061</t>
  </si>
  <si>
    <t>VT.VAR11.G.07</t>
  </si>
  <si>
    <t>Насосная группа высокотемп. контура с байпасом для систем VARIMIX 1 1/4" бронза (Италия)</t>
  </si>
  <si>
    <t>57 432.00 руб.</t>
  </si>
  <si>
    <t>VLC-811062</t>
  </si>
  <si>
    <t>VT.VAR20.G.07</t>
  </si>
  <si>
    <t>Насосная группа с байпасом и трехходовым клапаном  для систем VARIMIX 11/4" - 3W-KV4 бронза (Италия)</t>
  </si>
  <si>
    <t>73 160.00 руб.</t>
  </si>
  <si>
    <t>VLC-811063</t>
  </si>
  <si>
    <t>VT.VAR21.G.07</t>
  </si>
  <si>
    <t>Насосная группа с байпасом и четырехход. клапаном  для систем VARIMIX 11/4" - 4W-KV4 бронза (Италия)</t>
  </si>
  <si>
    <t>71 544.00 руб.</t>
  </si>
  <si>
    <t>VLC-811064</t>
  </si>
  <si>
    <t>VT.VAR30.G.07</t>
  </si>
  <si>
    <t>Коллекторный модуль для систем VARIMIX 1 1/4" бронза (Италия)</t>
  </si>
  <si>
    <t>35 076.00 руб.</t>
  </si>
  <si>
    <t>VLC-811065</t>
  </si>
  <si>
    <t>VT.VAR05.SS.06</t>
  </si>
  <si>
    <t>Гидравлическая стрелка из нерж. стали 1"</t>
  </si>
  <si>
    <t>17 752.00 руб.</t>
  </si>
  <si>
    <t>VLC-811066</t>
  </si>
  <si>
    <t>VT.VAR05.SS.07</t>
  </si>
  <si>
    <t>Гидравлическая стрелка из нерж. стали 1 1/4"</t>
  </si>
  <si>
    <t>26 031.00 руб.</t>
  </si>
  <si>
    <t>VLC-812012</t>
  </si>
  <si>
    <t>VT.0606.0.07</t>
  </si>
  <si>
    <t>Сдвоенный ниппель, 1 1/4"x1 1/4"  (10 /80шт)</t>
  </si>
  <si>
    <t>3 311.00 руб.</t>
  </si>
  <si>
    <t>&gt;25</t>
  </si>
  <si>
    <t>VLC-901194</t>
  </si>
  <si>
    <t>VTc.100.SN.070603</t>
  </si>
  <si>
    <t>Гидроразделитель с коллектором горизонтальный, 3 контура, до 70 кВт</t>
  </si>
  <si>
    <t>14 902.00 руб.</t>
  </si>
  <si>
    <t>VLC-901195</t>
  </si>
  <si>
    <t>VTc.100.SN.070605</t>
  </si>
  <si>
    <t>Гидроразделитель с коллектором горизонтальный, 5 контуров, до 70 кВт</t>
  </si>
  <si>
    <t>19 369.00 руб.</t>
  </si>
  <si>
    <t>VLC-911001</t>
  </si>
  <si>
    <t>VTc.100.SH.070603</t>
  </si>
  <si>
    <t>Гидроразделитель сталь с колл., гориз., 3 контура, до 70 кВт</t>
  </si>
  <si>
    <t>0.00 руб.</t>
  </si>
  <si>
    <t>VLC-911002</t>
  </si>
  <si>
    <t>VTc.100.SH.070605</t>
  </si>
  <si>
    <t>Гидроразделитель сталь с колл., гориз., 5 контуров, до 70 кВт</t>
  </si>
  <si>
    <t>17 274.00 руб.</t>
  </si>
  <si>
    <t>VLC-911003</t>
  </si>
  <si>
    <t>VTc.100.S.U</t>
  </si>
  <si>
    <t>Кронштейн крепл. универс. для гидрообвязки</t>
  </si>
  <si>
    <t>507.00 руб.</t>
  </si>
  <si>
    <t>&gt;100</t>
  </si>
  <si>
    <t>Группы быстрого монтажа MEIBES</t>
  </si>
  <si>
    <t>VLC-901056</t>
  </si>
  <si>
    <t>M66301.921RU</t>
  </si>
  <si>
    <t>Коллектор распределительный до 3 насосных групп, нерж сталь (с комплектом кронштейнов)</t>
  </si>
  <si>
    <t>32 995.00 руб.</t>
  </si>
  <si>
    <t>VLC-901057</t>
  </si>
  <si>
    <t>M66301.931RU</t>
  </si>
  <si>
    <t>Коллектор распределительный до 5 насосных групп, нерж сталь (с комплектом кронштейнов)</t>
  </si>
  <si>
    <t>45 181.00 руб.</t>
  </si>
  <si>
    <t>VLC-901058</t>
  </si>
  <si>
    <t>M66301.941RU</t>
  </si>
  <si>
    <t>Коллектор распределительный до 7 насосных групп, нерж сталь (с комплектом кронштейнов)</t>
  </si>
  <si>
    <t>57 398.00 руб.</t>
  </si>
  <si>
    <t>VLC-901059</t>
  </si>
  <si>
    <t>M66341RU</t>
  </si>
  <si>
    <t>Привод поворотный 3-поз, 230В, 50-60Гц, 5Вт, 10Нм, 120с/90°, IP42</t>
  </si>
  <si>
    <t>6 663.00 руб.</t>
  </si>
  <si>
    <t>VLC-901060</t>
  </si>
  <si>
    <t>A66341.37</t>
  </si>
  <si>
    <t>Привод MFR с электронным термостатом 5-90°С и дисплеем, 230 В</t>
  </si>
  <si>
    <t>14 557.00 руб.</t>
  </si>
  <si>
    <t>VLC-901061</t>
  </si>
  <si>
    <t>M66391.21RU</t>
  </si>
  <si>
    <t>Гидравлическая стрелка Ду25, 2 м3/час, 60 кВт, 1", нерж сталь</t>
  </si>
  <si>
    <t>40 642.00 руб.</t>
  </si>
  <si>
    <t>VLC-901062</t>
  </si>
  <si>
    <t>M66391.31RU</t>
  </si>
  <si>
    <t>Гидравлическая стрелка Ду32, 3 м3/час, 85 кВт, 1 1/4", нерж сталь</t>
  </si>
  <si>
    <t>40 825.00 руб.</t>
  </si>
  <si>
    <t>VLC-901063</t>
  </si>
  <si>
    <t>M66911EA</t>
  </si>
  <si>
    <t>Насосная группа MeiFlow TOP S UC DN25 без насоса</t>
  </si>
  <si>
    <t>19 498.00 руб.</t>
  </si>
  <si>
    <t>VLC-901064</t>
  </si>
  <si>
    <t>M66931EA</t>
  </si>
  <si>
    <t>Насосная группа MeiFlow TOP S MC DN25 без насоса</t>
  </si>
  <si>
    <t>28 924.00 руб.</t>
  </si>
  <si>
    <t>VLC-901104</t>
  </si>
  <si>
    <t>A66341</t>
  </si>
  <si>
    <t>Привод MSM поворотный 3-поз, 230В, 50-60Гц, 5Вт, 10Нм, 120с/90°, IP42</t>
  </si>
  <si>
    <t>VLC-902080</t>
  </si>
  <si>
    <t>M66931EAM</t>
  </si>
  <si>
    <t>Насосная группа MeiFlow TOP S MC DN25 с приводом без насоса</t>
  </si>
  <si>
    <t>36 575.00 руб.</t>
  </si>
  <si>
    <t>Модули быстрого монтажа VIEIR SMARTBOX</t>
  </si>
  <si>
    <t>VER-001777</t>
  </si>
  <si>
    <t>VR221</t>
  </si>
  <si>
    <t>Насосная группа прямого контура, 1"x3/4" (4/1шт)</t>
  </si>
  <si>
    <t>7 289.02 руб.</t>
  </si>
  <si>
    <t>VER-001778</t>
  </si>
  <si>
    <t>VR223</t>
  </si>
  <si>
    <t>Насосная группа с четырехходовым термостатическим смесительным клапаном, 1"x3/4" (4/1шт)</t>
  </si>
  <si>
    <t>12 830.10 руб.</t>
  </si>
  <si>
    <t>VER-001779</t>
  </si>
  <si>
    <t>VR224</t>
  </si>
  <si>
    <t>Насосная группа с трехходовым смесительным клапаном, 1"x3/4" (4/1шт)</t>
  </si>
  <si>
    <t>9 117.47 руб.</t>
  </si>
  <si>
    <t>VER-001780</t>
  </si>
  <si>
    <t>VR219-2</t>
  </si>
  <si>
    <t>Распределительный коллектор в блочной теплоизоляции SMARTBOX для 2 насосных групп, 1"HP (1шт)</t>
  </si>
  <si>
    <t>25 784.06 руб.</t>
  </si>
  <si>
    <t>VER-001781</t>
  </si>
  <si>
    <t>VR219-3</t>
  </si>
  <si>
    <t>Распределительный коллектор в блочной теплоизоляции SMARTBOX для 3 насосных групп, 1"HP (1шт)</t>
  </si>
  <si>
    <t>35 457.35 руб.</t>
  </si>
  <si>
    <t>VER-001782</t>
  </si>
  <si>
    <t>VR219-4</t>
  </si>
  <si>
    <t>Распределительный коллектор в блочной теплоизоляции SMARTBOX для 4 насосных групп, 1"HP (1шт)</t>
  </si>
  <si>
    <t>45 321.06 руб.</t>
  </si>
  <si>
    <t>Клапана и автоматика</t>
  </si>
  <si>
    <t>Клапана смесительные, подпиточные VIEIR</t>
  </si>
  <si>
    <t>KIO-410001</t>
  </si>
  <si>
    <t>VR179</t>
  </si>
  <si>
    <t>Подпиточный клапан ViEiR (40/1шт)</t>
  </si>
  <si>
    <t>2 165.96 руб.</t>
  </si>
  <si>
    <t>KIO-410002</t>
  </si>
  <si>
    <t>BL325</t>
  </si>
  <si>
    <t>Перепускной клапан ViEiR (40/1шт)</t>
  </si>
  <si>
    <t>1 399.59 руб.</t>
  </si>
  <si>
    <t>KIO-410003</t>
  </si>
  <si>
    <t>VR183</t>
  </si>
  <si>
    <t>Трехходовой смесительный клапан 3/4" ViEiR (30/1шт)</t>
  </si>
  <si>
    <t>1 782.00 руб.</t>
  </si>
  <si>
    <t>&gt;50</t>
  </si>
  <si>
    <t>KIO-410004</t>
  </si>
  <si>
    <t>VR184</t>
  </si>
  <si>
    <t>Трехходовой смесительный клапан 1" ViEiR (30/1шт)</t>
  </si>
  <si>
    <t>1 978.63 руб.</t>
  </si>
  <si>
    <t>KIO-410005</t>
  </si>
  <si>
    <t>VR173</t>
  </si>
  <si>
    <t>Термостатический смесительный клапан 1/2" VIEIR  (20/1шт)</t>
  </si>
  <si>
    <t>4 480.55 руб.</t>
  </si>
  <si>
    <t>KIO-410006</t>
  </si>
  <si>
    <t>VR174</t>
  </si>
  <si>
    <t>Термостатический смесительный клапан 3/4" VIEIR (20/1шт)</t>
  </si>
  <si>
    <t>4 749.94 руб.</t>
  </si>
  <si>
    <t>KIO-410007</t>
  </si>
  <si>
    <t>VR175</t>
  </si>
  <si>
    <t>Термостатический смесительный клапан 1" VIEIR (20/1шт)</t>
  </si>
  <si>
    <t>5 914.20 руб.</t>
  </si>
  <si>
    <t>KIO-410008</t>
  </si>
  <si>
    <t>VR201A</t>
  </si>
  <si>
    <t>Термостатический смесительный клапан 1" (20-45℃, KVS4,5) ViEiR (30/1шт)</t>
  </si>
  <si>
    <t>3 909.26 руб.</t>
  </si>
  <si>
    <t>KIO-410009</t>
  </si>
  <si>
    <t>VR180</t>
  </si>
  <si>
    <t>Термостатический смесительный клапан 20-45℃ ViEiR (30/1шт)</t>
  </si>
  <si>
    <t>3 378.22 руб.</t>
  </si>
  <si>
    <t>KIO-410010</t>
  </si>
  <si>
    <t>VR181</t>
  </si>
  <si>
    <t>Термостатический смесительный клапан 35-60℃ ViEiR (30/1шт)</t>
  </si>
  <si>
    <t>STP-310009</t>
  </si>
  <si>
    <t>VR294</t>
  </si>
  <si>
    <t>Сервомотор для смесительного клапана</t>
  </si>
  <si>
    <t>4 297.86 руб.</t>
  </si>
  <si>
    <t>STP-310018</t>
  </si>
  <si>
    <t>VR238A</t>
  </si>
  <si>
    <t>Трехходовой термостатический антиконденсационный клапан 1  (60-70°C) ViEiR (20/1шт)</t>
  </si>
  <si>
    <t>3 754.43 руб.</t>
  </si>
  <si>
    <t>STP-310019</t>
  </si>
  <si>
    <t>VR1127</t>
  </si>
  <si>
    <t>Сервомотор для трёх-ходового клапана (черный) ViEiR  (18/1шт)</t>
  </si>
  <si>
    <t>4 076.46 руб.</t>
  </si>
  <si>
    <t>STP-310020</t>
  </si>
  <si>
    <t>VR190</t>
  </si>
  <si>
    <t>Трехходовой смесительный клапан 3/4   ViEiR (12/1шт)</t>
  </si>
  <si>
    <t>1 596.22 руб.</t>
  </si>
  <si>
    <t>STP-310021</t>
  </si>
  <si>
    <t>VR191</t>
  </si>
  <si>
    <t>Трехходовой смесительный клапан  1   ViEiR (12/1шт)</t>
  </si>
  <si>
    <t>1 908.96 руб.</t>
  </si>
  <si>
    <t>STP-310022</t>
  </si>
  <si>
    <t>VR192</t>
  </si>
  <si>
    <t>Трехходовой смесительный клапан  11/4   ViEiR (12/1шт)</t>
  </si>
  <si>
    <t>2 667.58 руб.</t>
  </si>
  <si>
    <t>STP-310023</t>
  </si>
  <si>
    <t>VR193</t>
  </si>
  <si>
    <t>Трехходовой смесительный клапан 11/2   ViEiR (9/1шт)</t>
  </si>
  <si>
    <t>4 808.77 руб.</t>
  </si>
  <si>
    <t>STP-310024</t>
  </si>
  <si>
    <t>VR194</t>
  </si>
  <si>
    <t>Трехходовой смесительный клапан  2   ViEiR (9/1шт)</t>
  </si>
  <si>
    <t>5 107.58 руб.</t>
  </si>
  <si>
    <t>STP-310055</t>
  </si>
  <si>
    <t>VR234</t>
  </si>
  <si>
    <t>Термостатический смесительный клапан 3/4" (35-60℃, KVS1,5)  "ViEiR" (35/1шт)</t>
  </si>
  <si>
    <t>2 618.04 руб.</t>
  </si>
  <si>
    <t>STP-310056</t>
  </si>
  <si>
    <t>VR235</t>
  </si>
  <si>
    <t>Термостатический смесительный клапан 1" (35-60℃, KVS1,6)  "ViEiR" (35/1шт)</t>
  </si>
  <si>
    <t>STP-310057</t>
  </si>
  <si>
    <t>VR1136</t>
  </si>
  <si>
    <t>Сервомотор для трёх-ходового клапана "ViEiR" (10/1шт)</t>
  </si>
  <si>
    <t>4 398.49 руб.</t>
  </si>
  <si>
    <t>STP-310058</t>
  </si>
  <si>
    <t>VR196</t>
  </si>
  <si>
    <t>Четырехходовой смесительный клапан 3/4" "ViEiR"(12/1шт)</t>
  </si>
  <si>
    <t>1 761.87 руб.</t>
  </si>
  <si>
    <t>STP-310059</t>
  </si>
  <si>
    <t>VR197</t>
  </si>
  <si>
    <t>Четырехходовой смесительный клапан 1" "ViEiR"(12/1шт)</t>
  </si>
  <si>
    <t>2 110.22 руб.</t>
  </si>
  <si>
    <t>STP-310060</t>
  </si>
  <si>
    <t>VR198</t>
  </si>
  <si>
    <t>Четырехходовой смесительный клапан 1 1/4" "ViEiR"(9/1шт)</t>
  </si>
  <si>
    <t>2 819.31 руб.</t>
  </si>
  <si>
    <t>VER-000131</t>
  </si>
  <si>
    <t>VR238</t>
  </si>
  <si>
    <t>Трехходовой термостатический антиконденсационный клапан 1" (55-65°C)"ViEiR"(18/1шт)</t>
  </si>
  <si>
    <t>3 714.18 руб.</t>
  </si>
  <si>
    <t>VER-000132</t>
  </si>
  <si>
    <t>VR1137</t>
  </si>
  <si>
    <t>Сервомотор для трёх.и четырёх -ходового клапана (серый) "ViEiR" (18/1шт)</t>
  </si>
  <si>
    <t>4 446.49 руб.</t>
  </si>
  <si>
    <t>VER-000349</t>
  </si>
  <si>
    <t>VR250</t>
  </si>
  <si>
    <t>Термостатический смесительный клапан 1/2" "VIEIR"  (20/1шт)</t>
  </si>
  <si>
    <t>3 947.96 руб.</t>
  </si>
  <si>
    <t>VER-000350</t>
  </si>
  <si>
    <t>VR251</t>
  </si>
  <si>
    <t>Термостатический смесительный клапан 3/4" "VIEIR" (20/1шт)</t>
  </si>
  <si>
    <t>VER-000696</t>
  </si>
  <si>
    <t>VR150</t>
  </si>
  <si>
    <t>Четырехходовой смесительно-разделительный клапан 1" (20/1шт)</t>
  </si>
  <si>
    <t>2 613.40 руб.</t>
  </si>
  <si>
    <t>VER-000697</t>
  </si>
  <si>
    <t>VR151</t>
  </si>
  <si>
    <t>Четырехходовой смесительно-разделительный клапан 1 1/4" (20/1шт)</t>
  </si>
  <si>
    <t>3 556.26 руб.</t>
  </si>
  <si>
    <t>VER-000992</t>
  </si>
  <si>
    <t>VR185</t>
  </si>
  <si>
    <t>Трехходовой смесительно-разделительный клапан 1 1/2" (10/1шт)</t>
  </si>
  <si>
    <t>4 859.86 руб.</t>
  </si>
  <si>
    <t>VER-000993</t>
  </si>
  <si>
    <t>VR239</t>
  </si>
  <si>
    <t>Трехходовой термостатический антиконденсационный клапан 1 1/4" (20/1шт)</t>
  </si>
  <si>
    <t>VER-001220</t>
  </si>
  <si>
    <t>VR252</t>
  </si>
  <si>
    <t>Термостатический смесительный клапан 1" (15/1шт)</t>
  </si>
  <si>
    <t>5 186.54 руб.</t>
  </si>
  <si>
    <t>VER-001722</t>
  </si>
  <si>
    <t>VR1138</t>
  </si>
  <si>
    <t>Сервомотор поворотный со встроенным контроллером температуры (20/1шт)</t>
  </si>
  <si>
    <t>6 076.77 руб.</t>
  </si>
  <si>
    <t>Клапана и автоматика OR</t>
  </si>
  <si>
    <t>VLC-900184</t>
  </si>
  <si>
    <t>OR.514</t>
  </si>
  <si>
    <t>Подпиточный клапан "ALGAR -REG"</t>
  </si>
  <si>
    <t>8 788.00 руб.</t>
  </si>
  <si>
    <t>Клапана и автоматика ZEGOR</t>
  </si>
  <si>
    <t>ZGR-000072</t>
  </si>
  <si>
    <t>QS-8001</t>
  </si>
  <si>
    <t>Термостат погружной с регулировкой 0 ÷ 90°C, погружной зонд - 1/2", длина зонда - 100 мм (1/50шт)</t>
  </si>
  <si>
    <t>1 009.73 руб.</t>
  </si>
  <si>
    <t>ZGR-000073</t>
  </si>
  <si>
    <t>QS-8002</t>
  </si>
  <si>
    <t>Термостат накладной с регулировкой 0 ÷ 90°C (1/50шт)</t>
  </si>
  <si>
    <t>Клапана подпиточные GAPPO</t>
  </si>
  <si>
    <t>GAP-100989</t>
  </si>
  <si>
    <t>G1405.04</t>
  </si>
  <si>
    <t>Клапан автоматической подпитки 1/2" c манометром GAPPO (1/20шт)</t>
  </si>
  <si>
    <t>2 876.80 руб.</t>
  </si>
  <si>
    <t>KIO-700001</t>
  </si>
  <si>
    <t>VRQ22</t>
  </si>
  <si>
    <t>Набор кранов для подкючения газового котла 1/2-3/4 "ViEiR" (16/1шт)</t>
  </si>
  <si>
    <t>3 091.80 руб.</t>
  </si>
  <si>
    <t>SOS-110014</t>
  </si>
  <si>
    <t>BL12</t>
  </si>
  <si>
    <t>Группа безопасности бойлера 1/2"x3/4" 7 бар  (200/10шт)</t>
  </si>
  <si>
    <t>1 453.78 руб.</t>
  </si>
  <si>
    <t>TRX-100100</t>
  </si>
  <si>
    <t>fugas (фугас)</t>
  </si>
  <si>
    <t>Комплект трехход клапана dLine U 3/4 с электроприводом для подключ котла к бойлеру кос нагрева 2°С-9</t>
  </si>
  <si>
    <t>5 966.04 руб.</t>
  </si>
  <si>
    <t>VER-000356</t>
  </si>
  <si>
    <t>VRKT-1</t>
  </si>
  <si>
    <t>Выносной температурный датчик бойлера ГВС для котла, сопротивление-50 кОм (1шт)</t>
  </si>
  <si>
    <t>257.00 руб.</t>
  </si>
  <si>
    <t>VER-000357</t>
  </si>
  <si>
    <t>VRKT-2</t>
  </si>
  <si>
    <t>Выносной температурный датчик для котла (1пара)</t>
  </si>
  <si>
    <t>466.01 руб.</t>
  </si>
  <si>
    <t>пар</t>
  </si>
  <si>
    <t>VER-000358</t>
  </si>
  <si>
    <t>VRKT-3</t>
  </si>
  <si>
    <t>Трехходовой клапан 3/4” с электропривод и датчиком для подключ котла к бойлеру кос нагрева (FUGAS)</t>
  </si>
  <si>
    <t>5 815.12 руб.</t>
  </si>
  <si>
    <t>VER-001242</t>
  </si>
  <si>
    <t>VR155</t>
  </si>
  <si>
    <t>Ответный тройник для трёхходового клапана VRKT-3, 3/4"(40/10шт)</t>
  </si>
  <si>
    <t>853.07 руб.</t>
  </si>
  <si>
    <t>VER-001318</t>
  </si>
  <si>
    <t>VRDN1-112</t>
  </si>
  <si>
    <t>Магнитный уловитель для гидрострелки 3/4" (120/5шт)</t>
  </si>
  <si>
    <t>648.70 руб.</t>
  </si>
  <si>
    <t>VLC-1142002</t>
  </si>
  <si>
    <t>VT.461.N.04</t>
  </si>
  <si>
    <t>Группа безопасности бойлера (группа 1/2 + сифон) (1 /8шт)</t>
  </si>
  <si>
    <t>3 361.00 руб.</t>
  </si>
  <si>
    <t>VLC-1142003</t>
  </si>
  <si>
    <t>VT.461.N.05</t>
  </si>
  <si>
    <t>Группа безопасности бойлера (группа 3/4 + сифон + переходник 3/4*1/2) (1 /8шт)</t>
  </si>
  <si>
    <t>4 082.00 руб.</t>
  </si>
  <si>
    <t>УТ000001814</t>
  </si>
  <si>
    <t>ST-555</t>
  </si>
  <si>
    <t>Стабилизатор сетевого напржения 220В, Uвх. 145-260В Teplocom</t>
  </si>
  <si>
    <t>6 330.00 руб.</t>
  </si>
  <si>
    <t>УТ000001827</t>
  </si>
  <si>
    <t>ST-555-И</t>
  </si>
  <si>
    <t>Стабилизатор сетевого напржения 220В с ИНДИКАЦИЕЙ, Uвх. 145-260В Teplocom</t>
  </si>
  <si>
    <t>7 950.00 руб.</t>
  </si>
  <si>
    <t>Краны с сервоприводом</t>
  </si>
  <si>
    <t>VLC-900139</t>
  </si>
  <si>
    <t>S.2245N.05</t>
  </si>
  <si>
    <t>Кран шар. трехход. (L) 3/4", с сервоприводом</t>
  </si>
  <si>
    <t>10 909.00 руб.</t>
  </si>
  <si>
    <t>VLC-900140</t>
  </si>
  <si>
    <t>S.2245N.06</t>
  </si>
  <si>
    <t>Кран шар. трехход. (L) 1", с сервоприводом</t>
  </si>
  <si>
    <t>12 146.00 руб.</t>
  </si>
  <si>
    <t>VLC-900141</t>
  </si>
  <si>
    <t>S.2245N.07</t>
  </si>
  <si>
    <t>Кран шар. трехход. (L) 1 1/4", с сервоприводом</t>
  </si>
  <si>
    <t>14 103.00 руб.</t>
  </si>
  <si>
    <t>VLC-900142</t>
  </si>
  <si>
    <t>S.2281N.04</t>
  </si>
  <si>
    <t>Кран шар. двухход. 1/2", с сервоприводом</t>
  </si>
  <si>
    <t>VLC-900143</t>
  </si>
  <si>
    <t>S.2281N.05</t>
  </si>
  <si>
    <t>Кран шар. двухход. 3/4", с сервоприводом</t>
  </si>
  <si>
    <t>VLC-900144</t>
  </si>
  <si>
    <t>S.2281N.06</t>
  </si>
  <si>
    <t>Кран шар. двухход. 1", с сервоприводом</t>
  </si>
  <si>
    <t>VLC-900145</t>
  </si>
  <si>
    <t>S.2281N.07</t>
  </si>
  <si>
    <t>Кран шар. двухход. 1 1/4", с сервоприводом</t>
  </si>
  <si>
    <t>КОТЛЫ</t>
  </si>
  <si>
    <t>Электроподогреватели</t>
  </si>
  <si>
    <t>Электроподогреватели Теплотех</t>
  </si>
  <si>
    <t>KIO-310001</t>
  </si>
  <si>
    <t>Электроподогреватель "Теплотех ЭВП-3М"</t>
  </si>
  <si>
    <t>6 950.96 руб.</t>
  </si>
  <si>
    <t>KIO-310002</t>
  </si>
  <si>
    <t>Электроподогреватель "Теплотех ЭВП-4,5М"</t>
  </si>
  <si>
    <t>8 327.96 руб.</t>
  </si>
  <si>
    <t>KIO-310003</t>
  </si>
  <si>
    <t>Электроподогреватель "Теплотех ЭВП-6М"</t>
  </si>
  <si>
    <t>9 290.50 руб.</t>
  </si>
  <si>
    <t>KIO-310004</t>
  </si>
  <si>
    <t>Электроподогреватель "Теплотех ЭВП-9М"</t>
  </si>
  <si>
    <t>10 763.21 руб.</t>
  </si>
  <si>
    <t>KIO-310005</t>
  </si>
  <si>
    <t>Электроподогреватель "Теплотех ЭВП-12М"</t>
  </si>
  <si>
    <t>10 499.54 руб.</t>
  </si>
  <si>
    <t>KIO-310006</t>
  </si>
  <si>
    <t>Электроподогреватель "Теплотех ЭВП-18М"</t>
  </si>
  <si>
    <t>17 414.46 руб.</t>
  </si>
  <si>
    <t>KIO-310007</t>
  </si>
  <si>
    <t>Электроподогреватель "Теплотех ЭВП-24М"</t>
  </si>
  <si>
    <t>18 750.15 руб.</t>
  </si>
  <si>
    <t>KIO-310008</t>
  </si>
  <si>
    <t>Электроподогреватель "Теплотех ЭВП-36М"</t>
  </si>
  <si>
    <t>23 197.52 руб.</t>
  </si>
  <si>
    <t>ТЭНы</t>
  </si>
  <si>
    <t>KIO-320002</t>
  </si>
  <si>
    <t>ТЭН 1,2 кВт, L=285мм с терморегулятором  D-42мм (1/50шт)</t>
  </si>
  <si>
    <t>1 082.25 руб.</t>
  </si>
  <si>
    <t>KIO-320003</t>
  </si>
  <si>
    <t>ТЭН 1,5 кВт, L=295мм с терморегулятором  D-42мм (1/50шт)</t>
  </si>
  <si>
    <t>KIO-320004</t>
  </si>
  <si>
    <t>ТЭН 2,0 кВт с терморегулятором 1 1/4</t>
  </si>
  <si>
    <t>844.31 руб.</t>
  </si>
  <si>
    <t>KIO-320005</t>
  </si>
  <si>
    <t>ТЭН 2,5 кВт, L=280мм с терморегулятором  D-42мм (1/50шт)</t>
  </si>
  <si>
    <t>1 052.44 руб.</t>
  </si>
  <si>
    <t>KIO-320006</t>
  </si>
  <si>
    <t>ТЭН 3,0 кВт, L=283мм с терморегулятором  D-42мм (1/50шт)</t>
  </si>
  <si>
    <t>KIO-320007</t>
  </si>
  <si>
    <t>ТЭН 3,5 кВт, L=280мм с терморегулятором  D-42мм (1/50шт)</t>
  </si>
  <si>
    <t>KIO-320008</t>
  </si>
  <si>
    <t>ТЭН 4,0 кВт, L=285мм с терморегулятором  D-42мм (1/50шт)</t>
  </si>
  <si>
    <t>KIO-320009</t>
  </si>
  <si>
    <t>уплотнительная прокладка RDT D42мм круглый профиль</t>
  </si>
  <si>
    <t>105.57 руб.</t>
  </si>
  <si>
    <t>KIO-320010</t>
  </si>
  <si>
    <t>уплотнительная прокладка RF D62*17.5 мм</t>
  </si>
  <si>
    <t>170.17 руб.</t>
  </si>
  <si>
    <t>ГАЗОВЫЕ котлы</t>
  </si>
  <si>
    <t>Газовые котлы ARDERIA</t>
  </si>
  <si>
    <t>ARD-100108</t>
  </si>
  <si>
    <t>D10</t>
  </si>
  <si>
    <t>Котел газовый двухконтурный настенный ARDERIA 10КВт (раздельные т/о), закрытая к/с</t>
  </si>
  <si>
    <t>41 163.01 руб.</t>
  </si>
  <si>
    <t>ARD-100109</t>
  </si>
  <si>
    <t>D14</t>
  </si>
  <si>
    <t>Котел газовый двухконтурный настенный ARDERIA 14КВт (раздельные т/о), закрытая к/с</t>
  </si>
  <si>
    <t>41 282.50 руб.</t>
  </si>
  <si>
    <t>ARD-100110</t>
  </si>
  <si>
    <t>D16</t>
  </si>
  <si>
    <t>Котел газовый двухконтурный настенный ARDERIA 16КВт (раздельные т/о), закрытая к/с</t>
  </si>
  <si>
    <t>41 378.09 руб.</t>
  </si>
  <si>
    <t>ARD-100111</t>
  </si>
  <si>
    <t>D18</t>
  </si>
  <si>
    <t>Котел газовый двухконтурный настенный ARDERIA 18КВт (раздельные т/о), закрытая к/с</t>
  </si>
  <si>
    <t>41 485.63 руб.</t>
  </si>
  <si>
    <t>ARD-100112</t>
  </si>
  <si>
    <t>D24</t>
  </si>
  <si>
    <t>КОТЕЛ газовый двухконтурный настенный ARDERIA 24КВт (26,6/5,5 кВт) (раздельные т/о), закрытая к/с</t>
  </si>
  <si>
    <t>42 955.31 руб.</t>
  </si>
  <si>
    <t>ARD-100113</t>
  </si>
  <si>
    <t>D28</t>
  </si>
  <si>
    <t>Котел газовый двухконтурный настенный ARDERIA 28КВт (раздельные т/о), закрытая к/с</t>
  </si>
  <si>
    <t>51 677.80 руб.</t>
  </si>
  <si>
    <t>ARD-100114</t>
  </si>
  <si>
    <t>D32</t>
  </si>
  <si>
    <t>Котел газовый двухконтурный настенный ARDERIA 32КВт (раздельные т/о), закрытая к/с</t>
  </si>
  <si>
    <t>52 729.28 руб.</t>
  </si>
  <si>
    <t>ARD-100115</t>
  </si>
  <si>
    <t>D40</t>
  </si>
  <si>
    <t>Котел газовый двухконтурный настенный ARDERIA 40КВт (раздельные т/о), закрытая к/с</t>
  </si>
  <si>
    <t>58 261.50 руб.</t>
  </si>
  <si>
    <t>ARD-100116</t>
  </si>
  <si>
    <t>SB24</t>
  </si>
  <si>
    <t>КОТЕЛ газовый одноконтурный настенный ARDERIA 24КВт (26,6/5,5 кВт), 3-ход клапан, закрытая к/с</t>
  </si>
  <si>
    <t>42 417.62 руб.</t>
  </si>
  <si>
    <t>ARD-100117</t>
  </si>
  <si>
    <t>SB28</t>
  </si>
  <si>
    <t>Котел газовый одноконтурный настенный ARDERIA 28КВт, 3-ход клапан, закрытая к/с</t>
  </si>
  <si>
    <t>50 960.89 руб.</t>
  </si>
  <si>
    <t>ARD-100118</t>
  </si>
  <si>
    <t>SB32</t>
  </si>
  <si>
    <t>Котел газовый одноконтурный настенный ARDERIA 32КВт, 3-ход клапан, закрытая к/с</t>
  </si>
  <si>
    <t>52 012.36 руб.</t>
  </si>
  <si>
    <t>ARD-100119</t>
  </si>
  <si>
    <t>SB40</t>
  </si>
  <si>
    <t>Котел газовый одноконтурный настенный ARDERIA 40КВт, 3-ход клапан, закрытая к/с</t>
  </si>
  <si>
    <t>55 238.04 руб.</t>
  </si>
  <si>
    <t xml:space="preserve">Газовые котлы TERMICA </t>
  </si>
  <si>
    <t>TMC-100001</t>
  </si>
  <si>
    <t>GRATA 12F</t>
  </si>
  <si>
    <t>Газовый настенный двухконтурный котел TERMICA 12КВт</t>
  </si>
  <si>
    <t>55 213.09 руб.</t>
  </si>
  <si>
    <t>TMC-100002</t>
  </si>
  <si>
    <t>GRATA 18F</t>
  </si>
  <si>
    <t>Газовый настенный двухконтурный котел TERMICA 18КВт</t>
  </si>
  <si>
    <t>58 750.76 руб.</t>
  </si>
  <si>
    <t>TMC-100003</t>
  </si>
  <si>
    <t>GRATA 24F</t>
  </si>
  <si>
    <t>Газовый настенный двухконтурный котел TERMICA 24КВт</t>
  </si>
  <si>
    <t>60 264.24 руб.</t>
  </si>
  <si>
    <t>TMC-100004</t>
  </si>
  <si>
    <t>GRATA 32F</t>
  </si>
  <si>
    <t>Газовый настенный двухконтурный котел TERMICA 32КВт</t>
  </si>
  <si>
    <t>77 878.49 руб.</t>
  </si>
  <si>
    <t>TMC-100005</t>
  </si>
  <si>
    <t>GRATA 24SF</t>
  </si>
  <si>
    <t>Газовый настенный одноконтурный котел TERMICA 24КВт с трехход смес клапан</t>
  </si>
  <si>
    <t>59 062.83 руб.</t>
  </si>
  <si>
    <t>TMC-100006</t>
  </si>
  <si>
    <t>GRATA 32SF</t>
  </si>
  <si>
    <t>Газовый настенный одноконтурный котел TERMICA 32КВт с трехход смес клапан</t>
  </si>
  <si>
    <t>72 623.53 руб.</t>
  </si>
  <si>
    <t xml:space="preserve">Газовые котлы ARISTON </t>
  </si>
  <si>
    <t>KOK- 001002</t>
  </si>
  <si>
    <t>Котел газовый одноконтурный настенный Ariston 24КВт CLAS XC SYSTEM 24 FF NG, с 3-ход клапан, закр ка</t>
  </si>
  <si>
    <t>71 117.51 руб.</t>
  </si>
  <si>
    <t>KOK- 001003</t>
  </si>
  <si>
    <t>Котел газовый одноконтурный настенный Ariston 28КВт CLAS XC SYSTEM 28 FF NG, с 3-ход клапан, з/к</t>
  </si>
  <si>
    <t>78 710.70 руб.</t>
  </si>
  <si>
    <t>KOK- 001004</t>
  </si>
  <si>
    <t>Котел газовый одноконтурный настенный Ariston 32КВт CLAS XC SYSTEM 32 FF NG, с 3-ход клапан, закр ка</t>
  </si>
  <si>
    <t>83 095.39 руб.</t>
  </si>
  <si>
    <t>KOK- 001005</t>
  </si>
  <si>
    <t xml:space="preserve">Котел газовый конденсационный одноконтурный настенный Ariston 24КВт CLAS ONE SYSTEM 24 RDC, с 3-ход </t>
  </si>
  <si>
    <t>89 726.13 руб.</t>
  </si>
  <si>
    <t>KOK- 001006</t>
  </si>
  <si>
    <t xml:space="preserve">Котел газовый конденсационный одноконтурный настенный Ariston 30КВт CLAS ONE SYSTEM 30 RDC, с 3-ход </t>
  </si>
  <si>
    <t>KOK- 001007</t>
  </si>
  <si>
    <t xml:space="preserve">Котел газовый конденсационный одноконтурный настенный Ariston 35КВт CLAS ONE SYSTEM 35 RDC, с 3-ход </t>
  </si>
  <si>
    <t>98 731.39 руб.</t>
  </si>
  <si>
    <t>KOK- 001008</t>
  </si>
  <si>
    <t>Котел газовый конденсационный одноконтурный настенный Ariston 24КВт GENUS ONE SYSTEM 24, с 3-ход, эн</t>
  </si>
  <si>
    <t>97 777.37 руб.</t>
  </si>
  <si>
    <t>KOK- 001009</t>
  </si>
  <si>
    <t>Котел газовый конденсационный одноконтурный настенный Ariston 30КВт GENUS ONE SYSTEM 30, с 3-ход, эн</t>
  </si>
  <si>
    <t>102 650.65 руб.</t>
  </si>
  <si>
    <t>KOK- 001010</t>
  </si>
  <si>
    <t>Котел газовый конденсационный одноконтурный настенный Ariston 35КВт GENUS ONE SYSTEM 35, с 3-ход, эн</t>
  </si>
  <si>
    <t>107 523.94 руб.</t>
  </si>
  <si>
    <t>KOK- 001011</t>
  </si>
  <si>
    <t>Котел газовый двухконтурный настенный Ariston 15КВт CARES XC 15 FF NG, раздельный т/о медь-нерж</t>
  </si>
  <si>
    <t>58 070.84 руб.</t>
  </si>
  <si>
    <t>KOK- 001012</t>
  </si>
  <si>
    <t>Котел газовый двухконтурный настенный Ariston 24КВт CARES XC 24 FF NG, раздельный т/о медь-нерж</t>
  </si>
  <si>
    <t>58 319.35 руб.</t>
  </si>
  <si>
    <t>KOK- 001013</t>
  </si>
  <si>
    <t>Котел газовый двухконтурный настенный Ariston 24КВт ALTEAS XC 24 FF NG, энергосбережение, WIFI, прем</t>
  </si>
  <si>
    <t>100 420.40 руб.</t>
  </si>
  <si>
    <t>KOK- 001014</t>
  </si>
  <si>
    <t>Котел газовый двухконтурный настенный Ariston 30КВт ALTEAS XC 30 FF NG, энергосбережение, WIFI, прем</t>
  </si>
  <si>
    <t>111 007.26 руб.</t>
  </si>
  <si>
    <t>KOK- 001015</t>
  </si>
  <si>
    <t>Котел газовый двухконтурный настенный Ariston 35КВт ALTEAS XC 35 FF NG, энергосбережение, WIFI, прем</t>
  </si>
  <si>
    <t>120 739.09 руб.</t>
  </si>
  <si>
    <t>Газовые котлы VIEIR</t>
  </si>
  <si>
    <t>VER-001290</t>
  </si>
  <si>
    <t>L1PB20-S100</t>
  </si>
  <si>
    <t>Двухконтурный газовый котел с пластинчатым теплообменником 20Квт (1шт)</t>
  </si>
  <si>
    <t>59 934.71 руб.</t>
  </si>
  <si>
    <t>VER-001291</t>
  </si>
  <si>
    <t>L1PB24- S100</t>
  </si>
  <si>
    <t>Двухконтурный газовый котел с пластинчатым теплообменником 24Квт (1шт)</t>
  </si>
  <si>
    <t>VER-001292</t>
  </si>
  <si>
    <t>N1PB24- S100</t>
  </si>
  <si>
    <t>Одноконтурный газовый котел с трехходовым клапаном 24Квт (1шт)</t>
  </si>
  <si>
    <t>59 677.71 руб.</t>
  </si>
  <si>
    <t>VER-001293</t>
  </si>
  <si>
    <t>N1PB30-S100</t>
  </si>
  <si>
    <t>Одноконтурный газовый котел с трехходовым клапаном 30Квт (1шт)</t>
  </si>
  <si>
    <t>66 324.22 руб.</t>
  </si>
  <si>
    <t>VER-001294</t>
  </si>
  <si>
    <t>N1PB35-S100</t>
  </si>
  <si>
    <t>Одноконтурный газовый котел с трехходовым клапаном 35Квт (1шт)</t>
  </si>
  <si>
    <t>68 740.99 руб.</t>
  </si>
  <si>
    <t>ЭЛЕКТРИЧЕСКИЕ котлы</t>
  </si>
  <si>
    <t xml:space="preserve">Электрические котлы ARDERIA </t>
  </si>
  <si>
    <t>ARD-100101</t>
  </si>
  <si>
    <t>E4</t>
  </si>
  <si>
    <t>Электрический котел настенный Arderia 4КВт, 220Вт (бак, насос, электр управление)</t>
  </si>
  <si>
    <t>42 130.85 руб.</t>
  </si>
  <si>
    <t>ARD-100102</t>
  </si>
  <si>
    <t>E6</t>
  </si>
  <si>
    <t>Электрический котел настенный Arderia 6КВт, 220Вт (бак, насос, электр управление)</t>
  </si>
  <si>
    <t>43 624.43 руб.</t>
  </si>
  <si>
    <t>ARD-100103</t>
  </si>
  <si>
    <t>E9</t>
  </si>
  <si>
    <t>Электрический котел настенный Arderia 9КВт, 220Вт (бак, насос, электр управление)</t>
  </si>
  <si>
    <t>45 034.37 руб.</t>
  </si>
  <si>
    <t>ARD-100104</t>
  </si>
  <si>
    <t>E12</t>
  </si>
  <si>
    <t>Электрический котел настенный Arderia 12КВт, 380Вт (бак, насос, электр управление)</t>
  </si>
  <si>
    <t>46 527.95 руб.</t>
  </si>
  <si>
    <t>ARD-100105</t>
  </si>
  <si>
    <t>E16</t>
  </si>
  <si>
    <t>Электрический котел настенный Arderia 16КВт, 380Вт (бак, насос, электр управление)</t>
  </si>
  <si>
    <t>48 021.52 руб.</t>
  </si>
  <si>
    <t>ARD-100106</t>
  </si>
  <si>
    <t>E20</t>
  </si>
  <si>
    <t>Электрический котел настенный Arderia 20КВт, 380Вт (бак, насос, электр управление)</t>
  </si>
  <si>
    <t>49 311.98 руб.</t>
  </si>
  <si>
    <t>ARD-100107</t>
  </si>
  <si>
    <t>E24</t>
  </si>
  <si>
    <t>Электрический котел настенный Arderia 24КВт, 380Вт (бак, насос, электр управление)</t>
  </si>
  <si>
    <t>51 032.58 руб.</t>
  </si>
  <si>
    <t>Электрические котлы TERMICA</t>
  </si>
  <si>
    <t>TMC-100007</t>
  </si>
  <si>
    <t>ELECTRA 06</t>
  </si>
  <si>
    <t>Электрический настенный одноконтурный котел TERMICA 6КВт, 220/380Вт (бак, насос, электр управление)</t>
  </si>
  <si>
    <t>48 345.40 руб.</t>
  </si>
  <si>
    <t>TMC-100008</t>
  </si>
  <si>
    <t>ELECTRA 08</t>
  </si>
  <si>
    <t>Электрический настенный одноконтурный котел TERMICA 8КВт, 220/380Вт (бак, насос, электр управление)</t>
  </si>
  <si>
    <t>49 829.30 руб.</t>
  </si>
  <si>
    <t>TMC-100009</t>
  </si>
  <si>
    <t>ELECTRA 12</t>
  </si>
  <si>
    <t>Электрический настенный одноконтурный котел TERMICA 12КВт, 220/380Вт (бак, насос, электр управление)</t>
  </si>
  <si>
    <t>50 108.91 руб.</t>
  </si>
  <si>
    <t>TMC-100010</t>
  </si>
  <si>
    <t>ELECTRA 15</t>
  </si>
  <si>
    <t>Электрический настенный одноконтурный котел TERMICA 15КВт, 220/380Вт (бак, насос, электр управление)</t>
  </si>
  <si>
    <t>55 506.34 руб.</t>
  </si>
  <si>
    <t>TMC-100011</t>
  </si>
  <si>
    <t>ELECTRA 18</t>
  </si>
  <si>
    <t>Электрический настенный одноконтурный котел TERMICA 18КВт, 380Вт (бак, насос, электр управление)</t>
  </si>
  <si>
    <t>55 721.48 руб.</t>
  </si>
  <si>
    <t>TMC-100012</t>
  </si>
  <si>
    <t>ELECTRA 21</t>
  </si>
  <si>
    <t>Электрический настенный одноконтурный котел TERMICA 21КВт, 380Вт (бак, насос, электр управление)</t>
  </si>
  <si>
    <t>TMC-100013</t>
  </si>
  <si>
    <t>ELECTRA 24</t>
  </si>
  <si>
    <t>Электрический настенный одноконтурный котел TERMICA 24КВт, 380Вт (бак, насос, электр управление)</t>
  </si>
  <si>
    <t>58 753.41 руб.</t>
  </si>
  <si>
    <t>Электрические котлы THERMEX</t>
  </si>
  <si>
    <t>TRX-100101</t>
  </si>
  <si>
    <t>Skif 5-12 Wi-Fi</t>
  </si>
  <si>
    <t>Электрический настен одноконтур котел THERMEX, 5-8-10-12КВт, 220/380Вт (возможно подключ БКН)</t>
  </si>
  <si>
    <t>42 818.04 руб.</t>
  </si>
  <si>
    <t>TRX-100103</t>
  </si>
  <si>
    <t>Grizzly 5-12 Wi-Fi</t>
  </si>
  <si>
    <t>-Электрический настен одноконтур котел THERMEX  5-12КВт, 220/380Вт (без подключ БКН)</t>
  </si>
  <si>
    <t>38 834.04 руб.</t>
  </si>
  <si>
    <t>TRX-100105</t>
  </si>
  <si>
    <t>Cube Wi-Fi</t>
  </si>
  <si>
    <t>Комнатный термостат THERMEX Cube Wi-Fi, -10°С - +55°С, (питание от батареек)</t>
  </si>
  <si>
    <t>2 081.64 руб.</t>
  </si>
  <si>
    <t>УТ000002591</t>
  </si>
  <si>
    <t>Sonne 12 Wi-Fi (White)</t>
  </si>
  <si>
    <t>Электрический настенный котел THERMEX Sonne 12 Wi-Fi (White)</t>
  </si>
  <si>
    <t xml:space="preserve">Электрические котлы PROTERM </t>
  </si>
  <si>
    <t>KOK- 001016</t>
  </si>
  <si>
    <t>Электрический настенный одноконтурный котел Protherm Skat 6КВт КE/14 (Словения), 220/380Вт</t>
  </si>
  <si>
    <t>82 246.40 руб.</t>
  </si>
  <si>
    <t>KOK- 001017</t>
  </si>
  <si>
    <t>Электрический настенный одноконтурный котел Protherm Skat 9КВт КE/14 (Словения), 220/380Вт</t>
  </si>
  <si>
    <t>83 072.00 руб.</t>
  </si>
  <si>
    <t>KOK- 001018</t>
  </si>
  <si>
    <t>Электрический настенный одноконтурный котел Protherm Skat 12КВт КE/14 (Словения), 380Вт</t>
  </si>
  <si>
    <t>84 352.00 руб.</t>
  </si>
  <si>
    <t>KOK- 001019</t>
  </si>
  <si>
    <t>Электрический настенный одноконтурный котел Protherm Skat 14КВт КE/14 (Словения), 380Вт</t>
  </si>
  <si>
    <t>89 280.00 руб.</t>
  </si>
  <si>
    <t>KOK- 001020</t>
  </si>
  <si>
    <t>Электрический настенный одноконтурный котел Protherm Skat 18КВт КE/14 (Словения), 380Вт</t>
  </si>
  <si>
    <t>95 040.00 руб.</t>
  </si>
  <si>
    <t>Электрические котлы ЭВАН</t>
  </si>
  <si>
    <t>KOK- 001021</t>
  </si>
  <si>
    <t>14375 Электрокотел ЭВАН EXPERT-18</t>
  </si>
  <si>
    <t>91 520.48 руб.</t>
  </si>
  <si>
    <t>KOK- 001022</t>
  </si>
  <si>
    <t>14385 Электрокотел ЭВАН EXPERT-24</t>
  </si>
  <si>
    <t>95 664.24 руб.</t>
  </si>
  <si>
    <t>KOK- 001023</t>
  </si>
  <si>
    <t>14506 Электрокотел ЭВАН EXPERT PLUS - 6</t>
  </si>
  <si>
    <t>72 711.34 руб.</t>
  </si>
  <si>
    <t>KOK- 001024</t>
  </si>
  <si>
    <t>14509 Электрокотел ЭВАН EXPERT PLUS - 9</t>
  </si>
  <si>
    <t>76 526.78 руб.</t>
  </si>
  <si>
    <t>KOK- 001025</t>
  </si>
  <si>
    <t>14512 Электрокотел ЭВАН EXPERT PLUS -12</t>
  </si>
  <si>
    <t>77 943.94 руб.</t>
  </si>
  <si>
    <t>KOK- 001026</t>
  </si>
  <si>
    <t>14514 Электрокотел ЭВАН EXPERT PLUS -14</t>
  </si>
  <si>
    <t>81 105.30 руб.</t>
  </si>
  <si>
    <t>KOK- 001027</t>
  </si>
  <si>
    <t>Электрокотел EXPERT PLUS - 8</t>
  </si>
  <si>
    <t>75 654.68 руб.</t>
  </si>
  <si>
    <t>KOK- 001028</t>
  </si>
  <si>
    <t>Электрокотел EXPERT PLUS -18</t>
  </si>
  <si>
    <t>86 010.86 руб.</t>
  </si>
  <si>
    <t>KOK- 001029</t>
  </si>
  <si>
    <t>Электрокотел EXPERT PLUS -21</t>
  </si>
  <si>
    <t>87 646.05 руб.</t>
  </si>
  <si>
    <t>KOK- 001030</t>
  </si>
  <si>
    <t>Электрокотел EXPERT PLUS -24</t>
  </si>
  <si>
    <t>90 153.34 руб.</t>
  </si>
  <si>
    <t>KOK- 001031</t>
  </si>
  <si>
    <t>12903 Электрокотел ЭВАН NEXT-3</t>
  </si>
  <si>
    <t>15 935.33 руб.</t>
  </si>
  <si>
    <t>KOK- 001032</t>
  </si>
  <si>
    <t>12905 Электрокотел ЭВАН NEXT-5</t>
  </si>
  <si>
    <t>18 351.97 руб.</t>
  </si>
  <si>
    <t>KOK- 001033</t>
  </si>
  <si>
    <t>12907 Электрокотел ЭВАН NEXT-7</t>
  </si>
  <si>
    <t>19 271.12 руб.</t>
  </si>
  <si>
    <t>KOK- 001034</t>
  </si>
  <si>
    <t>12909 Электрокотел ЭВАН NEXT-9</t>
  </si>
  <si>
    <t>20 551.73 руб.</t>
  </si>
  <si>
    <t>KOK- 001035</t>
  </si>
  <si>
    <t>12912 Электрокотел ЭВАН NEXT-12 (380)</t>
  </si>
  <si>
    <t>21 894.30 руб.</t>
  </si>
  <si>
    <t>KOK- 001036</t>
  </si>
  <si>
    <t>12914 Электрокотел ЭВАН NEXT-14 (380)</t>
  </si>
  <si>
    <t>23 526.05 руб.</t>
  </si>
  <si>
    <t>KOK- 001037</t>
  </si>
  <si>
    <t>12943 Котел Warmos Start - 3</t>
  </si>
  <si>
    <t>10 497.90 руб.</t>
  </si>
  <si>
    <t>KOK- 001038</t>
  </si>
  <si>
    <t>12945 Котел Warmos Start - 5</t>
  </si>
  <si>
    <t>10 966.66 руб.</t>
  </si>
  <si>
    <t>KOK- 001039</t>
  </si>
  <si>
    <t>12947 Котел Warmos Start - 7</t>
  </si>
  <si>
    <t>11 424.51 руб.</t>
  </si>
  <si>
    <t>KOK- 001040</t>
  </si>
  <si>
    <t>12949 Котел Warmos Start - 9</t>
  </si>
  <si>
    <t>12 198.50 руб.</t>
  </si>
  <si>
    <t>KOK- 001041</t>
  </si>
  <si>
    <t>12952 Котел Warmos Start - 12</t>
  </si>
  <si>
    <t>12 656.35 руб.</t>
  </si>
  <si>
    <t>KOK- 001042</t>
  </si>
  <si>
    <t>12954 Котел Warmos Start - 14</t>
  </si>
  <si>
    <t>13 277.72 руб.</t>
  </si>
  <si>
    <t>KOK- 001043</t>
  </si>
  <si>
    <t>Электроприбор отопительный ЭВАН PRACTIC-  3</t>
  </si>
  <si>
    <t>37 870.94 руб.</t>
  </si>
  <si>
    <t>KOK- 001044</t>
  </si>
  <si>
    <t>Электроприбор отопительный ЭВАН PRACTIC-  5</t>
  </si>
  <si>
    <t>40 215.29 руб.</t>
  </si>
  <si>
    <t>KOK- 001045</t>
  </si>
  <si>
    <t>Электроприбор отопительный ЭВАН PRACTIC-  6</t>
  </si>
  <si>
    <t>41 382.29 руб.</t>
  </si>
  <si>
    <t>KOK- 001046</t>
  </si>
  <si>
    <t>Электроприбор отопительный ЭВАН PRACTIC-  7</t>
  </si>
  <si>
    <t>43 427.14 руб.</t>
  </si>
  <si>
    <t>KOK- 001047</t>
  </si>
  <si>
    <t>Электроприбор отопительный ЭВАН PRACTIC-  9</t>
  </si>
  <si>
    <t>44 893.64 руб.</t>
  </si>
  <si>
    <t>KOK- 001048</t>
  </si>
  <si>
    <t>Электроприбор отопительный ЭВАН PRACTIC- 12</t>
  </si>
  <si>
    <t>48 694.16 руб.</t>
  </si>
  <si>
    <t>KOK- 001049</t>
  </si>
  <si>
    <t>Электроприбор отопительный ЭВАН PRACTIC- 14</t>
  </si>
  <si>
    <t>52 494.68 руб.</t>
  </si>
  <si>
    <t>KOK- 001050</t>
  </si>
  <si>
    <t>Электроприбор отопительный ЭВАН PRACTIC- 18</t>
  </si>
  <si>
    <t>60 828.98 руб.</t>
  </si>
  <si>
    <t>KOK- 001051</t>
  </si>
  <si>
    <t>Электроприбор отопительный ЭВАН PRACTIC- 21</t>
  </si>
  <si>
    <t>64 185.41 руб.</t>
  </si>
  <si>
    <t>KOK- 001052</t>
  </si>
  <si>
    <t>Электроприбор отопительный ЭВАН PRACTIC- 24</t>
  </si>
  <si>
    <t>67 407.59 руб.</t>
  </si>
  <si>
    <t>Электрические котлы VIEIR</t>
  </si>
  <si>
    <t>VER-000359</t>
  </si>
  <si>
    <t>VRKT5.5</t>
  </si>
  <si>
    <t>Электрический котел (1шт)</t>
  </si>
  <si>
    <t>54 204.75 руб.</t>
  </si>
  <si>
    <t>VER-000360</t>
  </si>
  <si>
    <t>VRKT7.5</t>
  </si>
  <si>
    <t>55 861.35 руб.</t>
  </si>
  <si>
    <t>VER-000361</t>
  </si>
  <si>
    <t>VRKT9.5</t>
  </si>
  <si>
    <t>57 404.92 руб.</t>
  </si>
  <si>
    <t>VER-000362</t>
  </si>
  <si>
    <t>VRKT11</t>
  </si>
  <si>
    <t>57 655.73 руб.</t>
  </si>
  <si>
    <t>VER-000363</t>
  </si>
  <si>
    <t>VRKT13</t>
  </si>
  <si>
    <t>58 168.19 руб.</t>
  </si>
  <si>
    <t>БОЙЛЕРЫ водонагреватели косвенного нагрева</t>
  </si>
  <si>
    <t>Бойлеры водонагреватели косвенного нагрева TERMICA</t>
  </si>
  <si>
    <t>TMC-100016</t>
  </si>
  <si>
    <t>AMET 120 INOX</t>
  </si>
  <si>
    <t>Бойлер косвенного нагрева 120л TERMICA нерж сталь, напольный</t>
  </si>
  <si>
    <t>44 049.63 руб.</t>
  </si>
  <si>
    <t>TMC-100017</t>
  </si>
  <si>
    <t>AMET 150 INOX</t>
  </si>
  <si>
    <t>Бойлер косвенного нагрева 150л TERMICA нерж сталь, напольный</t>
  </si>
  <si>
    <t>53 478.81 руб.</t>
  </si>
  <si>
    <t>TMC-100018</t>
  </si>
  <si>
    <t>AMET 200 INOX</t>
  </si>
  <si>
    <t>Бойлер косвенного нагрева 200л TERMICA нерж сталь, напольный</t>
  </si>
  <si>
    <t>60 943.85 руб.</t>
  </si>
  <si>
    <t>TMC-100019</t>
  </si>
  <si>
    <t>AMET 80W INOX</t>
  </si>
  <si>
    <t>Бойлер косвенного нагрева 80л TERMICA нерж сталь, настенный</t>
  </si>
  <si>
    <t>33 602.65 руб.</t>
  </si>
  <si>
    <t>TMC-100020</t>
  </si>
  <si>
    <t>AMET 120W INOX</t>
  </si>
  <si>
    <t>Бойлер косвенного нагрева 120л TERMICA нерж сталь, настенный</t>
  </si>
  <si>
    <t>43 253.14 руб.</t>
  </si>
  <si>
    <t>TMC-100037</t>
  </si>
  <si>
    <t>VEGA 150</t>
  </si>
  <si>
    <t>Бойлер косвенного нагрева 150л TERMICA эмаль. сталь, напольный</t>
  </si>
  <si>
    <t>53 412.37 руб.</t>
  </si>
  <si>
    <t>TMC-100038</t>
  </si>
  <si>
    <t>VEGA 200</t>
  </si>
  <si>
    <t>Бойлер косвенного нагрева 200л TERMICA эмаль. сталь, напольный</t>
  </si>
  <si>
    <t>61 637.57 руб.</t>
  </si>
  <si>
    <t>TMC-100039</t>
  </si>
  <si>
    <t>VEGA 300</t>
  </si>
  <si>
    <t>Бойлер косвенного нагрева 300л TERMICA эмаль. сталь, напольный</t>
  </si>
  <si>
    <t>87 746.46 руб.</t>
  </si>
  <si>
    <t>TMC-100040</t>
  </si>
  <si>
    <t>VEGA 400</t>
  </si>
  <si>
    <t>Бойлер косвенного нагрева 400л TERMICA эмаль. сталь, напольный</t>
  </si>
  <si>
    <t>108 565.27 руб.</t>
  </si>
  <si>
    <t>TMC-100041</t>
  </si>
  <si>
    <t>VEGA 500</t>
  </si>
  <si>
    <t>Бойлер косвенного нагрева 500л TERMICA эмаль. сталь, напольный</t>
  </si>
  <si>
    <t>121 568.59 руб.</t>
  </si>
  <si>
    <t>TMC-100042</t>
  </si>
  <si>
    <t>AMET 250 INOX</t>
  </si>
  <si>
    <t>Бойлер косвенного нагрева 250л TERMICA нерж сталь, напольный</t>
  </si>
  <si>
    <t>75 142.07 руб.</t>
  </si>
  <si>
    <t>TMC-100043</t>
  </si>
  <si>
    <t>AMET 300 INOX</t>
  </si>
  <si>
    <t>Бойлер косвенного нагрева 300л TERMICA нерж сталь, напольный</t>
  </si>
  <si>
    <t>86 799.68 руб.</t>
  </si>
  <si>
    <t>TMC-100044</t>
  </si>
  <si>
    <t>AMET 400 INOX</t>
  </si>
  <si>
    <t>Бойлер косвенного нагрева 400л TERMICA нерж сталь, напольный</t>
  </si>
  <si>
    <t>128 281.61 руб.</t>
  </si>
  <si>
    <t>TMC-100045</t>
  </si>
  <si>
    <t>AMET 500 INOX</t>
  </si>
  <si>
    <t>Бойлер косвенного нагрева 500л TERMICA нерж сталь, напольный</t>
  </si>
  <si>
    <t>150 290.74 руб.</t>
  </si>
  <si>
    <t>TMC-100046</t>
  </si>
  <si>
    <t>AMET 150W INOX</t>
  </si>
  <si>
    <t>Бойлер косвенного нагрева 150л TERMICA нерж сталь, настенный</t>
  </si>
  <si>
    <t>52 025.33 руб.</t>
  </si>
  <si>
    <t>Бойлеры водонагреватели косвенного нагрева THERMEX</t>
  </si>
  <si>
    <t>TRX-100108</t>
  </si>
  <si>
    <t>IRP 150 V (combi)</t>
  </si>
  <si>
    <t>Бойлер косвенного нагрева 150л THERMEX НЕРЖАВЕЙКА змеевик 24кВт, комби с тэном 2/4/6 кВт, напольный</t>
  </si>
  <si>
    <t>65 626.44 руб.</t>
  </si>
  <si>
    <t>TRX-100109</t>
  </si>
  <si>
    <t>IRP 200 V (combi)</t>
  </si>
  <si>
    <t>Бойлер косвенного нагрева 200л THERMEX НЕРЖАВЕЙКА змеевик 24кВт, комби с тэном 2/4/6 кВт, напольный</t>
  </si>
  <si>
    <t>69 012.84 руб.</t>
  </si>
  <si>
    <t>TRX-100110</t>
  </si>
  <si>
    <t>IRP 280 V (combi)</t>
  </si>
  <si>
    <t>Бойлер косвенного нагрева 280л THERMEX НЕРЖАВЕЙКА змеевик 24кВт, комби с тэном 2/4/6 кВт, напольный</t>
  </si>
  <si>
    <t>TRX-100111</t>
  </si>
  <si>
    <t>ER 80 V (combi)</t>
  </si>
  <si>
    <t>Бойлер косвенного нагрева 80л THERMEX БИОСТЕКЛОФАРФОР, комби 1,5кВт/14,6кВт, напольный</t>
  </si>
  <si>
    <t>38 634.84 руб.</t>
  </si>
  <si>
    <t>TRX-100112</t>
  </si>
  <si>
    <t>ER 100 V (combi)</t>
  </si>
  <si>
    <t>Бойлер косвенного нагрева 100л THERMEX БИОСТЕКЛОФАРФОР, комби 1,5кВт/18,1кВт, напольный</t>
  </si>
  <si>
    <t>40 726.44 руб.</t>
  </si>
  <si>
    <t>TRX-100113</t>
  </si>
  <si>
    <t>ER 120 V (combi)</t>
  </si>
  <si>
    <t>Бойлер косвенного нагрева 120л THERMEX БИОСТЕКЛОФАРФОР, комби 1,5кВт/18,1кВт, напольный</t>
  </si>
  <si>
    <t>44 411.64 руб.</t>
  </si>
  <si>
    <t>TRX-100114</t>
  </si>
  <si>
    <t>ER 150 V (combi)</t>
  </si>
  <si>
    <t>Бойлер косвенного нагрева 150л THERMEX БИОСТЕКЛОФАРФОР, комби 1,5кВт/30,6кВт, напольный</t>
  </si>
  <si>
    <t>51 682.44 руб.</t>
  </si>
  <si>
    <t>TRX-100115</t>
  </si>
  <si>
    <t>ER 200 V (combi)</t>
  </si>
  <si>
    <t>Бойлер косвенного нагрева 200л THERMEX БИОСТЕКЛОФАРФОР, комби 3,5кВт/34,6кВт, напольный</t>
  </si>
  <si>
    <t>59 550.84 руб.</t>
  </si>
  <si>
    <t>TRX-100116</t>
  </si>
  <si>
    <t>ER 300 V (combi)</t>
  </si>
  <si>
    <t>Бойлер косвенного нагрева 300л THERMEX БИОСТЕКЛОФАРФОР, комби 3,5кВт/45,5кВт, напольный</t>
  </si>
  <si>
    <t>79 670.04 руб.</t>
  </si>
  <si>
    <t>TRX-100117</t>
  </si>
  <si>
    <t>Flat 80 V Combi</t>
  </si>
  <si>
    <t>Бойлер косвенного нагрева 80л THERMEX НЕРЖАВЕЙКА, комбинированный с тэном 2кВт, настенный</t>
  </si>
  <si>
    <t>32 260.44 руб.</t>
  </si>
  <si>
    <t>TRX-100118</t>
  </si>
  <si>
    <t>Flat 100 V Combi</t>
  </si>
  <si>
    <t>Бойлер косвенного нагрева 100л THERMEX НЕРЖАВЕЙКА, комбинированный с тэном 2кВт, настенный</t>
  </si>
  <si>
    <t>35 945.64 руб.</t>
  </si>
  <si>
    <t>TRX-100311</t>
  </si>
  <si>
    <t>Nixen 150 F (combi)</t>
  </si>
  <si>
    <t>Бойлер косвенного нагрева 150л THERMEX НЕРЖАВЕЙКА, напольный (17кВт)</t>
  </si>
  <si>
    <t>46 304.04 руб.</t>
  </si>
  <si>
    <t>TRX-100312</t>
  </si>
  <si>
    <t>Nixen 200 F (combi)</t>
  </si>
  <si>
    <t>Бойлер косвенного нагрева 200л THERMEX НЕРЖАВЕЙКА, напольный  (17кВт)</t>
  </si>
  <si>
    <t>50 686.44 руб.</t>
  </si>
  <si>
    <t>TRX-100313</t>
  </si>
  <si>
    <t>Nixen 250 F (combi)</t>
  </si>
  <si>
    <t>Бойлер косвенного нагрева 250л THERMEX НЕРЖАВЕЙКА, напольный (19кВт)</t>
  </si>
  <si>
    <t>61 443.24 руб.</t>
  </si>
  <si>
    <t>TRX-100314</t>
  </si>
  <si>
    <t>Nixen 300 F (combi)</t>
  </si>
  <si>
    <t>Бойлер косвенного нагрева 300л THERMEX НЕРЖАВЕЙКА, напольный  (24кВт)</t>
  </si>
  <si>
    <t>64 431.24 руб.</t>
  </si>
  <si>
    <t>Дымоходы</t>
  </si>
  <si>
    <t>VER-001295</t>
  </si>
  <si>
    <t>VRKT-4</t>
  </si>
  <si>
    <t>Комплект коаксиального дымохода для газового котла (1шт)</t>
  </si>
  <si>
    <t>3 036.06 руб.</t>
  </si>
  <si>
    <t>Дымоходы УТДК</t>
  </si>
  <si>
    <t>УТ000001469</t>
  </si>
  <si>
    <t>Колено коаксиальное 60х100-90</t>
  </si>
  <si>
    <t>1 100.80 руб.</t>
  </si>
  <si>
    <t>УТ000001470</t>
  </si>
  <si>
    <t>Колено коаксиальное стартовое 60х100-90 с фланцем</t>
  </si>
  <si>
    <t>1 212.80 руб.</t>
  </si>
  <si>
    <t>УТ000001471</t>
  </si>
  <si>
    <t>Удлинитель коаксиальный 60х100(АЛ)-500</t>
  </si>
  <si>
    <t>1 084.80 руб.</t>
  </si>
  <si>
    <t>УТ000001628</t>
  </si>
  <si>
    <t>Комплект коаксиальный 60х100-750 антиоблединение с хомутом, фланцем и втулкой</t>
  </si>
  <si>
    <t>2 552.00 руб.</t>
  </si>
  <si>
    <t>УТ000001629</t>
  </si>
  <si>
    <t>Удлинитель коаксиальный 60х100-1000</t>
  </si>
  <si>
    <t>1 390.40 руб.</t>
  </si>
  <si>
    <t>Дымоходы Arderia</t>
  </si>
  <si>
    <t>ARD-100122</t>
  </si>
  <si>
    <t>Комплект коаксиального дымохода 60/100-1000мм ARDERIA</t>
  </si>
  <si>
    <t>3 088.26 руб.</t>
  </si>
  <si>
    <t>Автоматика ZONT</t>
  </si>
  <si>
    <t>ZNT-100001</t>
  </si>
  <si>
    <t>ML00004158</t>
  </si>
  <si>
    <t>ZONT LITE GSM-термостат без веб-интерфейса (SMS, дозвон)</t>
  </si>
  <si>
    <t>7 550.55 руб.</t>
  </si>
  <si>
    <t>ZNT-100002</t>
  </si>
  <si>
    <t>ML00005886</t>
  </si>
  <si>
    <t>ZONT SMART NEW Отопительный GSM / Wi-Fi термостат на стену и DIN-рейку</t>
  </si>
  <si>
    <t>10 281.60 руб.</t>
  </si>
  <si>
    <t>ZNT-100003</t>
  </si>
  <si>
    <t>ML00005890</t>
  </si>
  <si>
    <t>ZONT H-1V NEW Отопительный GSM / Wi-Fi термостат на DIN-рейку</t>
  </si>
  <si>
    <t>11 122.65 руб.</t>
  </si>
  <si>
    <t>ZNT-100004</t>
  </si>
  <si>
    <t>ML00004479</t>
  </si>
  <si>
    <t>ZONT SMART 2.0 Отопительный GSM / Wi-Fi контроллер на стену и DIN-рейку</t>
  </si>
  <si>
    <t>15 072.75 руб.</t>
  </si>
  <si>
    <t>ZNT-100005</t>
  </si>
  <si>
    <t>ML00005454</t>
  </si>
  <si>
    <t>ZONT H-1V.02 Отопительный GSM / Wi-Fi контроллер на DIN-рейку</t>
  </si>
  <si>
    <t>15 800.40 руб.</t>
  </si>
  <si>
    <t>ZNT-100006</t>
  </si>
  <si>
    <t>ML00004511</t>
  </si>
  <si>
    <t>ZONT Climatic 1.1 Погодозав автомат GSM / Wi-Fi регулятор (1 ГВС + 1 прямой/смес контур)</t>
  </si>
  <si>
    <t>44 037.00 руб.</t>
  </si>
  <si>
    <t>ZNT-100007</t>
  </si>
  <si>
    <t>ML00004510</t>
  </si>
  <si>
    <t>ZONT Climatic 1.2 Погодозав автомат GSM / Wi-Fi регулятор (1 ГВС + 2 прямых/смес контура)</t>
  </si>
  <si>
    <t>47 769.75 руб.</t>
  </si>
  <si>
    <t>ZNT-100008</t>
  </si>
  <si>
    <t>ML00004486</t>
  </si>
  <si>
    <t>ZONT Climatic 1.3 Погодозав автомат GSM / Wi-Fi регулятор (1 ГВС + 3 прямых/смес контура)</t>
  </si>
  <si>
    <t>52 182.90 руб.</t>
  </si>
  <si>
    <t>ZNT-100009</t>
  </si>
  <si>
    <t>ML00004782</t>
  </si>
  <si>
    <t>ZONT Climatic OPTIMA Погодозав автоматич регул без связи, упр. с панели (1 ГВС + 3 прямых/смес)</t>
  </si>
  <si>
    <t>41 013.00 руб.</t>
  </si>
  <si>
    <t>ZNT-100010</t>
  </si>
  <si>
    <t>ML00005557</t>
  </si>
  <si>
    <t>ZONT H700+ Pro Универсальный GSM / Wi-Fi контроллер</t>
  </si>
  <si>
    <t>20 279.70 руб.</t>
  </si>
  <si>
    <t>ZNT-100011</t>
  </si>
  <si>
    <t>ML00005558</t>
  </si>
  <si>
    <t>ZONT H1000+ Pro Универсальный GSM / Wi-Fi / Etherrnet контроллер</t>
  </si>
  <si>
    <t>27 216.00 руб.</t>
  </si>
  <si>
    <t>ZNT-100012</t>
  </si>
  <si>
    <t>ML00005968</t>
  </si>
  <si>
    <t>ZONT H1500+ Pro Универсальный GSM / Wi-Fi / Etherrnet контроллер</t>
  </si>
  <si>
    <t>28 066.50 руб.</t>
  </si>
  <si>
    <t>ZNT-100013</t>
  </si>
  <si>
    <t>ML00005559</t>
  </si>
  <si>
    <t>ZONT H2000+ Pro Универсальный GSM / Wi-Fi / Etherrnet контроллер</t>
  </si>
  <si>
    <t>43 394.40 руб.</t>
  </si>
  <si>
    <t>ZNT-100014</t>
  </si>
  <si>
    <t>ML9212</t>
  </si>
  <si>
    <t>MEGA SX-150 Охранная GSM сигнализация</t>
  </si>
  <si>
    <t>7 635.60 руб.</t>
  </si>
  <si>
    <t>ZNT-100015</t>
  </si>
  <si>
    <t>ML00003373</t>
  </si>
  <si>
    <t>MEGA SX-170M Охранная беспроводная GSM сигнализация</t>
  </si>
  <si>
    <t>ZNT-100016</t>
  </si>
  <si>
    <t>ML12467</t>
  </si>
  <si>
    <t>MEGA SX-300 Light Охранная GSM сигнализация</t>
  </si>
  <si>
    <t>8 089.20 руб.</t>
  </si>
  <si>
    <t>ZNT-100017</t>
  </si>
  <si>
    <t>ML14112</t>
  </si>
  <si>
    <t>MEGA SX-350 Light Мини-контроллер с функциями охранной сигнализации</t>
  </si>
  <si>
    <t>9 639.00 руб.</t>
  </si>
  <si>
    <t>ZNT-100018</t>
  </si>
  <si>
    <t>ML00004256</t>
  </si>
  <si>
    <t>ZONT C2000+ GSM / Etherrnet контроллер умного дома</t>
  </si>
  <si>
    <t>21 168.00 руб.</t>
  </si>
  <si>
    <t>ZNT-100019</t>
  </si>
  <si>
    <t>ML00006018</t>
  </si>
  <si>
    <t>Блок расширения ZE-84E для универсальных контроллеров</t>
  </si>
  <si>
    <t>22 415.40 руб.</t>
  </si>
  <si>
    <t>ZNT-100020</t>
  </si>
  <si>
    <t>ML00005693</t>
  </si>
  <si>
    <t>Блок расширения ZE-88 для универсальных контроллеров</t>
  </si>
  <si>
    <t>23 861.25 руб.</t>
  </si>
  <si>
    <t>ZNT-100021</t>
  </si>
  <si>
    <t>ML00005696</t>
  </si>
  <si>
    <t>Блок расширения ZE-44 для универсальных контроллеров</t>
  </si>
  <si>
    <t>18 786.60 руб.</t>
  </si>
  <si>
    <t>ZNT-100022</t>
  </si>
  <si>
    <t>ML00005703</t>
  </si>
  <si>
    <t>Блок расширения ZE-22 для универсальных контроллеров</t>
  </si>
  <si>
    <t>13 891.50 руб.</t>
  </si>
  <si>
    <t>ZNT-100023</t>
  </si>
  <si>
    <t>ML00005145</t>
  </si>
  <si>
    <t>Радиорелейный блок ZRE-66 расширения для контроллеров H2000+ и C2000+
(868 МГц)</t>
  </si>
  <si>
    <t>17 775.45 руб.</t>
  </si>
  <si>
    <t>ZNT-100024</t>
  </si>
  <si>
    <t>ML00004766</t>
  </si>
  <si>
    <t>Блок расширения EX-77  для регулятора ZONT Climatic 1.3</t>
  </si>
  <si>
    <t>14 742.00 руб.</t>
  </si>
  <si>
    <t>ZNT-100025</t>
  </si>
  <si>
    <t>ML00005505</t>
  </si>
  <si>
    <t>Универсальный адаптер цифровых шин  на DIN-рейку для подкл котла по цифр шинам OpenTherm</t>
  </si>
  <si>
    <t>3 685.50 руб.</t>
  </si>
  <si>
    <t>ZNT-100026</t>
  </si>
  <si>
    <t>ML00005653</t>
  </si>
  <si>
    <t>Универсальный адаптер цифровых шин (ECO) на стену для подкл котла по цифровым шинам</t>
  </si>
  <si>
    <t>ZNT-100027</t>
  </si>
  <si>
    <t>ML00006140</t>
  </si>
  <si>
    <t>Адаптер на DIN-рейку для подключкотлов RINNAI по оригинал цифровой шине</t>
  </si>
  <si>
    <t>3 024.00 руб.</t>
  </si>
  <si>
    <t>ZNT-100028</t>
  </si>
  <si>
    <t>ML00005842</t>
  </si>
  <si>
    <t>Плата цифровых шин для подкл котла к ZONT Climatic по шинам OpenTherm</t>
  </si>
  <si>
    <t>4 158.00 руб.</t>
  </si>
  <si>
    <t>ZNT-100029</t>
  </si>
  <si>
    <t>ML00004742</t>
  </si>
  <si>
    <t>Панель ZONT МЛ-753 Выносная панель ручного управления</t>
  </si>
  <si>
    <t>8 249.85 руб.</t>
  </si>
  <si>
    <t>ZNT-100030</t>
  </si>
  <si>
    <t>ML00005515</t>
  </si>
  <si>
    <t>Датчик ZONT MLD-06 Датчик давления</t>
  </si>
  <si>
    <t>ZNT-100031</t>
  </si>
  <si>
    <t>ML12294</t>
  </si>
  <si>
    <t>Датчик ZONT МЛ-700 Термодатчик уличный / теплоносителя</t>
  </si>
  <si>
    <t>841.05 руб.</t>
  </si>
  <si>
    <t>ZNT-100032</t>
  </si>
  <si>
    <t>ML8569</t>
  </si>
  <si>
    <t>Датчик DS18S20 Датчик температуры комнатный проводной</t>
  </si>
  <si>
    <t>850.50 руб.</t>
  </si>
  <si>
    <t>ZNT-100033</t>
  </si>
  <si>
    <t>ML00003614</t>
  </si>
  <si>
    <t>Датчик DS18В20 Датчик температуры уличный/теплоносителя проводной</t>
  </si>
  <si>
    <t>ZNT-100034</t>
  </si>
  <si>
    <t>ML00004775</t>
  </si>
  <si>
    <t>Датчик NTC Датчик температуры NTC проводной в гильзе</t>
  </si>
  <si>
    <t>444.15 руб.</t>
  </si>
  <si>
    <t>ZNT-100035</t>
  </si>
  <si>
    <t>ML00005877</t>
  </si>
  <si>
    <t>Датчик NTC комнатный Термодатчик комнатный проводной NTC</t>
  </si>
  <si>
    <t>519.75 руб.</t>
  </si>
  <si>
    <t>ZNT-100036</t>
  </si>
  <si>
    <t>ML00004837</t>
  </si>
  <si>
    <t>Датчик ZONT МЛ-771 Датчик температуры уличный цифровой (DS) проводной</t>
  </si>
  <si>
    <t>ZNT-100037</t>
  </si>
  <si>
    <t>ML00004827</t>
  </si>
  <si>
    <t>Датчик ZONT МЛ-772 Датчик температуры комнатный цифровой (DS) проводной</t>
  </si>
  <si>
    <t>ZNT-100038</t>
  </si>
  <si>
    <t>ML00004842</t>
  </si>
  <si>
    <t>Датчик ZONT МЛ-773 Датчик температуры уличный (NTC) проводной</t>
  </si>
  <si>
    <t>ZNT-100039</t>
  </si>
  <si>
    <t>ML00004834</t>
  </si>
  <si>
    <t>Датчик ZONT МЛ-774 Датчик температуры комнатный (NTC) проводной</t>
  </si>
  <si>
    <t>ZNT-100040</t>
  </si>
  <si>
    <t>ML00005143</t>
  </si>
  <si>
    <t>Датчик МЛ-778 Датчик температуры комнатный RS-485</t>
  </si>
  <si>
    <t>2 835.00 руб.</t>
  </si>
  <si>
    <t>ZNT-100041</t>
  </si>
  <si>
    <t>ML00005144</t>
  </si>
  <si>
    <t>Датчик МЛ-779 Датчик температуры и влажности комнатный RS-485</t>
  </si>
  <si>
    <t>3 118.50 руб.</t>
  </si>
  <si>
    <t>ZNT-100042</t>
  </si>
  <si>
    <t>ML11025</t>
  </si>
  <si>
    <t>Датчик АСТРА-361 Датчик протечки воды проводной</t>
  </si>
  <si>
    <t>1 549.80 руб.</t>
  </si>
  <si>
    <t>ZNT-100043</t>
  </si>
  <si>
    <t>ML13057</t>
  </si>
  <si>
    <t>Датчик АСТРА-512 Датчик движения проводной инфракрасный</t>
  </si>
  <si>
    <t>2 173.50 руб.</t>
  </si>
  <si>
    <t>ZNT-100044</t>
  </si>
  <si>
    <t>ML8313</t>
  </si>
  <si>
    <t>Датчик АСТРА-9 Датчик движения проводной</t>
  </si>
  <si>
    <t>1 871.10 руб.</t>
  </si>
  <si>
    <t>ZNT-100045</t>
  </si>
  <si>
    <t>ML8499</t>
  </si>
  <si>
    <t>Датчик ИП 212-141 Датчик дыма проводной</t>
  </si>
  <si>
    <t>1 030.05 руб.</t>
  </si>
  <si>
    <t>ZNT-100046</t>
  </si>
  <si>
    <t>ML8510</t>
  </si>
  <si>
    <t>Датчик ИО 102-16/2 Датчик размыкания проводной</t>
  </si>
  <si>
    <t>151.20 руб.</t>
  </si>
  <si>
    <t>ZNT-100047</t>
  </si>
  <si>
    <t>ML11144</t>
  </si>
  <si>
    <t>Датчик АСТРА-С Датчик разбития стекла проводной АСТРА-С</t>
  </si>
  <si>
    <t>ZNT-100048</t>
  </si>
  <si>
    <t>ML00004741</t>
  </si>
  <si>
    <t>Радиомодуль ZONT МЛ-590 Радиомодуль для связи с радиоустройствами (868 МГц)</t>
  </si>
  <si>
    <t>3 402.00 руб.</t>
  </si>
  <si>
    <t>ZNT-100049</t>
  </si>
  <si>
    <t>ML00004436</t>
  </si>
  <si>
    <t>Радиодатчик ZONT МЛ-740 Радиотермодатчик комнатный (868 МГц)</t>
  </si>
  <si>
    <t>3 165.75 руб.</t>
  </si>
  <si>
    <t>ZNT-100050</t>
  </si>
  <si>
    <t>ML00005372</t>
  </si>
  <si>
    <t>Радиодатчик МЛ-785 Радиодатчик температуры теплоносителя (868 МГц)</t>
  </si>
  <si>
    <t>3 515.40 руб.</t>
  </si>
  <si>
    <t>ZNT-100051</t>
  </si>
  <si>
    <t>ML13866</t>
  </si>
  <si>
    <t>Радиодатчик ZONT МЛ-711 Радиотермодатчик уличный (868 МГц)</t>
  </si>
  <si>
    <t>3 213.00 руб.</t>
  </si>
  <si>
    <t>ZNT-100052</t>
  </si>
  <si>
    <t>ML14053</t>
  </si>
  <si>
    <t>Радиодатчик ZONT МЛ-712 Радиодатчик протечки воды (868 МГц)</t>
  </si>
  <si>
    <t>4 063.50 руб.</t>
  </si>
  <si>
    <t>ZNT-100053</t>
  </si>
  <si>
    <t>ML00004439</t>
  </si>
  <si>
    <t>Радиодатчик ZONT МЛ-745 Радиодатчик температуры и влажности (868 МГц)</t>
  </si>
  <si>
    <t>4 252.50 руб.</t>
  </si>
  <si>
    <t>ZNT-100054</t>
  </si>
  <si>
    <t>ML12814</t>
  </si>
  <si>
    <t>Радиодатчик ZONT МЛ-570 Радиодатчик движения (868 МГц)</t>
  </si>
  <si>
    <t>5 197.50 руб.</t>
  </si>
  <si>
    <t>ZNT-100055</t>
  </si>
  <si>
    <t>ML13242</t>
  </si>
  <si>
    <t>Радиобрелок ZONT Home Пульт дистанц. управления для приборов ZONT, 868МГц</t>
  </si>
  <si>
    <t>2 598.75 руб.</t>
  </si>
  <si>
    <t>ZNT-100056</t>
  </si>
  <si>
    <t>ML12946</t>
  </si>
  <si>
    <t>Блок питания проводной Блок питания проводной 12V, 12W/WM/PL</t>
  </si>
  <si>
    <t>1 134.00 руб.</t>
  </si>
  <si>
    <t>ZNT-100057</t>
  </si>
  <si>
    <t>ML13968</t>
  </si>
  <si>
    <t>Блок питания на DIN рейку Блок питания на DIN рейку 12-24V, 12W</t>
  </si>
  <si>
    <t>2 551.50 руб.</t>
  </si>
  <si>
    <t>ZNT-100058</t>
  </si>
  <si>
    <t>ML8505</t>
  </si>
  <si>
    <t>Аккумулятор Optimus AP1207 Аккумулятор резервного питания, 7 A/h</t>
  </si>
  <si>
    <t>1 417.50 руб.</t>
  </si>
  <si>
    <t>ZNT-100059</t>
  </si>
  <si>
    <t>ML12218</t>
  </si>
  <si>
    <t>Аккумулятор BL-5C Li-ion Аккумулятор резервного питания Li-ion, 1 А/h</t>
  </si>
  <si>
    <t>1 323.00 руб.</t>
  </si>
  <si>
    <t>ZNT-100060</t>
  </si>
  <si>
    <t>ML00004298</t>
  </si>
  <si>
    <t>Аккумулятор Optimus AP12012 Аккумулятор резервного питания, 1.2 A/h</t>
  </si>
  <si>
    <t>1 228.50 руб.</t>
  </si>
  <si>
    <t>ZNT-100061</t>
  </si>
  <si>
    <t>ML8521</t>
  </si>
  <si>
    <t>GSM-антенна ME500L Внешняя GSM-антенна, 3 м</t>
  </si>
  <si>
    <t>472.50 руб.</t>
  </si>
  <si>
    <t>ZNT-100062</t>
  </si>
  <si>
    <t>ML8501</t>
  </si>
  <si>
    <t>Сирена Маяк 12-3М Сирена звуковая проводная</t>
  </si>
  <si>
    <t>737.10 руб.</t>
  </si>
  <si>
    <t>ZNT-100063</t>
  </si>
  <si>
    <t>ML00003745</t>
  </si>
  <si>
    <t>Сирена Марс-12-КУ Сирена с индикатором светосигнальная</t>
  </si>
  <si>
    <t>ZNT-100064</t>
  </si>
  <si>
    <t>ML11340</t>
  </si>
  <si>
    <t>Сирена Маяк-12-КПМ Сирена с индикатором светозвуковая</t>
  </si>
  <si>
    <t>ZNT-100065</t>
  </si>
  <si>
    <t>ML14486</t>
  </si>
  <si>
    <t>Сирена Mega МЛ-170 Сирена с индикатором светозвуковая для MEGA SX-170</t>
  </si>
  <si>
    <t>727.65 руб.</t>
  </si>
  <si>
    <t>ZNT-100066</t>
  </si>
  <si>
    <t>ML8315</t>
  </si>
  <si>
    <t>Ключ электронный Touch Memory</t>
  </si>
  <si>
    <t>113.40 руб.</t>
  </si>
  <si>
    <t>ZNT-100067</t>
  </si>
  <si>
    <t>ML8314</t>
  </si>
  <si>
    <t>Считыватель ключей Touch Memory</t>
  </si>
  <si>
    <t>623.70 руб.</t>
  </si>
  <si>
    <t>ZNT-100068</t>
  </si>
  <si>
    <t>ML12158</t>
  </si>
  <si>
    <t>Микрофон внешний</t>
  </si>
  <si>
    <t>245.70 руб.</t>
  </si>
  <si>
    <t>ZNT-100069</t>
  </si>
  <si>
    <t>ML00006086</t>
  </si>
  <si>
    <t>ZONT H2000+PRO.V2</t>
  </si>
  <si>
    <t>41 150.00 руб.</t>
  </si>
  <si>
    <t>Электромагнитные клапана</t>
  </si>
  <si>
    <t>Электромагнитные клапана VIEIR</t>
  </si>
  <si>
    <t>VER-001118</t>
  </si>
  <si>
    <t>VRO29-15</t>
  </si>
  <si>
    <t>Электромагнитный клапан, нормально открытый 1/2" (20/1шт)</t>
  </si>
  <si>
    <t>4 469.71 руб.</t>
  </si>
  <si>
    <t>VER-001119</t>
  </si>
  <si>
    <t>VRO29-20</t>
  </si>
  <si>
    <t>Электромагнитный клапан, нормально открытый 3/4" (20/1шт)</t>
  </si>
  <si>
    <t>4 717.43 руб.</t>
  </si>
  <si>
    <t>VER-001120</t>
  </si>
  <si>
    <t>VRO29-25</t>
  </si>
  <si>
    <t>Электромагнитный клапан, нормально открытый 1" (16/1шт)</t>
  </si>
  <si>
    <t>6 626.38 руб.</t>
  </si>
  <si>
    <t>VER-001121</t>
  </si>
  <si>
    <t>VRO28-15</t>
  </si>
  <si>
    <t>Электромагнитный клапан, нормально закрытый 1/2" (20/1шт)</t>
  </si>
  <si>
    <t>3 437.05 руб.</t>
  </si>
  <si>
    <t>VER-001122</t>
  </si>
  <si>
    <t>VRO28-20</t>
  </si>
  <si>
    <t>Электромагнитный клапан, нормально закрытый 3/4" (20/1шт)</t>
  </si>
  <si>
    <t>3 647.61 руб.</t>
  </si>
  <si>
    <t>VER-001123</t>
  </si>
  <si>
    <t>VRO28-25</t>
  </si>
  <si>
    <t>Электромагнитный клапан, нормально закрытый 1" (16/1шт)</t>
  </si>
  <si>
    <t>5 590.62 руб.</t>
  </si>
  <si>
    <t>Электромагнитные клапана РОСМА</t>
  </si>
  <si>
    <t>VLC-900908</t>
  </si>
  <si>
    <t>CK-11-15</t>
  </si>
  <si>
    <t>Клапан электромагнитный (соленоидный) НЗ. 220В. 1/2"</t>
  </si>
  <si>
    <t>4 309.00 руб.</t>
  </si>
  <si>
    <t>VLC-900909</t>
  </si>
  <si>
    <t>CK-11-20</t>
  </si>
  <si>
    <t>Клапан электромагнитный (соленоидный) НЗ. 220В. 3/4"</t>
  </si>
  <si>
    <t>5 058.00 руб.</t>
  </si>
  <si>
    <t>VLC-900910</t>
  </si>
  <si>
    <t>CK-11-25</t>
  </si>
  <si>
    <t>Клапан электромагнитный (соленоидный) НЗ. 220В. 1"</t>
  </si>
  <si>
    <t>7 480.00 руб.</t>
  </si>
  <si>
    <t>VLC-900911</t>
  </si>
  <si>
    <t>CK-11-32</t>
  </si>
  <si>
    <t>Клапан электромагнитный (соленоидный) НЗ. 220В. 1 1/4"</t>
  </si>
  <si>
    <t>15 054.00 руб.</t>
  </si>
  <si>
    <t>VLC-900912</t>
  </si>
  <si>
    <t>CK-11-40</t>
  </si>
  <si>
    <t>Клапан электромагнитный (соленоидный) НЗ. 220В. 1 1/2"</t>
  </si>
  <si>
    <t>16 631.00 руб.</t>
  </si>
  <si>
    <t>VLC-900913</t>
  </si>
  <si>
    <t>CK-11-50</t>
  </si>
  <si>
    <t>Клапан электромагнитный (соленоидный) НЗ. 220В. 2"</t>
  </si>
  <si>
    <t>22 995.00 руб.</t>
  </si>
  <si>
    <t>VLC-900914</t>
  </si>
  <si>
    <t>CK-21-15</t>
  </si>
  <si>
    <t>Клапан электромагнитный (соленоидный) НО. 220В. 1/2"</t>
  </si>
  <si>
    <t>5 606.00 руб.</t>
  </si>
  <si>
    <t>VLC-900915</t>
  </si>
  <si>
    <t>CK-21-20</t>
  </si>
  <si>
    <t>Клапан электромагнитный (соленоидный) НО. 220В. 3/4"</t>
  </si>
  <si>
    <t>6 384.00 руб.</t>
  </si>
  <si>
    <t>VLC-900916</t>
  </si>
  <si>
    <t>CK-21-25</t>
  </si>
  <si>
    <t>Клапан электромагнитный (соленоидный) НО. 220В. 1"</t>
  </si>
  <si>
    <t>9 022.00 руб.</t>
  </si>
  <si>
    <t>VLC-900917</t>
  </si>
  <si>
    <t>CK-21-32</t>
  </si>
  <si>
    <t>Клапан электромагнитный (соленоидный) НО. 220В. 1 1/4"</t>
  </si>
  <si>
    <t>18 462.00 руб.</t>
  </si>
  <si>
    <t>VLC-900918</t>
  </si>
  <si>
    <t>CK-21-40</t>
  </si>
  <si>
    <t>Клапан электромагнитный (соленоидный) НО. 220В. 1 1/2"</t>
  </si>
  <si>
    <t>19 384.00 руб.</t>
  </si>
  <si>
    <t>VLC-900919</t>
  </si>
  <si>
    <t>CK-21-50</t>
  </si>
  <si>
    <t>Клапан электромагнитный (соленоидный) НО. 220В. 2"</t>
  </si>
  <si>
    <t>26 526.00 руб.</t>
  </si>
  <si>
    <t>VLC-900920</t>
  </si>
  <si>
    <t>CK-11-15-SS</t>
  </si>
  <si>
    <t>Клапан электромагнитный (соленоидный) НЗ. 220В. 1/2" НЕРЖ.</t>
  </si>
  <si>
    <t>5 707.00 руб.</t>
  </si>
  <si>
    <t>VLC-900921</t>
  </si>
  <si>
    <t>CK-11-20-SS</t>
  </si>
  <si>
    <t>Клапан электромагнитный (соленоидный) НЗ. 220В. 3/4" НЕРЖ.</t>
  </si>
  <si>
    <t>6 038.00 руб.</t>
  </si>
  <si>
    <t>VLC-900922</t>
  </si>
  <si>
    <t>CK-11-25-SS</t>
  </si>
  <si>
    <t>Клапан электромагнитный (соленоидный) НЗ. 220В. 1" НЕРЖ.</t>
  </si>
  <si>
    <t>8 791.00 руб.</t>
  </si>
  <si>
    <t>Электромагнитные клапана UNIPUMP</t>
  </si>
  <si>
    <t>UNI-101880</t>
  </si>
  <si>
    <t>Клапан электромагнитный BCX-15 1/2"</t>
  </si>
  <si>
    <t>3 845.00 руб.</t>
  </si>
  <si>
    <t>UNI-101881</t>
  </si>
  <si>
    <t>Клапан электромагнитный BCX-20 3/4"</t>
  </si>
  <si>
    <t>4 262.00 руб.</t>
  </si>
  <si>
    <t>UNI-101882</t>
  </si>
  <si>
    <t>Клапан электромагнитный BCX-25 1"</t>
  </si>
  <si>
    <t>5 528.00 руб.</t>
  </si>
  <si>
    <t>UNI-101883</t>
  </si>
  <si>
    <t>Клапан электромагнитный BCX-32 1 1/4"</t>
  </si>
  <si>
    <t>10 093.00 руб.</t>
  </si>
  <si>
    <t>UNI-101884</t>
  </si>
  <si>
    <t>Клапан электромагнитный BOX-15 1/2"</t>
  </si>
  <si>
    <t>4 841.00 руб.</t>
  </si>
  <si>
    <t>UNI-101885</t>
  </si>
  <si>
    <t>Клапан электромагнитный BOX-20 3/4"</t>
  </si>
  <si>
    <t>5 598.00 руб.</t>
  </si>
  <si>
    <t>UNI-101886</t>
  </si>
  <si>
    <t>Клапан электромагнитный BOX-25 1"</t>
  </si>
  <si>
    <t>6 465.00 руб.</t>
  </si>
  <si>
    <t>UNI-101887</t>
  </si>
  <si>
    <t>Клапан электромагнитный BOX-32 11/4"</t>
  </si>
  <si>
    <t>11 036.00 руб.</t>
  </si>
  <si>
    <t>Гидравлические  стрелки совмещенные с коллектором</t>
  </si>
  <si>
    <t>VER-001077</t>
  </si>
  <si>
    <t>VHSC25-3</t>
  </si>
  <si>
    <t>Гидравлический разделитель КРУГ НЕРЖ совмещенный с коллектором 3 выхода (1шт)</t>
  </si>
  <si>
    <t>16 301.21 руб.</t>
  </si>
  <si>
    <t>VER-001078</t>
  </si>
  <si>
    <t>VHSC25-2.1</t>
  </si>
  <si>
    <t>Гидравлический разделитель КРУГ НЕРЖ совмещенный с коллектором 2+1 выход (1шт)</t>
  </si>
  <si>
    <t>19 281.54 руб.</t>
  </si>
  <si>
    <t>VER-001079</t>
  </si>
  <si>
    <t>VHSC25-3.1</t>
  </si>
  <si>
    <t>Гидравлический разделитель КРУГ НЕРЖ совмещенный с коллектором 3+1 выход (1шт)</t>
  </si>
  <si>
    <t>22 873.41 руб.</t>
  </si>
  <si>
    <t>VER-001326</t>
  </si>
  <si>
    <t>VGK06</t>
  </si>
  <si>
    <t>Крепёж из оцинкованной стали для коллекторов с гидравлическим разделителем из нерж. Стали 1" (20/1ко</t>
  </si>
  <si>
    <t>334.42 руб.</t>
  </si>
  <si>
    <t>VER-001522</t>
  </si>
  <si>
    <t>VHSK25-3-A</t>
  </si>
  <si>
    <t>Гидравлический разделитель КВАДРАТ НЕРЖ совмещенный с коллектором 3+1 (1шт)</t>
  </si>
  <si>
    <t>22 399.65 руб.</t>
  </si>
  <si>
    <t>VER-001523</t>
  </si>
  <si>
    <t>VHSK25-2.1-A</t>
  </si>
  <si>
    <t>Гидравлический разделитель КВАДРАТ НЕРЖ совмещенный с коллектором 2+1 (1шт)</t>
  </si>
  <si>
    <t>23 596.43 руб.</t>
  </si>
  <si>
    <t>VER-001524</t>
  </si>
  <si>
    <t>VHSK25-3.1-A</t>
  </si>
  <si>
    <t>Гидравлический разделитель КВАДРАТ НЕРЖ совмещенный с коллектором 3 (1шт)</t>
  </si>
  <si>
    <t>28 196.19 руб.</t>
  </si>
  <si>
    <t>VER-001616</t>
  </si>
  <si>
    <t>HS3A</t>
  </si>
  <si>
    <t>Гидравлический разделитель с воздухоотводчиком, совмещенный с коллектором 3 выхода (1шт)</t>
  </si>
  <si>
    <t>VER-001678</t>
  </si>
  <si>
    <t>HS3.1A</t>
  </si>
  <si>
    <t>Гидравлический разделитель с воздухоотводчиком, совмещенный с коллектором 3+1 выхода (1шт)</t>
  </si>
  <si>
    <t>VER-001731</t>
  </si>
  <si>
    <t>HS2.1A</t>
  </si>
  <si>
    <t>Гидравлический разделитель с воздухоотводчиком, совмещенный с  коллектором 2+1 выхода (1шт)</t>
  </si>
  <si>
    <t>Гидравлические стрелки</t>
  </si>
  <si>
    <t>VER-000726</t>
  </si>
  <si>
    <t>VMB-20-45</t>
  </si>
  <si>
    <t>Гидравлический разделитель DN20, 45кВт (8/1шт)</t>
  </si>
  <si>
    <t>5 150.93 руб.</t>
  </si>
  <si>
    <t>VER-000727</t>
  </si>
  <si>
    <t>VMB-25-60</t>
  </si>
  <si>
    <t>Гидравлический разделитель DN25, 60кВт (8/1шт)</t>
  </si>
  <si>
    <t>6 208.36 руб.</t>
  </si>
  <si>
    <t>VER-000728</t>
  </si>
  <si>
    <t>VMB-25-80</t>
  </si>
  <si>
    <t>Гидравлический разделитель DN25, 80кВт (12/1шт)</t>
  </si>
  <si>
    <t>6 685.22 руб.</t>
  </si>
  <si>
    <t>VER-000729</t>
  </si>
  <si>
    <t>VMB-25-100</t>
  </si>
  <si>
    <t>Гидравлический разделитель DN25, 100кВт (12/1шт)</t>
  </si>
  <si>
    <t>7 998.11 руб.</t>
  </si>
  <si>
    <t>VER-000730</t>
  </si>
  <si>
    <t>VMB-32-120</t>
  </si>
  <si>
    <t>Гидравлический разделитель DN32, 120кВт (12/1шт)</t>
  </si>
  <si>
    <t>8 330.97 руб.</t>
  </si>
  <si>
    <t>VER-001493</t>
  </si>
  <si>
    <t>VMB-20-28</t>
  </si>
  <si>
    <t>Гидравлическая стрелка с воздухоотводчиками для котла DN20, 28кВт (8/1шт)</t>
  </si>
  <si>
    <t>5 033.26 руб.</t>
  </si>
  <si>
    <t>VER-001494</t>
  </si>
  <si>
    <t>VMB-25-35</t>
  </si>
  <si>
    <t>Гидравлическая стрелка с воздухоотводчиками для котла DN25, 35кВт (8/1шт)</t>
  </si>
  <si>
    <t>6 062.83 руб.</t>
  </si>
  <si>
    <t>VER-001617</t>
  </si>
  <si>
    <t>VMB4090</t>
  </si>
  <si>
    <t>Гидравлический разделитель с воздухоотводчиком DN40, 90кВт (9/1шт)</t>
  </si>
  <si>
    <t>10 047.95 руб.</t>
  </si>
  <si>
    <t>VER-001618</t>
  </si>
  <si>
    <t>VMB50120</t>
  </si>
  <si>
    <t>Гидравлический разделитель с воздухоотводчиком DN50, 120кВт (6/1шт)</t>
  </si>
  <si>
    <t>14 252.92 руб.</t>
  </si>
  <si>
    <t>VER-001619</t>
  </si>
  <si>
    <t>VMK2540</t>
  </si>
  <si>
    <t>Гидравлический разделитель из нерж. стали, квадратный профиль DN25, 40кВт (12/1шт)</t>
  </si>
  <si>
    <t>7 445.39 руб.</t>
  </si>
  <si>
    <t>VER-001620</t>
  </si>
  <si>
    <t>VMK3260</t>
  </si>
  <si>
    <t>Гидравлический разделитель из нерж. стали, квадратный профиль DN32, 60кВт (12/1шт)</t>
  </si>
  <si>
    <t>7 456.23 руб.</t>
  </si>
  <si>
    <t>VER-001628</t>
  </si>
  <si>
    <t>VMB2028</t>
  </si>
  <si>
    <t>Гидравлический разделитель с воздухоотводчиком DN20, 28кВт (8/1шт)</t>
  </si>
  <si>
    <t>VER-001629</t>
  </si>
  <si>
    <t>VMB2535</t>
  </si>
  <si>
    <t>Гидравлический разделитель с воздухоотводчиком DN25, 35кВт (8/1шт)</t>
  </si>
  <si>
    <t>VER-001630</t>
  </si>
  <si>
    <t>VMB2550</t>
  </si>
  <si>
    <t>Гидравлический разделитель с воздухоотводчиком DN25, 50кВт (12/1шт)</t>
  </si>
  <si>
    <t>VER-001679</t>
  </si>
  <si>
    <t>VMB3270</t>
  </si>
  <si>
    <t>Гидравлический разделитель с воздухоотводчиком DN32, 70кВт (12/1шт)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</si>
</sst>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113673_37d2_11ef_a5e9_047c1617b143_14e1e1a8_f93d_11ef_a6ea_047c1617b1431.jpeg"/><Relationship Id="rId2" Type="http://schemas.openxmlformats.org/officeDocument/2006/relationships/image" Target="../media/88113675_37d2_11ef_a5e9_047c1617b143_14e1e1aa_f93d_11ef_a6ea_047c1617b1432.jpeg"/><Relationship Id="rId3" Type="http://schemas.openxmlformats.org/officeDocument/2006/relationships/image" Target="../media/88113679_37d2_11ef_a5e9_047c1617b143_64c8bb4e_5a46_11f0_a775_047c1617b1433.jpeg"/><Relationship Id="rId4" Type="http://schemas.openxmlformats.org/officeDocument/2006/relationships/image" Target="../media/9182be38_eeb6_11ef_a6dd_047c1617b143_a26f33db_7c1e_11f0_a7a3_047c1617b1434.jpeg"/><Relationship Id="rId5" Type="http://schemas.openxmlformats.org/officeDocument/2006/relationships/image" Target="../media/90d5535b_86a5_11e9_8101_003048fd731b_64c8bb52_5a46_11f0_a775_047c1617b1435.jpeg"/><Relationship Id="rId6" Type="http://schemas.openxmlformats.org/officeDocument/2006/relationships/image" Target="../media/90d55361_86a5_11e9_8101_003048fd731b_4829b00c_0627_11ea_810d_003048fd731b6.png"/><Relationship Id="rId7" Type="http://schemas.openxmlformats.org/officeDocument/2006/relationships/image" Target="../media/90d55363_86a5_11e9_8101_003048fd731b_4829b00d_0627_11ea_810d_003048fd731b7.png"/><Relationship Id="rId8" Type="http://schemas.openxmlformats.org/officeDocument/2006/relationships/image" Target="../media/90d55365_86a5_11e9_8101_003048fd731b_64c8bb51_5a46_11f0_a775_047c1617b1438.jpeg"/><Relationship Id="rId9" Type="http://schemas.openxmlformats.org/officeDocument/2006/relationships/image" Target="../media/90d55367_86a5_11e9_8101_003048fd731b_e8722853_518a_11ea_810f_003048fd731b9.png"/><Relationship Id="rId10" Type="http://schemas.openxmlformats.org/officeDocument/2006/relationships/image" Target="../media/365e7153_68f5_11ea_8111_003048fd731b_49c4af0d_056a_11f0_a6fc_047c1617b14310.jpeg"/><Relationship Id="rId11" Type="http://schemas.openxmlformats.org/officeDocument/2006/relationships/image" Target="../media/365e7155_68f5_11ea_8111_003048fd731b_018ae8b2_7ca2_11ea_8111_003048fd731b11.jpeg"/><Relationship Id="rId12" Type="http://schemas.openxmlformats.org/officeDocument/2006/relationships/image" Target="../media/e5586488_f66a_11ef_a6e7_047c1617b143_a26f33dd_7c1e_11f0_a7a3_047c1617b14312.jpeg"/><Relationship Id="rId13" Type="http://schemas.openxmlformats.org/officeDocument/2006/relationships/image" Target="../media/b44e42b0_245f_11f0_a725_047c1617b143_83eb96c8_5d58_11f0_a779_047c1617b14313.jpeg"/><Relationship Id="rId14" Type="http://schemas.openxmlformats.org/officeDocument/2006/relationships/image" Target="../media/28a1d120_7e77_11f0_a7a6_047c1617b143_a24fffbd_96ed_11f0_a7c5_047c1617b14314.jpeg"/><Relationship Id="rId15" Type="http://schemas.openxmlformats.org/officeDocument/2006/relationships/image" Target="../media/90d55369_86a5_11e9_8101_003048fd731b_64c8bb50_5a46_11f0_a775_047c1617b14315.jpeg"/><Relationship Id="rId16" Type="http://schemas.openxmlformats.org/officeDocument/2006/relationships/image" Target="../media/32cd960c_0918_11eb_81b8_003048fd731b_83eb9680_5d58_11f0_a779_047c1617b14316.jpeg"/><Relationship Id="rId17" Type="http://schemas.openxmlformats.org/officeDocument/2006/relationships/image" Target="../media/fa083bcd_526f_11ef_a60b_047c1617b143_703303e2_d01e_11f0_a810_047c1617b14317.jpeg"/><Relationship Id="rId18" Type="http://schemas.openxmlformats.org/officeDocument/2006/relationships/image" Target="../media/99986ef5_96f7_11f0_a7c5_047c1617b143_206f14b7_7150_11f1_a8f1_047c1617b14318.jpeg"/><Relationship Id="rId19" Type="http://schemas.openxmlformats.org/officeDocument/2006/relationships/image" Target="../media/90d55340_86a5_11e9_8101_003048fd731b_634a4292_f953_11e9_810b_003048fd731b19.jpeg"/><Relationship Id="rId20" Type="http://schemas.openxmlformats.org/officeDocument/2006/relationships/image" Target="../media/90d55342_86a5_11e9_8101_003048fd731b_634a4293_f953_11e9_810b_003048fd731b20.jpeg"/><Relationship Id="rId21" Type="http://schemas.openxmlformats.org/officeDocument/2006/relationships/image" Target="../media/90d55344_86a5_11e9_8101_003048fd731b_634a4294_f953_11e9_810b_003048fd731b21.jpeg"/><Relationship Id="rId22" Type="http://schemas.openxmlformats.org/officeDocument/2006/relationships/image" Target="../media/90d55346_86a5_11e9_8101_003048fd731b_634a4295_f953_11e9_810b_003048fd731b22.jpeg"/><Relationship Id="rId23" Type="http://schemas.openxmlformats.org/officeDocument/2006/relationships/image" Target="../media/90d55348_86a5_11e9_8101_003048fd731b_634a4296_f953_11e9_810b_003048fd731b23.jpeg"/><Relationship Id="rId24" Type="http://schemas.openxmlformats.org/officeDocument/2006/relationships/image" Target="../media/90d5534a_86a5_11e9_8101_003048fd731b_634a4297_f953_11e9_810b_003048fd731b24.jpeg"/><Relationship Id="rId25" Type="http://schemas.openxmlformats.org/officeDocument/2006/relationships/image" Target="../media/90d5534c_86a5_11e9_8101_003048fd731b_634a4298_f953_11e9_810b_003048fd731b25.jpeg"/><Relationship Id="rId26" Type="http://schemas.openxmlformats.org/officeDocument/2006/relationships/image" Target="../media/90d5534e_86a5_11e9_8101_003048fd731b_634a4299_f953_11e9_810b_003048fd731b26.jpeg"/><Relationship Id="rId27" Type="http://schemas.openxmlformats.org/officeDocument/2006/relationships/image" Target="../media/90d55351_86a5_11e9_8101_003048fd731b_634a429a_f953_11e9_810b_003048fd731b27.jpeg"/><Relationship Id="rId28" Type="http://schemas.openxmlformats.org/officeDocument/2006/relationships/image" Target="../media/a5fad48d_86a5_11e9_8101_003048fd731b_634a42a6_f953_11e9_810b_003048fd731b28.jpeg"/><Relationship Id="rId29" Type="http://schemas.openxmlformats.org/officeDocument/2006/relationships/image" Target="../media/1ca6936f_04fa_11f1_a85e_047c1617b143_2ed140cc_0c97_11f1_a86a_047c1617b14329.jpeg"/><Relationship Id="rId30" Type="http://schemas.openxmlformats.org/officeDocument/2006/relationships/image" Target="../media/1ca69371_04fa_11f1_a85e_047c1617b143_2ed140d0_0c97_11f1_a86a_047c1617b14330.jpeg"/><Relationship Id="rId31" Type="http://schemas.openxmlformats.org/officeDocument/2006/relationships/image" Target="../media/90d55353_86a5_11e9_8101_003048fd731b_634a42d9_f953_11e9_810b_003048fd731b31.jpeg"/><Relationship Id="rId32" Type="http://schemas.openxmlformats.org/officeDocument/2006/relationships/image" Target="../media/90d55355_86a5_11e9_8101_003048fd731b_634a42da_f953_11e9_810b_003048fd731b32.jpeg"/><Relationship Id="rId33" Type="http://schemas.openxmlformats.org/officeDocument/2006/relationships/image" Target="../media/90d55357_86a5_11e9_8101_003048fd731b_634a42db_f953_11e9_810b_003048fd731b33.jpeg"/><Relationship Id="rId34" Type="http://schemas.openxmlformats.org/officeDocument/2006/relationships/image" Target="../media/145c8a12_551c_11f0_a76e_047c1617b143_579e2405_5a46_11f0_a775_047c1617b14334.jpeg"/><Relationship Id="rId35" Type="http://schemas.openxmlformats.org/officeDocument/2006/relationships/image" Target="../media/145c8a14_551c_11f0_a76e_047c1617b143_579e2406_5a46_11f0_a775_047c1617b14335.jpeg"/><Relationship Id="rId36" Type="http://schemas.openxmlformats.org/officeDocument/2006/relationships/image" Target="../media/145c8a16_551c_11f0_a76e_047c1617b143_579e2407_5a46_11f0_a775_047c1617b14336.jpeg"/><Relationship Id="rId37" Type="http://schemas.openxmlformats.org/officeDocument/2006/relationships/image" Target="../media/145c8a18_551c_11f0_a76e_047c1617b143_579e2409_5a46_11f0_a775_047c1617b14337.jpeg"/><Relationship Id="rId38" Type="http://schemas.openxmlformats.org/officeDocument/2006/relationships/image" Target="../media/145c8a1a_551c_11f0_a76e_047c1617b143_579e240a_5a46_11f0_a775_047c1617b14338.jpeg"/><Relationship Id="rId39" Type="http://schemas.openxmlformats.org/officeDocument/2006/relationships/image" Target="../media/145c8a1c_551c_11f0_a76e_047c1617b143_579e240c_5a46_11f0_a775_047c1617b14339.jpeg"/><Relationship Id="rId40" Type="http://schemas.openxmlformats.org/officeDocument/2006/relationships/image" Target="../media/145c8a1e_551c_11f0_a76e_047c1617b143_579e240d_5a46_11f0_a775_047c1617b14340.jpeg"/><Relationship Id="rId41" Type="http://schemas.openxmlformats.org/officeDocument/2006/relationships/image" Target="../media/145c8a20_551c_11f0_a76e_047c1617b143_579e240f_5a46_11f0_a775_047c1617b14341.jpeg"/><Relationship Id="rId42" Type="http://schemas.openxmlformats.org/officeDocument/2006/relationships/image" Target="../media/145c8a22_551c_11f0_a76e_047c1617b143_579e2413_5a46_11f0_a775_047c1617b14342.jpeg"/><Relationship Id="rId43" Type="http://schemas.openxmlformats.org/officeDocument/2006/relationships/image" Target="../media/f7c1cdb5_7932_11f0_a79f_047c1617b143_a26f33c4_7c1e_11f0_a7a3_047c1617b14343.jpeg"/><Relationship Id="rId44" Type="http://schemas.openxmlformats.org/officeDocument/2006/relationships/image" Target="../media/1eec2e5e_4547_11f1_a8b7_047c1617b143_3c04fec1_714f_11f1_a8f1_047c1617b14344.jpeg"/><Relationship Id="rId45" Type="http://schemas.openxmlformats.org/officeDocument/2006/relationships/image" Target="../media/186f196d_f554_11f0_a844_047c1617b143_206f14b6_7150_11f1_a8f1_047c1617b14345.jpeg"/><Relationship Id="rId46" Type="http://schemas.openxmlformats.org/officeDocument/2006/relationships/image" Target="../media/186f196f_f554_11f0_a844_047c1617b143_206f14b5_7150_11f1_a8f1_047c1617b14346.jpeg"/><Relationship Id="rId47" Type="http://schemas.openxmlformats.org/officeDocument/2006/relationships/image" Target="../media/186f1971_f554_11f0_a844_047c1617b143_206f14b4_7150_11f1_a8f1_047c1617b14347.jpeg"/><Relationship Id="rId48" Type="http://schemas.openxmlformats.org/officeDocument/2006/relationships/image" Target="../media/186f1973_f554_11f0_a844_047c1617b143_5e46d601_7150_11f1_a8f1_047c1617b14348.jpeg"/><Relationship Id="rId49" Type="http://schemas.openxmlformats.org/officeDocument/2006/relationships/image" Target="../media/186f1975_f554_11f0_a844_047c1617b143_5e46d5ff_7150_11f1_a8f1_047c1617b14349.jpeg"/><Relationship Id="rId50" Type="http://schemas.openxmlformats.org/officeDocument/2006/relationships/image" Target="../media/186f1977_f554_11f0_a844_047c1617b143_5e46d603_7150_11f1_a8f1_047c1617b14350.jpeg"/><Relationship Id="rId51" Type="http://schemas.openxmlformats.org/officeDocument/2006/relationships/image" Target="../media/365e7157_68f5_11ea_8111_003048fd731b_018ae8b3_7ca2_11ea_8111_003048fd731b51.jpeg"/><Relationship Id="rId52" Type="http://schemas.openxmlformats.org/officeDocument/2006/relationships/image" Target="../media/365e7159_68f5_11ea_8111_003048fd731b_018ae8b4_7ca2_11ea_8111_003048fd731b52.jpeg"/><Relationship Id="rId53" Type="http://schemas.openxmlformats.org/officeDocument/2006/relationships/image" Target="../media/365e715b_68f5_11ea_8111_003048fd731b_a26f33ea_7c1e_11f0_a7a3_047c1617b14353.jpeg"/><Relationship Id="rId54" Type="http://schemas.openxmlformats.org/officeDocument/2006/relationships/image" Target="../media/365e715d_68f5_11ea_8111_003048fd731b_a26f33e8_7c1e_11f0_a7a3_047c1617b14354.jpeg"/><Relationship Id="rId55" Type="http://schemas.openxmlformats.org/officeDocument/2006/relationships/image" Target="../media/365e715f_68f5_11ea_8111_003048fd731b_018ae8b7_7ca2_11ea_8111_003048fd731b55.jpeg"/><Relationship Id="rId56" Type="http://schemas.openxmlformats.org/officeDocument/2006/relationships/image" Target="../media/365e7161_68f5_11ea_8111_003048fd731b_018ae8b8_7ca2_11ea_8111_003048fd731b56.jpeg"/><Relationship Id="rId57" Type="http://schemas.openxmlformats.org/officeDocument/2006/relationships/image" Target="../media/365e7163_68f5_11ea_8111_003048fd731b_018ae8b9_7ca2_11ea_8111_003048fd731b57.jpeg"/><Relationship Id="rId58" Type="http://schemas.openxmlformats.org/officeDocument/2006/relationships/image" Target="../media/365e7165_68f5_11ea_8111_003048fd731b_018ae8ba_7ca2_11ea_8111_003048fd731b58.jpeg"/><Relationship Id="rId59" Type="http://schemas.openxmlformats.org/officeDocument/2006/relationships/image" Target="../media/365e7167_68f5_11ea_8111_003048fd731b_a26f33e0_7c1e_11f0_a7a3_047c1617b14359.jpeg"/><Relationship Id="rId60" Type="http://schemas.openxmlformats.org/officeDocument/2006/relationships/image" Target="../media/365e7169_68f5_11ea_8111_003048fd731b_a26f33e4_7c1e_11f0_a7a3_047c1617b14360.jpeg"/><Relationship Id="rId61" Type="http://schemas.openxmlformats.org/officeDocument/2006/relationships/image" Target="../media/a5fad465_86a5_11e9_8101_003048fd731b_e24a3654_518a_11ea_810f_003048fd731b61.jpeg"/><Relationship Id="rId62" Type="http://schemas.openxmlformats.org/officeDocument/2006/relationships/image" Target="../media/1fcb312a_5f91_11eb_822d_003048fd731b_64c8bb64_5a46_11f0_a775_047c1617b14362.jpeg"/><Relationship Id="rId63" Type="http://schemas.openxmlformats.org/officeDocument/2006/relationships/image" Target="../media/1fcb312c_5f91_11eb_822d_003048fd731b_b22990fb_27ae_11ed_a30e_00259070b48763.jpeg"/><Relationship Id="rId64" Type="http://schemas.openxmlformats.org/officeDocument/2006/relationships/image" Target="../media/1fcb312e_5f91_11eb_822d_003048fd731b_d9228634_f1db_11ef_a6e1_047c1617b14364.jpeg"/><Relationship Id="rId65" Type="http://schemas.openxmlformats.org/officeDocument/2006/relationships/image" Target="../media/1fcb3130_5f91_11eb_822d_003048fd731b_d9228637_f1db_11ef_a6e1_047c1617b14365.jpeg"/><Relationship Id="rId66" Type="http://schemas.openxmlformats.org/officeDocument/2006/relationships/image" Target="../media/1fcb3132_5f91_11eb_822d_003048fd731b_d922863a_f1db_11ef_a6e1_047c1617b14366.jpeg"/><Relationship Id="rId67" Type="http://schemas.openxmlformats.org/officeDocument/2006/relationships/image" Target="../media/1fcb3134_5f91_11eb_822d_003048fd731b_d922863d_f1db_11ef_a6e1_047c1617b14367.jpeg"/><Relationship Id="rId68" Type="http://schemas.openxmlformats.org/officeDocument/2006/relationships/image" Target="../media/1fcb3136_5f91_11eb_822d_003048fd731b_d9228640_f1db_11ef_a6e1_047c1617b14368.jpeg"/><Relationship Id="rId69" Type="http://schemas.openxmlformats.org/officeDocument/2006/relationships/image" Target="../media/3650f772_f3c8_11eb_82ff_003048fd731b_d9228643_f1db_11ef_a6e1_047c1617b14369.jpeg"/><Relationship Id="rId70" Type="http://schemas.openxmlformats.org/officeDocument/2006/relationships/image" Target="../media/3650f774_f3c8_11eb_82ff_003048fd731b_d9228647_f1db_11ef_a6e1_047c1617b14370.jpeg"/><Relationship Id="rId71" Type="http://schemas.openxmlformats.org/officeDocument/2006/relationships/image" Target="../media/3650f776_f3c8_11eb_82ff_003048fd731b_d922864b_f1db_11ef_a6e1_047c1617b14371.jpeg"/><Relationship Id="rId72" Type="http://schemas.openxmlformats.org/officeDocument/2006/relationships/image" Target="../media/3650f778_f3c8_11eb_82ff_003048fd731b_a26f33ee_7c1e_11f0_a7a3_047c1617b14372.jpeg"/><Relationship Id="rId73" Type="http://schemas.openxmlformats.org/officeDocument/2006/relationships/image" Target="../media/3650f77a_f3c8_11eb_82ff_003048fd731b_a26f33ed_7c1e_11f0_a7a3_047c1617b14373.jpeg"/><Relationship Id="rId74" Type="http://schemas.openxmlformats.org/officeDocument/2006/relationships/image" Target="../media/3650f77c_f3c8_11eb_82ff_003048fd731b_a26f33ec_7c1e_11f0_a7a3_047c1617b14374.jpeg"/><Relationship Id="rId75" Type="http://schemas.openxmlformats.org/officeDocument/2006/relationships/image" Target="../media/45f59298_4009_11ec_8370_003048fd731b_64c8bb60_5a46_11f0_a775_047c1617b14375.jpeg"/><Relationship Id="rId76" Type="http://schemas.openxmlformats.org/officeDocument/2006/relationships/image" Target="../media/45f5929a_4009_11ec_8370_003048fd731b_d922864f_f1db_11ef_a6e1_047c1617b14376.jpeg"/><Relationship Id="rId77" Type="http://schemas.openxmlformats.org/officeDocument/2006/relationships/image" Target="../media/85dc95fc_9062_11ed_a3b6_047c1617b143_d9228653_f1db_11ef_a6e1_047c1617b14377.jpeg"/><Relationship Id="rId78" Type="http://schemas.openxmlformats.org/officeDocument/2006/relationships/image" Target="../media/85dc95fe_9062_11ed_a3b6_047c1617b143_d9228655_f1db_11ef_a6e1_047c1617b14378.jpeg"/><Relationship Id="rId79" Type="http://schemas.openxmlformats.org/officeDocument/2006/relationships/image" Target="../media/4bf92f64_b620_11ee_a53c_047c1617b143_4396bee8_0312_11ef_a5a4_047c1617b14379.jpeg"/><Relationship Id="rId80" Type="http://schemas.openxmlformats.org/officeDocument/2006/relationships/image" Target="../media/4bc12b6a_b632_11ee_a53c_047c1617b143_4396bee6_0312_11ef_a5a4_047c1617b14380.jpeg"/><Relationship Id="rId81" Type="http://schemas.openxmlformats.org/officeDocument/2006/relationships/image" Target="../media/88113653_37d2_11ef_a5e9_047c1617b143_64c8bb5c_5a46_11f0_a775_047c1617b14381.jpeg"/><Relationship Id="rId82" Type="http://schemas.openxmlformats.org/officeDocument/2006/relationships/image" Target="../media/88113655_37d2_11ef_a5e9_047c1617b143_14e1e1ae_f93d_11ef_a6ea_047c1617b14382.jpeg"/><Relationship Id="rId83" Type="http://schemas.openxmlformats.org/officeDocument/2006/relationships/image" Target="../media/f65a22f9_afcb_11ef_a68d_047c1617b143_d9228657_f1db_11ef_a6e1_047c1617b14383.jpeg"/><Relationship Id="rId84" Type="http://schemas.openxmlformats.org/officeDocument/2006/relationships/image" Target="../media/e939d859_ad80_11f0_a7e3_047c1617b143_fafd76f0_b70d_11f0_a7ef_047c1617b14384.jpeg"/><Relationship Id="rId85" Type="http://schemas.openxmlformats.org/officeDocument/2006/relationships/image" Target="../media/662b15c0_3466_11eb_81f3_003048fd731b_d9a655ec_f1e4_11ef_a6e1_047c1617b14385.jpeg"/><Relationship Id="rId86" Type="http://schemas.openxmlformats.org/officeDocument/2006/relationships/image" Target="../media/970a8f8a_ceda_11eb_82cb_003048fd731b_a15553c0_602e_11ec_a20b_00259070b48786.jpeg"/><Relationship Id="rId87" Type="http://schemas.openxmlformats.org/officeDocument/2006/relationships/image" Target="../media/970a8f8c_ceda_11eb_82cb_003048fd731b_a15553c1_602e_11ec_a20b_00259070b48787.jpeg"/><Relationship Id="rId88" Type="http://schemas.openxmlformats.org/officeDocument/2006/relationships/image" Target="../media/211804ab_ce2b_11f0_a80d_047c1617b143_ab7d8fd4_d05b_11f0_a810_047c1617b14388.jpeg"/><Relationship Id="rId89" Type="http://schemas.openxmlformats.org/officeDocument/2006/relationships/image" Target="../media/80abdaae_b35e_11eb_82a7_003048fd731b_d9228659_f1db_11ef_a6e1_047c1617b14389.jpeg"/><Relationship Id="rId90" Type="http://schemas.openxmlformats.org/officeDocument/2006/relationships/image" Target="../media/2a604761_f967_11e9_810b_003048fd731b_4b3c1c58_5a46_11f0_a775_047c1617b14390.jpeg"/><Relationship Id="rId91" Type="http://schemas.openxmlformats.org/officeDocument/2006/relationships/image" Target="../media/7df682b6_821d_11ed_a3a0_047c1617b143_4b3c1c5c_5a46_11f0_a775_047c1617b14391.jpeg"/><Relationship Id="rId92" Type="http://schemas.openxmlformats.org/officeDocument/2006/relationships/image" Target="../media/cffffd23_0ae4_11ee_a45c_047c1617b143_d922865c_f1db_11ef_a6e1_047c1617b14392.jpeg"/><Relationship Id="rId93" Type="http://schemas.openxmlformats.org/officeDocument/2006/relationships/image" Target="../media/cffffd25_0ae4_11ee_a45c_047c1617b143_d922865d_f1db_11ef_a6e1_047c1617b14393.jpeg"/><Relationship Id="rId94" Type="http://schemas.openxmlformats.org/officeDocument/2006/relationships/image" Target="../media/cffffd27_0ae4_11ee_a45c_047c1617b143_d922865e_f1db_11ef_a6e1_047c1617b14394.jpeg"/><Relationship Id="rId95" Type="http://schemas.openxmlformats.org/officeDocument/2006/relationships/image" Target="../media/3e84721e_afd7_11ef_a68d_047c1617b143_d9228661_f1db_11ef_a6e1_047c1617b14395.jpeg"/><Relationship Id="rId96" Type="http://schemas.openxmlformats.org/officeDocument/2006/relationships/image" Target="../media/3e8472b6_afd7_11ef_a68d_047c1617b143_703303e6_d01e_11f0_a810_047c1617b14396.jpeg"/><Relationship Id="rId97" Type="http://schemas.openxmlformats.org/officeDocument/2006/relationships/image" Target="../media/2118621c_86a6_11e9_8101_003048fd731b_189ece1c_a59f_11ee_a526_047c1617b14397.jpeg"/><Relationship Id="rId98" Type="http://schemas.openxmlformats.org/officeDocument/2006/relationships/image" Target="../media/2118621f_86a6_11e9_8101_003048fd731b_189ece20_a59f_11ee_a526_047c1617b14398.jpeg"/><Relationship Id="rId99" Type="http://schemas.openxmlformats.org/officeDocument/2006/relationships/image" Target="../media/379dc1b6_bcce_11ed_a3f0_047c1617b143_4b3c1c66_5a46_11f0_a775_047c1617b14399.jpeg"/><Relationship Id="rId100" Type="http://schemas.openxmlformats.org/officeDocument/2006/relationships/image" Target="../media/410e1ef2_c3cb_11ed_a3f9_047c1617b143_4b3c1c6a_5a46_11f0_a775_047c1617b143100.jpeg"/><Relationship Id="rId101" Type="http://schemas.openxmlformats.org/officeDocument/2006/relationships/image" Target="../media/662b1566_3466_11eb_81f3_003048fd731b_d9a655ed_f1e4_11ef_a6e1_047c1617b143101.jpeg"/><Relationship Id="rId102" Type="http://schemas.openxmlformats.org/officeDocument/2006/relationships/image" Target="../media/662b1568_3466_11eb_81f3_003048fd731b_d9a655ee_f1e4_11ef_a6e1_047c1617b143102.jpeg"/><Relationship Id="rId103" Type="http://schemas.openxmlformats.org/officeDocument/2006/relationships/image" Target="../media/662b156a_3466_11eb_81f3_003048fd731b_d9a655ef_f1e4_11ef_a6e1_047c1617b143103.jpeg"/><Relationship Id="rId104" Type="http://schemas.openxmlformats.org/officeDocument/2006/relationships/image" Target="../media/662b156c_3466_11eb_81f3_003048fd731b_d9a655f0_f1e4_11ef_a6e1_047c1617b143104.jpeg"/><Relationship Id="rId105" Type="http://schemas.openxmlformats.org/officeDocument/2006/relationships/image" Target="../media/662b156e_3466_11eb_81f3_003048fd731b_d9a655f1_f1e4_11ef_a6e1_047c1617b143105.jpeg"/><Relationship Id="rId106" Type="http://schemas.openxmlformats.org/officeDocument/2006/relationships/image" Target="../media/662b1570_3466_11eb_81f3_003048fd731b_d9a655f2_f1e4_11ef_a6e1_047c1617b143106.jpeg"/><Relationship Id="rId107" Type="http://schemas.openxmlformats.org/officeDocument/2006/relationships/image" Target="../media/662b1572_3466_11eb_81f3_003048fd731b_d9a655f3_f1e4_11ef_a6e1_047c1617b143107.jpeg"/><Relationship Id="rId108" Type="http://schemas.openxmlformats.org/officeDocument/2006/relationships/image" Target="../media/90d5536d_86a5_11e9_8101_003048fd731b_e872285a_518a_11ea_810f_003048fd731b108.png"/><Relationship Id="rId109" Type="http://schemas.openxmlformats.org/officeDocument/2006/relationships/image" Target="../media/90d5536f_86a5_11e9_8101_003048fd731b_e872285b_518a_11ea_810f_003048fd731b109.jpeg"/><Relationship Id="rId110" Type="http://schemas.openxmlformats.org/officeDocument/2006/relationships/image" Target="../media/90d55371_86a5_11e9_8101_003048fd731b_e872285c_518a_11ea_810f_003048fd731b110.jpeg"/><Relationship Id="rId111" Type="http://schemas.openxmlformats.org/officeDocument/2006/relationships/image" Target="../media/97771b69_86a5_11e9_8101_003048fd731b_e872285d_518a_11ea_810f_003048fd731b111.jpeg"/><Relationship Id="rId112" Type="http://schemas.openxmlformats.org/officeDocument/2006/relationships/image" Target="../media/97771b6b_86a5_11e9_8101_003048fd731b_e8722856_518a_11ea_810f_003048fd731b112.jpeg"/><Relationship Id="rId113" Type="http://schemas.openxmlformats.org/officeDocument/2006/relationships/image" Target="../media/97771b6d_86a5_11e9_8101_003048fd731b_e8722857_518a_11ea_810f_003048fd731b113.jpeg"/><Relationship Id="rId114" Type="http://schemas.openxmlformats.org/officeDocument/2006/relationships/image" Target="../media/97771b6f_86a5_11e9_8101_003048fd731b_e8722858_518a_11ea_810f_003048fd731b114.jpeg"/><Relationship Id="rId115" Type="http://schemas.openxmlformats.org/officeDocument/2006/relationships/image" Target="../media/97771b71_86a5_11e9_8101_003048fd731b_e8722859_518a_11ea_810f_003048fd731b115.jpeg"/><Relationship Id="rId116" Type="http://schemas.openxmlformats.org/officeDocument/2006/relationships/image" Target="../media/97771b76_86a5_11e9_8101_003048fd731b_d37ff3c5_5d4f_11f0_a779_047c1617b143116.jpeg"/><Relationship Id="rId117" Type="http://schemas.openxmlformats.org/officeDocument/2006/relationships/image" Target="../media/97771b78_86a5_11e9_8101_003048fd731b_d37ff3c6_5d4f_11f0_a779_047c1617b143117.jpeg"/><Relationship Id="rId118" Type="http://schemas.openxmlformats.org/officeDocument/2006/relationships/image" Target="../media/97771b7a_86a5_11e9_8101_003048fd731b_d37ff3c7_5d4f_11f0_a779_047c1617b143118.jpeg"/><Relationship Id="rId119" Type="http://schemas.openxmlformats.org/officeDocument/2006/relationships/image" Target="../media/97771b7c_86a5_11e9_8101_003048fd731b_d37ff3c8_5d4f_11f0_a779_047c1617b143119.jpeg"/><Relationship Id="rId120" Type="http://schemas.openxmlformats.org/officeDocument/2006/relationships/image" Target="../media/97771b7e_86a5_11e9_8101_003048fd731b_d37ff3c9_5d4f_11f0_a779_047c1617b143120.jpeg"/><Relationship Id="rId121" Type="http://schemas.openxmlformats.org/officeDocument/2006/relationships/image" Target="../media/97771b80_86a5_11e9_8101_003048fd731b_d37ff3ca_5d4f_11f0_a779_047c1617b143121.jpeg"/><Relationship Id="rId122" Type="http://schemas.openxmlformats.org/officeDocument/2006/relationships/image" Target="../media/97771b82_86a5_11e9_8101_003048fd731b_d37ff3cb_5d4f_11f0_a779_047c1617b143122.jpeg"/><Relationship Id="rId123" Type="http://schemas.openxmlformats.org/officeDocument/2006/relationships/image" Target="../media/97771b84_86a5_11e9_8101_003048fd731b_4b3c1cb3_5a46_11f0_a775_047c1617b143123.jpeg"/><Relationship Id="rId124" Type="http://schemas.openxmlformats.org/officeDocument/2006/relationships/image" Target="../media/97771b86_86a5_11e9_8101_003048fd731b_4b3c1cb4_5a46_11f0_a775_047c1617b143124.jpeg"/><Relationship Id="rId125" Type="http://schemas.openxmlformats.org/officeDocument/2006/relationships/image" Target="../media/dc3900a7_823f_11ed_a3a0_047c1617b143_4b3c1c6e_5a46_11f0_a775_047c1617b143125.jpeg"/><Relationship Id="rId126" Type="http://schemas.openxmlformats.org/officeDocument/2006/relationships/image" Target="../media/dc3900a9_823f_11ed_a3a0_047c1617b143_4b3c1c72_5a46_11f0_a775_047c1617b143126.jpeg"/><Relationship Id="rId127" Type="http://schemas.openxmlformats.org/officeDocument/2006/relationships/image" Target="../media/dc3900ab_823f_11ed_a3a0_047c1617b143_4b3c1c76_5a46_11f0_a775_047c1617b143127.jpeg"/><Relationship Id="rId128" Type="http://schemas.openxmlformats.org/officeDocument/2006/relationships/image" Target="../media/dc3900ad_823f_11ed_a3a0_047c1617b143_4b3c1c7a_5a46_11f0_a775_047c1617b143128.jpeg"/><Relationship Id="rId129" Type="http://schemas.openxmlformats.org/officeDocument/2006/relationships/image" Target="../media/dc3900af_823f_11ed_a3a0_047c1617b143_4b3c1c7e_5a46_11f0_a775_047c1617b143129.jpeg"/><Relationship Id="rId130" Type="http://schemas.openxmlformats.org/officeDocument/2006/relationships/image" Target="../media/dc3900b1_823f_11ed_a3a0_047c1617b143_4b3c1c82_5a46_11f0_a775_047c1617b143130.jpeg"/><Relationship Id="rId131" Type="http://schemas.openxmlformats.org/officeDocument/2006/relationships/image" Target="../media/dc3900b3_823f_11ed_a3a0_047c1617b143_4b3c1c86_5a46_11f0_a775_047c1617b143131.jpeg"/><Relationship Id="rId132" Type="http://schemas.openxmlformats.org/officeDocument/2006/relationships/image" Target="../media/dc3900b5_823f_11ed_a3a0_047c1617b143_4b3c1c8a_5a46_11f0_a775_047c1617b143132.jpeg"/><Relationship Id="rId133" Type="http://schemas.openxmlformats.org/officeDocument/2006/relationships/image" Target="../media/dc3900b7_823f_11ed_a3a0_047c1617b143_4b3c1c8e_5a46_11f0_a775_047c1617b143133.jpeg"/><Relationship Id="rId134" Type="http://schemas.openxmlformats.org/officeDocument/2006/relationships/image" Target="../media/dc3900b9_823f_11ed_a3a0_047c1617b143_4b3c1c92_5a46_11f0_a775_047c1617b143134.jpeg"/><Relationship Id="rId135" Type="http://schemas.openxmlformats.org/officeDocument/2006/relationships/image" Target="../media/dc3900bb_823f_11ed_a3a0_047c1617b143_4b3c1c96_5a46_11f0_a775_047c1617b143135.jpeg"/><Relationship Id="rId136" Type="http://schemas.openxmlformats.org/officeDocument/2006/relationships/image" Target="../media/dc3900bd_823f_11ed_a3a0_047c1617b143_4b3c1c9a_5a46_11f0_a775_047c1617b143136.jpeg"/><Relationship Id="rId137" Type="http://schemas.openxmlformats.org/officeDocument/2006/relationships/image" Target="../media/1a0593fc_823c_11ed_a3a0_047c1617b143_ba673475_f115_11ee_a58b_047c1617b143137.jpeg"/><Relationship Id="rId138" Type="http://schemas.openxmlformats.org/officeDocument/2006/relationships/image" Target="../media/1a0593fe_823c_11ed_a3a0_047c1617b143_ba673476_f115_11ee_a58b_047c1617b143138.jpeg"/><Relationship Id="rId139" Type="http://schemas.openxmlformats.org/officeDocument/2006/relationships/image" Target="../media/1a059400_823c_11ed_a3a0_047c1617b143_ba673477_f115_11ee_a58b_047c1617b143139.jpeg"/><Relationship Id="rId140" Type="http://schemas.openxmlformats.org/officeDocument/2006/relationships/image" Target="../media/1a059402_823c_11ed_a3a0_047c1617b143_ba673479_f115_11ee_a58b_047c1617b143140.jpeg"/><Relationship Id="rId141" Type="http://schemas.openxmlformats.org/officeDocument/2006/relationships/image" Target="../media/1a059404_823c_11ed_a3a0_047c1617b143_ba673478_f115_11ee_a58b_047c1617b143141.jpeg"/><Relationship Id="rId142" Type="http://schemas.openxmlformats.org/officeDocument/2006/relationships/image" Target="../media/1a059406_823c_11ed_a3a0_047c1617b143_ba67347a_f115_11ee_a58b_047c1617b143142.jpeg"/><Relationship Id="rId143" Type="http://schemas.openxmlformats.org/officeDocument/2006/relationships/image" Target="../media/ebff867d_a80b_11ed_a3d4_047c1617b143_ba67346f_f115_11ee_a58b_047c1617b143143.jpeg"/><Relationship Id="rId144" Type="http://schemas.openxmlformats.org/officeDocument/2006/relationships/image" Target="../media/ebff867f_a80b_11ed_a3d4_047c1617b143_ba673470_f115_11ee_a58b_047c1617b143144.jpeg"/><Relationship Id="rId145" Type="http://schemas.openxmlformats.org/officeDocument/2006/relationships/image" Target="../media/ebff8681_a80b_11ed_a3d4_047c1617b143_ba673471_f115_11ee_a58b_047c1617b143145.jpeg"/><Relationship Id="rId146" Type="http://schemas.openxmlformats.org/officeDocument/2006/relationships/image" Target="../media/ebff8683_a80b_11ed_a3d4_047c1617b143_ba673469_f115_11ee_a58b_047c1617b143146.jpeg"/><Relationship Id="rId147" Type="http://schemas.openxmlformats.org/officeDocument/2006/relationships/image" Target="../media/ebff8685_a80b_11ed_a3d4_047c1617b143_ba67346a_f115_11ee_a58b_047c1617b143147.jpeg"/><Relationship Id="rId148" Type="http://schemas.openxmlformats.org/officeDocument/2006/relationships/image" Target="../media/ebff8687_a80b_11ed_a3d4_047c1617b143_ba67346b_f115_11ee_a58b_047c1617b143148.jpeg"/><Relationship Id="rId149" Type="http://schemas.openxmlformats.org/officeDocument/2006/relationships/image" Target="../media/ebff8689_a80b_11ed_a3d4_047c1617b143_ba673466_f115_11ee_a58b_047c1617b143149.jpeg"/><Relationship Id="rId150" Type="http://schemas.openxmlformats.org/officeDocument/2006/relationships/image" Target="../media/ebff868b_a80b_11ed_a3d4_047c1617b143_ba673467_f115_11ee_a58b_047c1617b143150.jpeg"/><Relationship Id="rId151" Type="http://schemas.openxmlformats.org/officeDocument/2006/relationships/image" Target="../media/ebff868d_a80b_11ed_a3d4_047c1617b143_ba673468_f115_11ee_a58b_047c1617b143151.jpeg"/><Relationship Id="rId152" Type="http://schemas.openxmlformats.org/officeDocument/2006/relationships/image" Target="../media/ebff868f_a80b_11ed_a3d4_047c1617b143_ba673473_f115_11ee_a58b_047c1617b143152.jpeg"/><Relationship Id="rId153" Type="http://schemas.openxmlformats.org/officeDocument/2006/relationships/image" Target="../media/ebff8691_a80b_11ed_a3d4_047c1617b143_ba673472_f115_11ee_a58b_047c1617b143153.jpeg"/><Relationship Id="rId154" Type="http://schemas.openxmlformats.org/officeDocument/2006/relationships/image" Target="../media/ebff8693_a80b_11ed_a3d4_047c1617b143_ba67346c_f115_11ee_a58b_047c1617b143154.jpeg"/><Relationship Id="rId155" Type="http://schemas.openxmlformats.org/officeDocument/2006/relationships/image" Target="../media/ebff8695_a80b_11ed_a3d4_047c1617b143_ba67346d_f115_11ee_a58b_047c1617b143155.jpeg"/><Relationship Id="rId156" Type="http://schemas.openxmlformats.org/officeDocument/2006/relationships/image" Target="../media/ebff8697_a80b_11ed_a3d4_047c1617b143_ba67346e_f115_11ee_a58b_047c1617b143156.jpeg"/><Relationship Id="rId157" Type="http://schemas.openxmlformats.org/officeDocument/2006/relationships/image" Target="../media/3e84727e_afd7_11ef_a68d_047c1617b143_d9228676_f1db_11ef_a6e1_047c1617b143157.jpeg"/><Relationship Id="rId158" Type="http://schemas.openxmlformats.org/officeDocument/2006/relationships/image" Target="../media/3e847280_afd7_11ef_a68d_047c1617b143_d9228678_f1db_11ef_a6e1_047c1617b143158.jpeg"/><Relationship Id="rId159" Type="http://schemas.openxmlformats.org/officeDocument/2006/relationships/image" Target="../media/3e847282_afd7_11ef_a68d_047c1617b143_d922867a_f1db_11ef_a6e1_047c1617b143159.jpeg"/><Relationship Id="rId160" Type="http://schemas.openxmlformats.org/officeDocument/2006/relationships/image" Target="../media/3e847284_afd7_11ef_a68d_047c1617b143_d922867b_f1db_11ef_a6e1_047c1617b143160.jpeg"/><Relationship Id="rId161" Type="http://schemas.openxmlformats.org/officeDocument/2006/relationships/image" Target="../media/3e847286_afd7_11ef_a68d_047c1617b143_d922867c_f1db_11ef_a6e1_047c1617b143161.jpeg"/><Relationship Id="rId162" Type="http://schemas.openxmlformats.org/officeDocument/2006/relationships/image" Target="../media/dc390099_823f_11ed_a3a0_047c1617b143_4b3c1caa_5a46_11f0_a775_047c1617b143162.jpeg"/><Relationship Id="rId163" Type="http://schemas.openxmlformats.org/officeDocument/2006/relationships/image" Target="../media/dc39009b_823f_11ed_a3a0_047c1617b143_4b3c1cad_5a46_11f0_a775_047c1617b143163.jpeg"/><Relationship Id="rId164" Type="http://schemas.openxmlformats.org/officeDocument/2006/relationships/image" Target="../media/dc39009d_823f_11ed_a3a0_047c1617b143_4b3c1cb0_5a46_11f0_a775_047c1617b143164.jpeg"/><Relationship Id="rId165" Type="http://schemas.openxmlformats.org/officeDocument/2006/relationships/image" Target="../media/dc39009f_823f_11ed_a3a0_047c1617b143_4b3c1c9e_5a46_11f0_a775_047c1617b143165.jpeg"/><Relationship Id="rId166" Type="http://schemas.openxmlformats.org/officeDocument/2006/relationships/image" Target="../media/dc3900a1_823f_11ed_a3a0_047c1617b143_4b3c1ca1_5a46_11f0_a775_047c1617b143166.jpeg"/><Relationship Id="rId167" Type="http://schemas.openxmlformats.org/officeDocument/2006/relationships/image" Target="../media/dc3900a3_823f_11ed_a3a0_047c1617b143_4b3c1ca4_5a46_11f0_a775_047c1617b143167.jpeg"/><Relationship Id="rId168" Type="http://schemas.openxmlformats.org/officeDocument/2006/relationships/image" Target="../media/dc3900a5_823f_11ed_a3a0_047c1617b143_4b3c1ca7_5a46_11f0_a775_047c1617b143168.jpeg"/><Relationship Id="rId169" Type="http://schemas.openxmlformats.org/officeDocument/2006/relationships/image" Target="../media/1a059408_823c_11ed_a3a0_047c1617b143_c0e52a70_f115_11ee_a58b_047c1617b143169.jpeg"/><Relationship Id="rId170" Type="http://schemas.openxmlformats.org/officeDocument/2006/relationships/image" Target="../media/1a05940a_823c_11ed_a3a0_047c1617b143_c0e52a71_f115_11ee_a58b_047c1617b143170.jpeg"/><Relationship Id="rId171" Type="http://schemas.openxmlformats.org/officeDocument/2006/relationships/image" Target="../media/1a05940c_823c_11ed_a3a0_047c1617b143_c0e52a72_f115_11ee_a58b_047c1617b143171.jpeg"/><Relationship Id="rId172" Type="http://schemas.openxmlformats.org/officeDocument/2006/relationships/image" Target="../media/1a05940e_823c_11ed_a3a0_047c1617b143_c0e52a73_f115_11ee_a58b_047c1617b143172.jpeg"/><Relationship Id="rId173" Type="http://schemas.openxmlformats.org/officeDocument/2006/relationships/image" Target="../media/1a059410_823c_11ed_a3a0_047c1617b143_c0e52a74_f115_11ee_a58b_047c1617b143173.jpeg"/><Relationship Id="rId174" Type="http://schemas.openxmlformats.org/officeDocument/2006/relationships/image" Target="../media/1a059412_823c_11ed_a3a0_047c1617b143_c0e52a75_f115_11ee_a58b_047c1617b143174.jpeg"/><Relationship Id="rId175" Type="http://schemas.openxmlformats.org/officeDocument/2006/relationships/image" Target="../media/1a059414_823c_11ed_a3a0_047c1617b143_c0e52a76_f115_11ee_a58b_047c1617b143175.jpeg"/><Relationship Id="rId176" Type="http://schemas.openxmlformats.org/officeDocument/2006/relationships/image" Target="../media/7df682b8_821d_11ed_a3a0_047c1617b143_10e2bba9_310d_11f1_a89b_047c1617b143176.jpeg"/><Relationship Id="rId177" Type="http://schemas.openxmlformats.org/officeDocument/2006/relationships/image" Target="../media/7df682bc_821d_11ed_a3a0_047c1617b143_10e2bb98_310d_11f1_a89b_047c1617b143177.jpeg"/><Relationship Id="rId178" Type="http://schemas.openxmlformats.org/officeDocument/2006/relationships/image" Target="../media/7df682c0_821d_11ed_a3a0_047c1617b143_10e2bb9c_310d_11f1_a89b_047c1617b143178.jpeg"/><Relationship Id="rId179" Type="http://schemas.openxmlformats.org/officeDocument/2006/relationships/image" Target="../media/9838cd91_d591_11f0_a817_047c1617b143_10e2bbb0_310d_11f1_a89b_047c1617b143179.jpeg"/><Relationship Id="rId180" Type="http://schemas.openxmlformats.org/officeDocument/2006/relationships/image" Target="../media/ebff8699_a80b_11ed_a3d4_047c1617b143_c0e52a69_f115_11ee_a58b_047c1617b143180.jpeg"/><Relationship Id="rId181" Type="http://schemas.openxmlformats.org/officeDocument/2006/relationships/image" Target="../media/ebff869b_a80b_11ed_a3d4_047c1617b143_c0e52a6a_f115_11ee_a58b_047c1617b143181.jpeg"/><Relationship Id="rId182" Type="http://schemas.openxmlformats.org/officeDocument/2006/relationships/image" Target="../media/ebff869d_a80b_11ed_a3d4_047c1617b143_c0e52a6b_f115_11ee_a58b_047c1617b143182.jpeg"/><Relationship Id="rId183" Type="http://schemas.openxmlformats.org/officeDocument/2006/relationships/image" Target="../media/ebff869f_a80b_11ed_a3d4_047c1617b143_c0e52a6c_f115_11ee_a58b_047c1617b143183.jpeg"/><Relationship Id="rId184" Type="http://schemas.openxmlformats.org/officeDocument/2006/relationships/image" Target="../media/ebff86a1_a80b_11ed_a3d4_047c1617b143_c0e52a6d_f115_11ee_a58b_047c1617b143184.jpeg"/><Relationship Id="rId185" Type="http://schemas.openxmlformats.org/officeDocument/2006/relationships/image" Target="../media/ebff86a3_a80b_11ed_a3d4_047c1617b143_c0e52a8f_f115_11ee_a58b_047c1617b143185.jpeg"/><Relationship Id="rId186" Type="http://schemas.openxmlformats.org/officeDocument/2006/relationships/image" Target="../media/ebff86a5_a80b_11ed_a3d4_047c1617b143_c0e52a90_f115_11ee_a58b_047c1617b143186.jpeg"/><Relationship Id="rId187" Type="http://schemas.openxmlformats.org/officeDocument/2006/relationships/image" Target="../media/ebff86a7_a80b_11ed_a3d4_047c1617b143_c0e52a9b_f115_11ee_a58b_047c1617b143187.jpeg"/><Relationship Id="rId188" Type="http://schemas.openxmlformats.org/officeDocument/2006/relationships/image" Target="../media/ebff86a9_a80b_11ed_a3d4_047c1617b143_c0e52a9d_f115_11ee_a58b_047c1617b143188.jpeg"/><Relationship Id="rId189" Type="http://schemas.openxmlformats.org/officeDocument/2006/relationships/image" Target="../media/ebff86ab_a80b_11ed_a3d4_047c1617b143_c0e52a9e_f115_11ee_a58b_047c1617b143189.jpeg"/><Relationship Id="rId190" Type="http://schemas.openxmlformats.org/officeDocument/2006/relationships/image" Target="../media/ebff86ad_a80b_11ed_a3d4_047c1617b143_c0e52a9f_f115_11ee_a58b_047c1617b143190.jpeg"/><Relationship Id="rId191" Type="http://schemas.openxmlformats.org/officeDocument/2006/relationships/image" Target="../media/ebff86af_a80b_11ed_a3d4_047c1617b143_c0e52a9c_f115_11ee_a58b_047c1617b143191.jpeg"/><Relationship Id="rId192" Type="http://schemas.openxmlformats.org/officeDocument/2006/relationships/image" Target="../media/ebff86b1_a80b_11ed_a3d4_047c1617b143_c0e52aa0_f115_11ee_a58b_047c1617b143192.jpeg"/><Relationship Id="rId193" Type="http://schemas.openxmlformats.org/officeDocument/2006/relationships/image" Target="../media/ebff86b3_a80b_11ed_a3d4_047c1617b143_c0e52aa1_f115_11ee_a58b_047c1617b143193.jpeg"/><Relationship Id="rId194" Type="http://schemas.openxmlformats.org/officeDocument/2006/relationships/image" Target="../media/ebff86b5_a80b_11ed_a3d4_047c1617b143_c0e52aa2_f115_11ee_a58b_047c1617b143194.jpeg"/><Relationship Id="rId195" Type="http://schemas.openxmlformats.org/officeDocument/2006/relationships/image" Target="../media/ebff86b7_a80b_11ed_a3d4_047c1617b143_c0e52a83_f115_11ee_a58b_047c1617b143195.jpeg"/><Relationship Id="rId196" Type="http://schemas.openxmlformats.org/officeDocument/2006/relationships/image" Target="../media/ebff86b9_a80b_11ed_a3d4_047c1617b143_c0e52a84_f115_11ee_a58b_047c1617b143196.jpeg"/><Relationship Id="rId197" Type="http://schemas.openxmlformats.org/officeDocument/2006/relationships/image" Target="../media/12a34025_a80c_11ed_a3d4_047c1617b143_c0e52a85_f115_11ee_a58b_047c1617b143197.jpeg"/><Relationship Id="rId198" Type="http://schemas.openxmlformats.org/officeDocument/2006/relationships/image" Target="../media/12a34027_a80c_11ed_a3d4_047c1617b143_c0e52a86_f115_11ee_a58b_047c1617b143198.jpeg"/><Relationship Id="rId199" Type="http://schemas.openxmlformats.org/officeDocument/2006/relationships/image" Target="../media/12a34029_a80c_11ed_a3d4_047c1617b143_c0e52a87_f115_11ee_a58b_047c1617b143199.jpeg"/><Relationship Id="rId200" Type="http://schemas.openxmlformats.org/officeDocument/2006/relationships/image" Target="../media/12a3402b_a80c_11ed_a3d4_047c1617b143_c0e52a88_f115_11ee_a58b_047c1617b143200.jpeg"/><Relationship Id="rId201" Type="http://schemas.openxmlformats.org/officeDocument/2006/relationships/image" Target="../media/12a3402d_a80c_11ed_a3d4_047c1617b143_c0e52a89_f115_11ee_a58b_047c1617b143201.jpeg"/><Relationship Id="rId202" Type="http://schemas.openxmlformats.org/officeDocument/2006/relationships/image" Target="../media/12a3402f_a80c_11ed_a3d4_047c1617b143_c0e52a8a_f115_11ee_a58b_047c1617b143202.jpeg"/><Relationship Id="rId203" Type="http://schemas.openxmlformats.org/officeDocument/2006/relationships/image" Target="../media/12a34031_a80c_11ed_a3d4_047c1617b143_c0e52a8b_f115_11ee_a58b_047c1617b143203.jpeg"/><Relationship Id="rId204" Type="http://schemas.openxmlformats.org/officeDocument/2006/relationships/image" Target="../media/12a34033_a80c_11ed_a3d4_047c1617b143_c0e52a8c_f115_11ee_a58b_047c1617b143204.jpeg"/><Relationship Id="rId205" Type="http://schemas.openxmlformats.org/officeDocument/2006/relationships/image" Target="../media/12a34035_a80c_11ed_a3d4_047c1617b143_c0e52a8d_f115_11ee_a58b_047c1617b143205.jpeg"/><Relationship Id="rId206" Type="http://schemas.openxmlformats.org/officeDocument/2006/relationships/image" Target="../media/12a34037_a80c_11ed_a3d4_047c1617b143_c0e52a8e_f115_11ee_a58b_047c1617b143206.jpeg"/><Relationship Id="rId207" Type="http://schemas.openxmlformats.org/officeDocument/2006/relationships/image" Target="../media/12a34039_a80c_11ed_a3d4_047c1617b143_c0e52a91_f115_11ee_a58b_047c1617b143207.jpeg"/><Relationship Id="rId208" Type="http://schemas.openxmlformats.org/officeDocument/2006/relationships/image" Target="../media/12a3403b_a80c_11ed_a3d4_047c1617b143_c0e52a92_f115_11ee_a58b_047c1617b143208.jpeg"/><Relationship Id="rId209" Type="http://schemas.openxmlformats.org/officeDocument/2006/relationships/image" Target="../media/12a3403d_a80c_11ed_a3d4_047c1617b143_c0e52a93_f115_11ee_a58b_047c1617b143209.jpeg"/><Relationship Id="rId210" Type="http://schemas.openxmlformats.org/officeDocument/2006/relationships/image" Target="../media/12a3403f_a80c_11ed_a3d4_047c1617b143_c0e52a94_f115_11ee_a58b_047c1617b143210.jpeg"/><Relationship Id="rId211" Type="http://schemas.openxmlformats.org/officeDocument/2006/relationships/image" Target="../media/12a34041_a80c_11ed_a3d4_047c1617b143_c0e52a95_f115_11ee_a58b_047c1617b143211.jpeg"/><Relationship Id="rId212" Type="http://schemas.openxmlformats.org/officeDocument/2006/relationships/image" Target="../media/12a34043_a80c_11ed_a3d4_047c1617b143_c0e52a96_f115_11ee_a58b_047c1617b143212.jpeg"/><Relationship Id="rId213" Type="http://schemas.openxmlformats.org/officeDocument/2006/relationships/image" Target="../media/12a34045_a80c_11ed_a3d4_047c1617b143_c0e52a97_f115_11ee_a58b_047c1617b143213.jpeg"/><Relationship Id="rId214" Type="http://schemas.openxmlformats.org/officeDocument/2006/relationships/image" Target="../media/12a34047_a80c_11ed_a3d4_047c1617b143_c0e52a98_f115_11ee_a58b_047c1617b143214.jpeg"/><Relationship Id="rId215" Type="http://schemas.openxmlformats.org/officeDocument/2006/relationships/image" Target="../media/12a34049_a80c_11ed_a3d4_047c1617b143_c0e52a99_f115_11ee_a58b_047c1617b143215.jpeg"/><Relationship Id="rId216" Type="http://schemas.openxmlformats.org/officeDocument/2006/relationships/image" Target="../media/12a3404b_a80c_11ed_a3d4_047c1617b143_c0e52a9a_f115_11ee_a58b_047c1617b143216.jpeg"/><Relationship Id="rId217" Type="http://schemas.openxmlformats.org/officeDocument/2006/relationships/image" Target="../media/cffffd29_0ae4_11ee_a45c_047c1617b143_d9228662_f1db_11ef_a6e1_047c1617b143217.jpeg"/><Relationship Id="rId218" Type="http://schemas.openxmlformats.org/officeDocument/2006/relationships/image" Target="../media/cffffd2b_0ae4_11ee_a45c_047c1617b143_d9228666_f1db_11ef_a6e1_047c1617b143218.jpeg"/><Relationship Id="rId219" Type="http://schemas.openxmlformats.org/officeDocument/2006/relationships/image" Target="../media/cffffd2d_0ae4_11ee_a45c_047c1617b143_d922866a_f1db_11ef_a6e1_047c1617b143219.jpeg"/><Relationship Id="rId220" Type="http://schemas.openxmlformats.org/officeDocument/2006/relationships/image" Target="../media/cffffd2f_0ae4_11ee_a45c_047c1617b143_d922866e_f1db_11ef_a6e1_047c1617b143220.jpeg"/><Relationship Id="rId221" Type="http://schemas.openxmlformats.org/officeDocument/2006/relationships/image" Target="../media/cffffd31_0ae4_11ee_a45c_047c1617b143_d9228672_f1db_11ef_a6e1_047c1617b143221.jpeg"/><Relationship Id="rId222" Type="http://schemas.openxmlformats.org/officeDocument/2006/relationships/image" Target="../media/1a05941a_823c_11ed_a3a0_047c1617b143_ba673411_f115_11ee_a58b_047c1617b143222.jpeg"/><Relationship Id="rId223" Type="http://schemas.openxmlformats.org/officeDocument/2006/relationships/image" Target="../media/1a05941c_823c_11ed_a3a0_047c1617b143_ba673413_f115_11ee_a58b_047c1617b143223.jpeg"/><Relationship Id="rId224" Type="http://schemas.openxmlformats.org/officeDocument/2006/relationships/image" Target="../media/1a05941e_823c_11ed_a3a0_047c1617b143_ba673415_f115_11ee_a58b_047c1617b143224.jpeg"/><Relationship Id="rId225" Type="http://schemas.openxmlformats.org/officeDocument/2006/relationships/image" Target="../media/dc390075_823f_11ed_a3a0_047c1617b143_ba67341a_f115_11ee_a58b_047c1617b143225.jpeg"/><Relationship Id="rId226" Type="http://schemas.openxmlformats.org/officeDocument/2006/relationships/image" Target="../media/dc390077_823f_11ed_a3a0_047c1617b143_ba673412_f115_11ee_a58b_047c1617b143226.jpeg"/><Relationship Id="rId227" Type="http://schemas.openxmlformats.org/officeDocument/2006/relationships/image" Target="../media/ea21c133_400c_11ee_a4a3_047c1617b143_ba67341b_f115_11ee_a58b_047c1617b143227.jpeg"/><Relationship Id="rId228" Type="http://schemas.openxmlformats.org/officeDocument/2006/relationships/image" Target="../media/ea21c135_400c_11ee_a4a3_047c1617b143_ba67341c_f115_11ee_a58b_047c1617b143228.jpeg"/><Relationship Id="rId229" Type="http://schemas.openxmlformats.org/officeDocument/2006/relationships/image" Target="../media/ea21c137_400c_11ee_a4a3_047c1617b143_ba67341d_f115_11ee_a58b_047c1617b143229.jpeg"/><Relationship Id="rId230" Type="http://schemas.openxmlformats.org/officeDocument/2006/relationships/image" Target="../media/ea21c139_400c_11ee_a4a3_047c1617b143_ba67341e_f115_11ee_a58b_047c1617b143230.jpeg"/><Relationship Id="rId231" Type="http://schemas.openxmlformats.org/officeDocument/2006/relationships/image" Target="../media/ea21c13b_400c_11ee_a4a3_047c1617b143_ba67341f_f115_11ee_a58b_047c1617b143231.jpeg"/><Relationship Id="rId232" Type="http://schemas.openxmlformats.org/officeDocument/2006/relationships/image" Target="../media/b1eb6d0d_6d1a_11ee_a4dc_047c1617b143_ba673416_f115_11ee_a58b_047c1617b143232.jpeg"/><Relationship Id="rId233" Type="http://schemas.openxmlformats.org/officeDocument/2006/relationships/image" Target="../media/b1eb6d0f_6d1a_11ee_a4dc_047c1617b143_ba673417_f115_11ee_a58b_047c1617b143233.jpeg"/><Relationship Id="rId234" Type="http://schemas.openxmlformats.org/officeDocument/2006/relationships/image" Target="../media/b1eb6d11_6d1a_11ee_a4dc_047c1617b143_ba673418_f115_11ee_a58b_047c1617b143234.jpeg"/><Relationship Id="rId235" Type="http://schemas.openxmlformats.org/officeDocument/2006/relationships/image" Target="../media/b1eb6d13_6d1a_11ee_a4dc_047c1617b143_ba673419_f115_11ee_a58b_047c1617b143235.jpeg"/><Relationship Id="rId236" Type="http://schemas.openxmlformats.org/officeDocument/2006/relationships/image" Target="../media/b1eb6d0b_6d1a_11ee_a4dc_047c1617b143_ba673414_f115_11ee_a58b_047c1617b143236.jpeg"/><Relationship Id="rId237" Type="http://schemas.openxmlformats.org/officeDocument/2006/relationships/image" Target="../media/7df682c6_821d_11ed_a3a0_047c1617b143_0a6f3b3e_310d_11f1_a89b_047c1617b143237.jpeg"/><Relationship Id="rId238" Type="http://schemas.openxmlformats.org/officeDocument/2006/relationships/image" Target="../media/7df682c8_821d_11ed_a3a0_047c1617b143_0a6f3b4d_310d_11f1_a89b_047c1617b143238.jpeg"/><Relationship Id="rId239" Type="http://schemas.openxmlformats.org/officeDocument/2006/relationships/image" Target="../media/7df682ca_821d_11ed_a3a0_047c1617b143_10e2bb85_310d_11f1_a89b_047c1617b143239.jpeg"/><Relationship Id="rId240" Type="http://schemas.openxmlformats.org/officeDocument/2006/relationships/image" Target="../media/7df682cc_821d_11ed_a3a0_047c1617b143_10e2bb91_310d_11f1_a89b_047c1617b143240.jpeg"/><Relationship Id="rId241" Type="http://schemas.openxmlformats.org/officeDocument/2006/relationships/image" Target="../media/7df682ce_821d_11ed_a3a0_047c1617b143_0a6f3b2f_310d_11f1_a89b_047c1617b143241.jpeg"/><Relationship Id="rId242" Type="http://schemas.openxmlformats.org/officeDocument/2006/relationships/image" Target="../media/7df682d0_821d_11ed_a3a0_047c1617b143_0a6f3b36_310d_11f1_a89b_047c1617b143242.jpeg"/><Relationship Id="rId243" Type="http://schemas.openxmlformats.org/officeDocument/2006/relationships/image" Target="../media/7df682d2_821d_11ed_a3a0_047c1617b143_0a6f3b3a_310d_11f1_a89b_047c1617b143243.jpeg"/><Relationship Id="rId244" Type="http://schemas.openxmlformats.org/officeDocument/2006/relationships/image" Target="../media/7df682d4_821d_11ed_a3a0_047c1617b143_0a6f3b45_310d_11f1_a89b_047c1617b143244.jpeg"/><Relationship Id="rId245" Type="http://schemas.openxmlformats.org/officeDocument/2006/relationships/image" Target="../media/7df682d6_821d_11ed_a3a0_047c1617b143_10e2bb89_310d_11f1_a89b_047c1617b143245.jpeg"/><Relationship Id="rId246" Type="http://schemas.openxmlformats.org/officeDocument/2006/relationships/image" Target="../media/7df682d8_821d_11ed_a3a0_047c1617b143_10e2bb95_310d_11f1_a89b_047c1617b143246.jpeg"/><Relationship Id="rId247" Type="http://schemas.openxmlformats.org/officeDocument/2006/relationships/image" Target="../media/7df682da_821d_11ed_a3a0_047c1617b143_0a6f3b33_310d_11f1_a89b_047c1617b143247.jpeg"/><Relationship Id="rId248" Type="http://schemas.openxmlformats.org/officeDocument/2006/relationships/image" Target="../media/8e33e792_a0db_11ed_a3cb_047c1617b143_0a6f3b42_310d_11f1_a89b_047c1617b143248.jpeg"/><Relationship Id="rId249" Type="http://schemas.openxmlformats.org/officeDocument/2006/relationships/image" Target="../media/8e33e794_a0db_11ed_a3cb_047c1617b143_0a6f3b51_310d_11f1_a89b_047c1617b143249.jpeg"/><Relationship Id="rId250" Type="http://schemas.openxmlformats.org/officeDocument/2006/relationships/image" Target="../media/8e33e796_a0db_11ed_a3cb_047c1617b143_0a6f3b55_310d_11f1_a89b_047c1617b143250.jpeg"/><Relationship Id="rId251" Type="http://schemas.openxmlformats.org/officeDocument/2006/relationships/image" Target="../media/8e33e798_a0db_11ed_a3cb_047c1617b143_10e2bb8d_310d_11f1_a89b_047c1617b143251.jpeg"/><Relationship Id="rId252" Type="http://schemas.openxmlformats.org/officeDocument/2006/relationships/image" Target="../media/3e847288_afd7_11ef_a68d_047c1617b143_a26f33df_7c1e_11f0_a7a3_047c1617b143252.jpeg"/><Relationship Id="rId253" Type="http://schemas.openxmlformats.org/officeDocument/2006/relationships/image" Target="../media/e63809d4_d0f3_11ec_a293_00259070b487_4b3c1c4b_5a46_11f0_a775_047c1617b143253.jpeg"/><Relationship Id="rId254" Type="http://schemas.openxmlformats.org/officeDocument/2006/relationships/image" Target="../media/e63809d6_d0f3_11ec_a293_00259070b487_4b3c1c4d_5a46_11f0_a775_047c1617b143254.jpeg"/><Relationship Id="rId255" Type="http://schemas.openxmlformats.org/officeDocument/2006/relationships/image" Target="../media/e63809d8_d0f3_11ec_a293_00259070b487_4b3c1c56_5a46_11f0_a775_047c1617b143255.jpeg"/><Relationship Id="rId256" Type="http://schemas.openxmlformats.org/officeDocument/2006/relationships/image" Target="../media/9eecd941_4df1_11ed_a34e_00259070b484_4b3c1c50_5a46_11f0_a775_047c1617b143256.jpeg"/><Relationship Id="rId257" Type="http://schemas.openxmlformats.org/officeDocument/2006/relationships/image" Target="../media/9eecd943_4df1_11ed_a34e_00259070b484_4b3c1c53_5a46_11f0_a775_047c1617b143257.jpeg"/><Relationship Id="rId258" Type="http://schemas.openxmlformats.org/officeDocument/2006/relationships/image" Target="../media/dc3900c3_823f_11ed_a3a0_047c1617b143_4b3c1c48_5a46_11f0_a775_047c1617b143258.jpeg"/><Relationship Id="rId259" Type="http://schemas.openxmlformats.org/officeDocument/2006/relationships/image" Target="../media/8aa363a3_27a0_11ef_a5d4_047c1617b143_589d5444_3faf_11ef_a5f3_047c1617b143259.jpeg"/><Relationship Id="rId260" Type="http://schemas.openxmlformats.org/officeDocument/2006/relationships/image" Target="../media/8aa363a5_27a0_11ef_a5d4_047c1617b143_589d5447_3faf_11ef_a5f3_047c1617b143260.jpeg"/><Relationship Id="rId261" Type="http://schemas.openxmlformats.org/officeDocument/2006/relationships/image" Target="../media/8aa363a7_27a0_11ef_a5d4_047c1617b143_589d544a_3faf_11ef_a5f3_047c1617b143261.jpeg"/><Relationship Id="rId262" Type="http://schemas.openxmlformats.org/officeDocument/2006/relationships/image" Target="../media/8aa363a9_27a0_11ef_a5d4_047c1617b143_589d544d_3faf_11ef_a5f3_047c1617b143262.jpeg"/><Relationship Id="rId263" Type="http://schemas.openxmlformats.org/officeDocument/2006/relationships/image" Target="../media/8aa363ab_27a0_11ef_a5d4_047c1617b143_589d5450_3faf_11ef_a5f3_047c1617b143263.jpeg"/><Relationship Id="rId264" Type="http://schemas.openxmlformats.org/officeDocument/2006/relationships/image" Target="../media/8aa363ad_27a0_11ef_a5d4_047c1617b143_589d5453_3faf_11ef_a5f3_047c1617b143264.jpeg"/><Relationship Id="rId265" Type="http://schemas.openxmlformats.org/officeDocument/2006/relationships/image" Target="../media/8aa363af_27a0_11ef_a5d4_047c1617b143_589d5456_3faf_11ef_a5f3_047c1617b143265.jpeg"/><Relationship Id="rId266" Type="http://schemas.openxmlformats.org/officeDocument/2006/relationships/image" Target="../media/8aa363b1_27a0_11ef_a5d4_047c1617b143_589d5459_3faf_11ef_a5f3_047c1617b143266.jpeg"/><Relationship Id="rId267" Type="http://schemas.openxmlformats.org/officeDocument/2006/relationships/image" Target="../media/8aa363b3_27a0_11ef_a5d4_047c1617b143_589d545c_3faf_11ef_a5f3_047c1617b143267.jpeg"/><Relationship Id="rId268" Type="http://schemas.openxmlformats.org/officeDocument/2006/relationships/image" Target="../media/8aa363b5_27a0_11ef_a5d4_047c1617b143_589d545f_3faf_11ef_a5f3_047c1617b143268.jpeg"/><Relationship Id="rId269" Type="http://schemas.openxmlformats.org/officeDocument/2006/relationships/image" Target="../media/8aa363b7_27a0_11ef_a5d4_047c1617b143_589d5462_3faf_11ef_a5f3_047c1617b143269.jpeg"/><Relationship Id="rId270" Type="http://schemas.openxmlformats.org/officeDocument/2006/relationships/image" Target="../media/8aa363b9_27a0_11ef_a5d4_047c1617b143_589d5465_3faf_11ef_a5f3_047c1617b143270.jpeg"/><Relationship Id="rId271" Type="http://schemas.openxmlformats.org/officeDocument/2006/relationships/image" Target="../media/8aa363bb_27a0_11ef_a5d4_047c1617b143_589d5468_3faf_11ef_a5f3_047c1617b143271.jpeg"/><Relationship Id="rId272" Type="http://schemas.openxmlformats.org/officeDocument/2006/relationships/image" Target="../media/8aa363bd_27a0_11ef_a5d4_047c1617b143_589d546b_3faf_11ef_a5f3_047c1617b143272.jpeg"/><Relationship Id="rId273" Type="http://schemas.openxmlformats.org/officeDocument/2006/relationships/image" Target="../media/8aa363bf_27a0_11ef_a5d4_047c1617b143_589d546e_3faf_11ef_a5f3_047c1617b143273.jpeg"/><Relationship Id="rId274" Type="http://schemas.openxmlformats.org/officeDocument/2006/relationships/image" Target="../media/8aa363c1_27a0_11ef_a5d4_047c1617b143_589d5471_3faf_11ef_a5f3_047c1617b143274.jpeg"/><Relationship Id="rId275" Type="http://schemas.openxmlformats.org/officeDocument/2006/relationships/image" Target="../media/8aa363c3_27a0_11ef_a5d4_047c1617b143_589d5473_3faf_11ef_a5f3_047c1617b143275.jpeg"/><Relationship Id="rId276" Type="http://schemas.openxmlformats.org/officeDocument/2006/relationships/image" Target="../media/8aa363c5_27a0_11ef_a5d4_047c1617b143_589d5476_3faf_11ef_a5f3_047c1617b143276.jpeg"/><Relationship Id="rId277" Type="http://schemas.openxmlformats.org/officeDocument/2006/relationships/image" Target="../media/8aa363c7_27a0_11ef_a5d4_047c1617b143_589d5479_3faf_11ef_a5f3_047c1617b143277.jpeg"/><Relationship Id="rId278" Type="http://schemas.openxmlformats.org/officeDocument/2006/relationships/image" Target="../media/e39105e0_27a8_11ef_a5d4_047c1617b143_589d547a_3faf_11ef_a5f3_047c1617b143278.jpeg"/><Relationship Id="rId279" Type="http://schemas.openxmlformats.org/officeDocument/2006/relationships/image" Target="../media/e39105e2_27a8_11ef_a5d4_047c1617b143_589d547b_3faf_11ef_a5f3_047c1617b143279.jpeg"/><Relationship Id="rId280" Type="http://schemas.openxmlformats.org/officeDocument/2006/relationships/image" Target="../media/e39105e4_27a8_11ef_a5d4_047c1617b143_589d547c_3faf_11ef_a5f3_047c1617b143280.jpeg"/><Relationship Id="rId281" Type="http://schemas.openxmlformats.org/officeDocument/2006/relationships/image" Target="../media/e39105e6_27a8_11ef_a5d4_047c1617b143_589d547d_3faf_11ef_a5f3_047c1617b143281.jpeg"/><Relationship Id="rId282" Type="http://schemas.openxmlformats.org/officeDocument/2006/relationships/image" Target="../media/e39105e8_27a8_11ef_a5d4_047c1617b143_589d547f_3faf_11ef_a5f3_047c1617b143282.jpeg"/><Relationship Id="rId283" Type="http://schemas.openxmlformats.org/officeDocument/2006/relationships/image" Target="../media/e39105ea_27a8_11ef_a5d4_047c1617b143_589d5481_3faf_11ef_a5f3_047c1617b143283.jpeg"/><Relationship Id="rId284" Type="http://schemas.openxmlformats.org/officeDocument/2006/relationships/image" Target="../media/e39105ec_27a8_11ef_a5d4_047c1617b143_589d5482_3faf_11ef_a5f3_047c1617b143284.jpeg"/><Relationship Id="rId285" Type="http://schemas.openxmlformats.org/officeDocument/2006/relationships/image" Target="../media/e39105ee_27a8_11ef_a5d4_047c1617b143_a73d6a95_3fbb_11ef_a5f3_047c1617b143285.jpeg"/><Relationship Id="rId286" Type="http://schemas.openxmlformats.org/officeDocument/2006/relationships/image" Target="../media/e39105f0_27a8_11ef_a5d4_047c1617b143_a73d6a96_3fbb_11ef_a5f3_047c1617b143286.jpeg"/><Relationship Id="rId287" Type="http://schemas.openxmlformats.org/officeDocument/2006/relationships/image" Target="../media/e39105f2_27a8_11ef_a5d4_047c1617b143_a73d6a97_3fbb_11ef_a5f3_047c1617b143287.jpeg"/><Relationship Id="rId288" Type="http://schemas.openxmlformats.org/officeDocument/2006/relationships/image" Target="../media/e39105f4_27a8_11ef_a5d4_047c1617b143_a73d6a99_3fbb_11ef_a5f3_047c1617b143288.jpeg"/><Relationship Id="rId289" Type="http://schemas.openxmlformats.org/officeDocument/2006/relationships/image" Target="../media/e39105f6_27a8_11ef_a5d4_047c1617b143_a73d6a9b_3fbb_11ef_a5f3_047c1617b143289.jpeg"/><Relationship Id="rId290" Type="http://schemas.openxmlformats.org/officeDocument/2006/relationships/image" Target="../media/e39105f8_27a8_11ef_a5d4_047c1617b143_a73d6a9c_3fbb_11ef_a5f3_047c1617b143290.jpeg"/><Relationship Id="rId291" Type="http://schemas.openxmlformats.org/officeDocument/2006/relationships/image" Target="../media/e39105fa_27a8_11ef_a5d4_047c1617b143_a73d6a9e_3fbb_11ef_a5f3_047c1617b143291.jpeg"/><Relationship Id="rId292" Type="http://schemas.openxmlformats.org/officeDocument/2006/relationships/image" Target="../media/e39105fc_27a8_11ef_a5d4_047c1617b143_a73d6a9f_3fbb_11ef_a5f3_047c1617b143292.jpeg"/><Relationship Id="rId293" Type="http://schemas.openxmlformats.org/officeDocument/2006/relationships/image" Target="../media/e39105fe_27a8_11ef_a5d4_047c1617b143_a73d6aa2_3fbb_11ef_a5f3_047c1617b143293.jpeg"/><Relationship Id="rId294" Type="http://schemas.openxmlformats.org/officeDocument/2006/relationships/image" Target="../media/e3910600_27a8_11ef_a5d4_047c1617b143_a73d6aa3_3fbb_11ef_a5f3_047c1617b143294.jpeg"/><Relationship Id="rId295" Type="http://schemas.openxmlformats.org/officeDocument/2006/relationships/image" Target="../media/e3910602_27a8_11ef_a5d4_047c1617b143_a73d6aa4_3fbb_11ef_a5f3_047c1617b143295.jpeg"/><Relationship Id="rId296" Type="http://schemas.openxmlformats.org/officeDocument/2006/relationships/image" Target="../media/e3910604_27a8_11ef_a5d4_047c1617b143_a73d6aa5_3fbb_11ef_a5f3_047c1617b143296.jpeg"/><Relationship Id="rId297" Type="http://schemas.openxmlformats.org/officeDocument/2006/relationships/image" Target="../media/e3910606_27a8_11ef_a5d4_047c1617b143_a73d6aa6_3fbb_11ef_a5f3_047c1617b143297.jpeg"/><Relationship Id="rId298" Type="http://schemas.openxmlformats.org/officeDocument/2006/relationships/image" Target="../media/e3910608_27a8_11ef_a5d4_047c1617b143_a73d6aa7_3fbb_11ef_a5f3_047c1617b143298.jpeg"/><Relationship Id="rId299" Type="http://schemas.openxmlformats.org/officeDocument/2006/relationships/image" Target="../media/e391060a_27a8_11ef_a5d4_047c1617b143_a73d6aa8_3fbb_11ef_a5f3_047c1617b143299.jpeg"/><Relationship Id="rId300" Type="http://schemas.openxmlformats.org/officeDocument/2006/relationships/image" Target="../media/e391060c_27a8_11ef_a5d4_047c1617b143_a73d6aa9_3fbb_11ef_a5f3_047c1617b143300.jpeg"/><Relationship Id="rId301" Type="http://schemas.openxmlformats.org/officeDocument/2006/relationships/image" Target="../media/e391060e_27a8_11ef_a5d4_047c1617b143_a73d6aaa_3fbb_11ef_a5f3_047c1617b143301.jpeg"/><Relationship Id="rId302" Type="http://schemas.openxmlformats.org/officeDocument/2006/relationships/image" Target="../media/e3910610_27a8_11ef_a5d4_047c1617b143_a73d6aab_3fbb_11ef_a5f3_047c1617b143302.jpeg"/><Relationship Id="rId303" Type="http://schemas.openxmlformats.org/officeDocument/2006/relationships/image" Target="../media/e3910612_27a8_11ef_a5d4_047c1617b143_a73d6aac_3fbb_11ef_a5f3_047c1617b143303.jpeg"/><Relationship Id="rId304" Type="http://schemas.openxmlformats.org/officeDocument/2006/relationships/image" Target="../media/e3910614_27a8_11ef_a5d4_047c1617b143_a73d6aad_3fbb_11ef_a5f3_047c1617b143304.jpeg"/><Relationship Id="rId305" Type="http://schemas.openxmlformats.org/officeDocument/2006/relationships/image" Target="../media/e3910616_27a8_11ef_a5d4_047c1617b143_a73d6aae_3fbb_11ef_a5f3_047c1617b143305.jpeg"/><Relationship Id="rId306" Type="http://schemas.openxmlformats.org/officeDocument/2006/relationships/image" Target="../media/e3910618_27a8_11ef_a5d4_047c1617b143_a73d6aaf_3fbb_11ef_a5f3_047c1617b143306.jpeg"/><Relationship Id="rId307" Type="http://schemas.openxmlformats.org/officeDocument/2006/relationships/image" Target="../media/e391061a_27a8_11ef_a5d4_047c1617b143_a73d6ab2_3fbb_11ef_a5f3_047c1617b143307.jpeg"/><Relationship Id="rId308" Type="http://schemas.openxmlformats.org/officeDocument/2006/relationships/image" Target="../media/e391061c_27a8_11ef_a5d4_047c1617b143_a73d6ab4_3fbb_11ef_a5f3_047c1617b143308.jpeg"/><Relationship Id="rId309" Type="http://schemas.openxmlformats.org/officeDocument/2006/relationships/image" Target="../media/e391061e_27a8_11ef_a5d4_047c1617b143_a73d6ab5_3fbb_11ef_a5f3_047c1617b143309.jpeg"/><Relationship Id="rId310" Type="http://schemas.openxmlformats.org/officeDocument/2006/relationships/image" Target="../media/e3910620_27a8_11ef_a5d4_047c1617b143_a73d6ab6_3fbb_11ef_a5f3_047c1617b143310.jpeg"/><Relationship Id="rId311" Type="http://schemas.openxmlformats.org/officeDocument/2006/relationships/image" Target="../media/e3910622_27a8_11ef_a5d4_047c1617b143_a73d6ab7_3fbb_11ef_a5f3_047c1617b143311.jpeg"/><Relationship Id="rId312" Type="http://schemas.openxmlformats.org/officeDocument/2006/relationships/image" Target="../media/e3910624_27a8_11ef_a5d4_047c1617b143_a73d6ab9_3fbb_11ef_a5f3_047c1617b143312.jpeg"/><Relationship Id="rId313" Type="http://schemas.openxmlformats.org/officeDocument/2006/relationships/image" Target="../media/e3910626_27a8_11ef_a5d4_047c1617b143_a73d6aba_3fbb_11ef_a5f3_047c1617b143313.jpeg"/><Relationship Id="rId314" Type="http://schemas.openxmlformats.org/officeDocument/2006/relationships/image" Target="../media/e3910628_27a8_11ef_a5d4_047c1617b143_a73d6abb_3fbb_11ef_a5f3_047c1617b143314.jpeg"/><Relationship Id="rId315" Type="http://schemas.openxmlformats.org/officeDocument/2006/relationships/image" Target="../media/e391062a_27a8_11ef_a5d4_047c1617b143_a73d6abc_3fbb_11ef_a5f3_047c1617b143315.jpeg"/><Relationship Id="rId316" Type="http://schemas.openxmlformats.org/officeDocument/2006/relationships/image" Target="../media/e391062c_27a8_11ef_a5d4_047c1617b143_a73d6abd_3fbb_11ef_a5f3_047c1617b143316.jpeg"/><Relationship Id="rId317" Type="http://schemas.openxmlformats.org/officeDocument/2006/relationships/image" Target="../media/e391062e_27a8_11ef_a5d4_047c1617b143_a73d6abe_3fbb_11ef_a5f3_047c1617b143317.jpeg"/><Relationship Id="rId318" Type="http://schemas.openxmlformats.org/officeDocument/2006/relationships/image" Target="../media/e3910630_27a8_11ef_a5d4_047c1617b143_a73d6abf_3fbb_11ef_a5f3_047c1617b143318.jpeg"/><Relationship Id="rId319" Type="http://schemas.openxmlformats.org/officeDocument/2006/relationships/image" Target="../media/e3910632_27a8_11ef_a5d4_047c1617b143_a73d6ac0_3fbb_11ef_a5f3_047c1617b143319.jpeg"/><Relationship Id="rId320" Type="http://schemas.openxmlformats.org/officeDocument/2006/relationships/image" Target="../media/e3910634_27a8_11ef_a5d4_047c1617b143_a73d6ac2_3fbb_11ef_a5f3_047c1617b143320.jpeg"/><Relationship Id="rId321" Type="http://schemas.openxmlformats.org/officeDocument/2006/relationships/image" Target="../media/e3910636_27a8_11ef_a5d4_047c1617b143_a73d6ac3_3fbb_11ef_a5f3_047c1617b143321.jpeg"/><Relationship Id="rId322" Type="http://schemas.openxmlformats.org/officeDocument/2006/relationships/image" Target="../media/e3910638_27a8_11ef_a5d4_047c1617b143_a73d6ac4_3fbb_11ef_a5f3_047c1617b143322.jpeg"/><Relationship Id="rId323" Type="http://schemas.openxmlformats.org/officeDocument/2006/relationships/image" Target="../media/e391063a_27a8_11ef_a5d4_047c1617b143_a73d6ac5_3fbb_11ef_a5f3_047c1617b143323.jpeg"/><Relationship Id="rId324" Type="http://schemas.openxmlformats.org/officeDocument/2006/relationships/image" Target="../media/e391063c_27a8_11ef_a5d4_047c1617b143_a73d6ac6_3fbb_11ef_a5f3_047c1617b143324.jpeg"/><Relationship Id="rId325" Type="http://schemas.openxmlformats.org/officeDocument/2006/relationships/image" Target="../media/e391063e_27a8_11ef_a5d4_047c1617b143_a73d6ac7_3fbb_11ef_a5f3_047c1617b143325.jpeg"/><Relationship Id="rId326" Type="http://schemas.openxmlformats.org/officeDocument/2006/relationships/image" Target="../media/e3910640_27a8_11ef_a5d4_047c1617b143_a73d6ac8_3fbb_11ef_a5f3_047c1617b143326.jpeg"/><Relationship Id="rId327" Type="http://schemas.openxmlformats.org/officeDocument/2006/relationships/image" Target="../media/4a43e7ca_2d3e_11ef_a5db_047c1617b143_4b3c1c47_5a46_11f0_a775_047c1617b143327.jpeg"/><Relationship Id="rId328" Type="http://schemas.openxmlformats.org/officeDocument/2006/relationships/image" Target="../media/fa083c09_526f_11ef_a60b_047c1617b143_1b5db339_f93d_11ef_a6ea_047c1617b143328.png"/><Relationship Id="rId329" Type="http://schemas.openxmlformats.org/officeDocument/2006/relationships/image" Target="../media/fa083c0b_526f_11ef_a60b_047c1617b143_1b5db33b_f93d_11ef_a6ea_047c1617b143329.png"/><Relationship Id="rId330" Type="http://schemas.openxmlformats.org/officeDocument/2006/relationships/image" Target="../media/fa083c0d_526f_11ef_a60b_047c1617b143_1b5db33d_f93d_11ef_a6ea_047c1617b143330.png"/><Relationship Id="rId331" Type="http://schemas.openxmlformats.org/officeDocument/2006/relationships/image" Target="../media/fa083c0f_526f_11ef_a60b_047c1617b143_14e1e1fe_f93d_11ef_a6ea_047c1617b143331.png"/><Relationship Id="rId332" Type="http://schemas.openxmlformats.org/officeDocument/2006/relationships/image" Target="../media/fa083c11_526f_11ef_a60b_047c1617b143_14e1e200_f93d_11ef_a6ea_047c1617b143332.png"/><Relationship Id="rId333" Type="http://schemas.openxmlformats.org/officeDocument/2006/relationships/image" Target="../media/fa083c13_526f_11ef_a60b_047c1617b143_14e1e202_f93d_11ef_a6ea_047c1617b143333.png"/><Relationship Id="rId334" Type="http://schemas.openxmlformats.org/officeDocument/2006/relationships/image" Target="../media/46f300b1_ce6a_11ef_a6b4_047c1617b143_1b5db489_f93d_11ef_a6ea_047c1617b143334.jpeg"/><Relationship Id="rId335" Type="http://schemas.openxmlformats.org/officeDocument/2006/relationships/image" Target="../media/46f300b3_ce6a_11ef_a6b4_047c1617b143_1b5db48b_f93d_11ef_a6ea_047c1617b143335.jpeg"/><Relationship Id="rId336" Type="http://schemas.openxmlformats.org/officeDocument/2006/relationships/image" Target="../media/46f300b5_ce6a_11ef_a6b4_047c1617b143_1b5db48d_f93d_11ef_a6ea_047c1617b143336.jpeg"/><Relationship Id="rId337" Type="http://schemas.openxmlformats.org/officeDocument/2006/relationships/image" Target="../media/46f300b7_ce6a_11ef_a6b4_047c1617b143_1b5db48f_f93d_11ef_a6ea_047c1617b143337.jpeg"/><Relationship Id="rId338" Type="http://schemas.openxmlformats.org/officeDocument/2006/relationships/image" Target="../media/46f300b9_ce6a_11ef_a6b4_047c1617b143_1b5db490_f93d_11ef_a6ea_047c1617b143338.jpeg"/><Relationship Id="rId339" Type="http://schemas.openxmlformats.org/officeDocument/2006/relationships/image" Target="../media/46f300bb_ce6a_11ef_a6b4_047c1617b143_1b5db491_f93d_11ef_a6ea_047c1617b143339.jpeg"/><Relationship Id="rId340" Type="http://schemas.openxmlformats.org/officeDocument/2006/relationships/image" Target="../media/46f300bd_ce6a_11ef_a6b4_047c1617b143_1b5db492_f93d_11ef_a6ea_047c1617b143340.jpeg"/><Relationship Id="rId341" Type="http://schemas.openxmlformats.org/officeDocument/2006/relationships/image" Target="../media/46f300bf_ce6a_11ef_a6b4_047c1617b143_1b5db493_f93d_11ef_a6ea_047c1617b143341.jpeg"/><Relationship Id="rId342" Type="http://schemas.openxmlformats.org/officeDocument/2006/relationships/image" Target="../media/af38585e_ce99_11ef_a6b4_047c1617b143_1b5db494_f93d_11ef_a6ea_047c1617b143342.jpeg"/><Relationship Id="rId343" Type="http://schemas.openxmlformats.org/officeDocument/2006/relationships/image" Target="../media/af385860_ce99_11ef_a6b4_047c1617b143_1b5db495_f93d_11ef_a6ea_047c1617b143343.jpeg"/><Relationship Id="rId344" Type="http://schemas.openxmlformats.org/officeDocument/2006/relationships/image" Target="../media/af385862_ce99_11ef_a6b4_047c1617b143_1b5db496_f93d_11ef_a6ea_047c1617b143344.jpeg"/><Relationship Id="rId345" Type="http://schemas.openxmlformats.org/officeDocument/2006/relationships/image" Target="../media/af385864_ce99_11ef_a6b4_047c1617b143_1b5db497_f93d_11ef_a6ea_047c1617b143345.jpeg"/><Relationship Id="rId346" Type="http://schemas.openxmlformats.org/officeDocument/2006/relationships/image" Target="../media/af385866_ce99_11ef_a6b4_047c1617b143_1b5db48a_f93d_11ef_a6ea_047c1617b143346.jpeg"/><Relationship Id="rId347" Type="http://schemas.openxmlformats.org/officeDocument/2006/relationships/image" Target="../media/af385868_ce99_11ef_a6b4_047c1617b143_1b5db48c_f93d_11ef_a6ea_047c1617b143347.jpeg"/><Relationship Id="rId348" Type="http://schemas.openxmlformats.org/officeDocument/2006/relationships/image" Target="../media/af38586a_ce99_11ef_a6b4_047c1617b143_1b5db48e_f93d_11ef_a6ea_047c1617b143348.jpeg"/><Relationship Id="rId349" Type="http://schemas.openxmlformats.org/officeDocument/2006/relationships/image" Target="../media/fa083bb7_526f_11ef_a60b_047c1617b143_64c8bb4c_5a46_11f0_a775_047c1617b143349.jpeg"/><Relationship Id="rId350" Type="http://schemas.openxmlformats.org/officeDocument/2006/relationships/image" Target="../media/fa083bb9_526f_11ef_a60b_047c1617b143_2ab4f5c4_0c49_11f0_a705_047c1617b143350.jpeg"/><Relationship Id="rId351" Type="http://schemas.openxmlformats.org/officeDocument/2006/relationships/image" Target="../media/fa083bbb_526f_11ef_a60b_047c1617b143_64c8bb4d_5a46_11f0_a775_047c1617b143351.jpeg"/><Relationship Id="rId352" Type="http://schemas.openxmlformats.org/officeDocument/2006/relationships/image" Target="../media/3e8472c6_afd7_11ef_a68d_047c1617b143_d9228633_f1db_11ef_a6e1_047c1617b143352.jpeg"/><Relationship Id="rId353" Type="http://schemas.openxmlformats.org/officeDocument/2006/relationships/image" Target="../media/b44e4280_245f_11f0_a725_047c1617b143_2685987b_34da_11f0_a73b_047c1617b143353.jpeg"/><Relationship Id="rId354" Type="http://schemas.openxmlformats.org/officeDocument/2006/relationships/image" Target="../media/b44e4282_245f_11f0_a725_047c1617b143_26859879_34da_11f0_a73b_047c1617b143354.jpeg"/><Relationship Id="rId355" Type="http://schemas.openxmlformats.org/officeDocument/2006/relationships/image" Target="../media/b44e4284_245f_11f0_a725_047c1617b143_2685987a_34da_11f0_a73b_047c1617b143355.jpeg"/><Relationship Id="rId356" Type="http://schemas.openxmlformats.org/officeDocument/2006/relationships/image" Target="../media/28a1d122_7e77_11f0_a7a6_047c1617b143_206f14b8_7150_11f1_a8f1_047c1617b143356.jpeg"/><Relationship Id="rId357" Type="http://schemas.openxmlformats.org/officeDocument/2006/relationships/image" Target="../media/a2f57407_c27f_11ee_a54c_047c1617b143_4396bef6_0312_11ef_a5a4_047c1617b143357.png"/><Relationship Id="rId358" Type="http://schemas.openxmlformats.org/officeDocument/2006/relationships/image" Target="../media/a2f57409_c27f_11ee_a54c_047c1617b143_4396befa_0312_11ef_a5a4_047c1617b143358.png"/><Relationship Id="rId359" Type="http://schemas.openxmlformats.org/officeDocument/2006/relationships/image" Target="../media/a2f5740b_c27f_11ee_a54c_047c1617b143_4396befc_0312_11ef_a5a4_047c1617b143359.png"/><Relationship Id="rId360" Type="http://schemas.openxmlformats.org/officeDocument/2006/relationships/image" Target="../media/6f6da39b_c29f_11ee_a54c_047c1617b143_4396bef7_0312_11ef_a5a4_047c1617b143360.png"/><Relationship Id="rId361" Type="http://schemas.openxmlformats.org/officeDocument/2006/relationships/image" Target="../media/6f6da39d_c29f_11ee_a54c_047c1617b143_4396befe_0312_11ef_a5a4_047c1617b143361.png"/><Relationship Id="rId362" Type="http://schemas.openxmlformats.org/officeDocument/2006/relationships/image" Target="../media/e558648a_f66a_11ef_a6e7_047c1617b143_7e424fc1_5a46_11f0_a775_047c1617b143362.jpeg"/><Relationship Id="rId363" Type="http://schemas.openxmlformats.org/officeDocument/2006/relationships/image" Target="../media/e558648c_f66a_11ef_a6e7_047c1617b143_7e424fc3_5a46_11f0_a775_047c1617b143363.jpeg"/><Relationship Id="rId364" Type="http://schemas.openxmlformats.org/officeDocument/2006/relationships/image" Target="../media/28a1d124_7e77_11f0_a7a6_047c1617b143_5e46d60b_7150_11f1_a8f1_047c1617b143364.jpeg"/><Relationship Id="rId365" Type="http://schemas.openxmlformats.org/officeDocument/2006/relationships/image" Target="../media/28a1d126_7e77_11f0_a7a6_047c1617b143_5e46d60d_7150_11f1_a8f1_047c1617b143365.jpeg"/><Relationship Id="rId366" Type="http://schemas.openxmlformats.org/officeDocument/2006/relationships/image" Target="../media/28a1d128_7e77_11f0_a7a6_047c1617b143_d79fde5e_96ec_11f0_a7c5_047c1617b143366.jpeg"/><Relationship Id="rId367" Type="http://schemas.openxmlformats.org/officeDocument/2006/relationships/image" Target="../media/28a1d12a_7e77_11f0_a7a6_047c1617b143_d79fde61_96ec_11f0_a7c5_047c1617b143367.jpeg"/><Relationship Id="rId368" Type="http://schemas.openxmlformats.org/officeDocument/2006/relationships/image" Target="../media/28a1d13a_7e77_11f0_a7a6_047c1617b143_5e46d605_7150_11f1_a8f1_047c1617b143368.jpeg"/><Relationship Id="rId369" Type="http://schemas.openxmlformats.org/officeDocument/2006/relationships/image" Target="../media/28a1d13c_7e77_11f0_a7a6_047c1617b143_5e46d607_7150_11f1_a8f1_047c1617b143369.jpeg"/><Relationship Id="rId370" Type="http://schemas.openxmlformats.org/officeDocument/2006/relationships/image" Target="../media/28a1d13e_7e77_11f0_a7a6_047c1617b143_5e46d609_7150_11f1_a8f1_047c1617b14337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5" name="Image_13" descr="Image_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6" name="Image_14" descr="Image_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7" name="Image_15" descr="Image_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8" name="Image_16" descr="Image_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9" name="Image_17" descr="Image_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0" name="Image_18" descr="Image_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1" name="Image_19" descr="Image_1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2" name="Image_20" descr="Image_2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3" name="Image_21" descr="Image_2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4" name="Image_22" descr="Image_2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5" name="Image_24" descr="Image_24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6" name="Image_25" descr="Image_2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7" name="Image_26" descr="Image_2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18" name="Image_27" descr="Image_2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19" name="Image_29" descr="Image_2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0" name="Image_30" descr="Image_3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1" name="Image_31" descr="Image_3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2" name="Image_32" descr="Image_3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3" name="Image_33" descr="Image_3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4" name="Image_34" descr="Image_3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5" name="Image_35" descr="Image_3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6" name="Image_36" descr="Image_3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7" name="Image_37" descr="Image_3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8" name="Image_38" descr="Image_3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9" name="Image_39" descr="Image_3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0" name="Image_40" descr="Image_4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1" name="Image_41" descr="Image_4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2" name="Image_42" descr="Image_42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3" name="Image_43" descr="Image_43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4" name="Image_45" descr="Image_4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5" name="Image_46" descr="Image_4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6" name="Image_47" descr="Image_4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7" name="Image_48" descr="Image_4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8" name="Image_49" descr="Image_4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9" name="Image_50" descr="Image_5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0" name="Image_51" descr="Image_5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1" name="Image_52" descr="Image_5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2" name="Image_53" descr="Image_5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3" name="Image_54" descr="Image_5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4" name="Image_55" descr="Image_5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5" name="Image_57" descr="Image_5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6" name="Image_58" descr="Image_58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7" name="Image_59" descr="Image_59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8" name="Image_60" descr="Image_60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9" name="Image_61" descr="Image_6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0" name="Image_62" descr="Image_6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1" name="Image_65" descr="Image_6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2" name="Image_66" descr="Image_6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3" name="Image_67" descr="Image_6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4" name="Image_68" descr="Image_6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5" name="Image_69" descr="Image_6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6" name="Image_70" descr="Image_7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7" name="Image_71" descr="Image_7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8" name="Image_72" descr="Image_7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9" name="Image_73" descr="Image_7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0" name="Image_74" descr="Image_7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1" name="Image_75" descr="Image_7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2" name="Image_76" descr="Image_7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3" name="Image_77" descr="Image_7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4" name="Image_78" descr="Image_7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5" name="Image_79" descr="Image_7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6" name="Image_80" descr="Image_8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7" name="Image_81" descr="Image_8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68" name="Image_82" descr="Image_8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69" name="Image_83" descr="Image_83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0" name="Image_84" descr="Image_84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1" name="Image_85" descr="Image_85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2" name="Image_86" descr="Image_86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3" name="Image_87" descr="Image_87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4" name="Image_88" descr="Image_88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5" name="Image_89" descr="Image_89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6" name="Image_90" descr="Image_90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7" name="Image_91" descr="Image_91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78" name="Image_92" descr="Image_92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9" name="Image_93" descr="Image_93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0" name="Image_94" descr="Image_94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1" name="Image_95" descr="Image_95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2" name="Image_96" descr="Image_96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3" name="Image_97" descr="Image_97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4" name="Image_98" descr="Image_98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5" name="Image_100" descr="Image_10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6" name="Image_102" descr="Image_10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87" name="Image_103" descr="Image_10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88" name="Image_105" descr="Image_105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9" name="Image_107" descr="Image_107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0" name="Image_108" descr="Image_108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1" name="Image_109" descr="Image_109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2" name="Image_110" descr="Image_110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3" name="Image_111" descr="Image_111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4" name="Image_112" descr="Image_112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95" name="Image_113" descr="Image_113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96" name="Image_114" descr="Image_114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97" name="Image_115" descr="Image_115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98" name="Image_116" descr="Image_116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9" name="Image_117" descr="Image_117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0" name="Image_118" descr="Image_118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1" name="Image_120" descr="Image_120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2" name="Image_121" descr="Image_121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3" name="Image_122" descr="Image_122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4" name="Image_123" descr="Image_123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05" name="Image_124" descr="Image_124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06" name="Image_125" descr="Image_12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07" name="Image_126" descr="Image_126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08" name="Image_130" descr="Image_13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09" name="Image_131" descr="Image_13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0" name="Image_132" descr="Image_132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1" name="Image_133" descr="Image_133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2" name="Image_134" descr="Image_134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3" name="Image_135" descr="Image_135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14" name="Image_136" descr="Image_136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15" name="Image_137" descr="Image_137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16" name="Image_139" descr="Image_13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17" name="Image_140" descr="Image_140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18" name="Image_141" descr="Image_141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19" name="Image_142" descr="Image_142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0" name="Image_143" descr="Image_143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1" name="Image_144" descr="Image_144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2" name="Image_145" descr="Image_145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23" name="Image_146" descr="Image_146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24" name="Image_147" descr="Image_147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25" name="Image_150" descr="Image_150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26" name="Image_151" descr="Image_151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27" name="Image_152" descr="Image_152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28" name="Image_153" descr="Image_15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29" name="Image_154" descr="Image_15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0" name="Image_155" descr="Image_155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1" name="Image_156" descr="Image_15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32" name="Image_157" descr="Image_15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33" name="Image_158" descr="Image_15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34" name="Image_159" descr="Image_15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35" name="Image_160" descr="Image_16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36" name="Image_161" descr="Image_16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37" name="Image_163" descr="Image_163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38" name="Image_164" descr="Image_164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39" name="Image_165" descr="Image_165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0" name="Image_166" descr="Image_166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41" name="Image_167" descr="Image_167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42" name="Image_168" descr="Image_168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43" name="Image_170" descr="Image_170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44" name="Image_171" descr="Image_171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45" name="Image_172" descr="Image_172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46" name="Image_173" descr="Image_173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47" name="Image_174" descr="Image_174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48" name="Image_175" descr="Image_175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49" name="Image_176" descr="Image_176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50" name="Image_177" descr="Image_177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51" name="Image_178" descr="Image_178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52" name="Image_179" descr="Image_179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53" name="Image_180" descr="Image_180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54" name="Image_181" descr="Image_181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55" name="Image_182" descr="Image_182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56" name="Image_183" descr="Image_183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57" name="Image_185" descr="Image_185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58" name="Image_186" descr="Image_186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59" name="Image_187" descr="Image_187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60" name="Image_188" descr="Image_188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61" name="Image_189" descr="Image_189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62" name="Image_192" descr="Image_192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63" name="Image_193" descr="Image_193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64" name="Image_194" descr="Image_194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65" name="Image_195" descr="Image_195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66" name="Image_196" descr="Image_196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67" name="Image_197" descr="Image_197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68" name="Image_198" descr="Image_198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69" name="Image_200" descr="Image_200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70" name="Image_201" descr="Image_201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71" name="Image_202" descr="Image_202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72" name="Image_203" descr="Image_203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73" name="Image_204" descr="Image_204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74" name="Image_205" descr="Image_205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75" name="Image_206" descr="Image_206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76" name="Image_208" descr="Image_208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77" name="Image_209" descr="Image_209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78" name="Image_210" descr="Image_210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79" name="Image_211" descr="Image_211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80" name="Image_213" descr="Image_21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81" name="Image_214" descr="Image_21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82" name="Image_215" descr="Image_21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83" name="Image_216" descr="Image_21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84" name="Image_217" descr="Image_21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85" name="Image_219" descr="Image_219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86" name="Image_220" descr="Image_220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87" name="Image_221" descr="Image_221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88" name="Image_222" descr="Image_222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89" name="Image_223" descr="Image_22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90" name="Image_224" descr="Image_22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91" name="Image_225" descr="Image_225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92" name="Image_226" descr="Image_226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193" name="Image_227" descr="Image_227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194" name="Image_228" descr="Image_228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195" name="Image_229" descr="Image_229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196" name="Image_230" descr="Image_230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197" name="Image_231" descr="Image_231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198" name="Image_232" descr="Image_232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199" name="Image_233" descr="Image_233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00" name="Image_234" descr="Image_234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01" name="Image_235" descr="Image_235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02" name="Image_236" descr="Image_236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03" name="Image_237" descr="Image_237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04" name="Image_238" descr="Image_238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05" name="Image_239" descr="Image_239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06" name="Image_240" descr="Image_240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07" name="Image_241" descr="Image_241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08" name="Image_242" descr="Image_242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09" name="Image_243" descr="Image_24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10" name="Image_244" descr="Image_24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11" name="Image_245" descr="Image_24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12" name="Image_246" descr="Image_24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13" name="Image_247" descr="Image_24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14" name="Image_248" descr="Image_24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15" name="Image_249" descr="Image_24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16" name="Image_250" descr="Image_25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17" name="Image_252" descr="Image_252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18" name="Image_253" descr="Image_253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19" name="Image_254" descr="Image_254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20" name="Image_255" descr="Image_255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21" name="Image_256" descr="Image_256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22" name="Image_259" descr="Image_259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23" name="Image_260" descr="Image_260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24" name="Image_261" descr="Image_261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25" name="Image_262" descr="Image_262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26" name="Image_263" descr="Image_263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27" name="Image_264" descr="Image_264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28" name="Image_265" descr="Image_265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29" name="Image_266" descr="Image_266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30" name="Image_267" descr="Image_267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31" name="Image_268" descr="Image_268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32" name="Image_269" descr="Image_269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33" name="Image_270" descr="Image_270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34" name="Image_271" descr="Image_271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35" name="Image_272" descr="Image_272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36" name="Image_273" descr="Image_273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37" name="Image_275" descr="Image_275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38" name="Image_276" descr="Image_276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39" name="Image_277" descr="Image_277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40" name="Image_278" descr="Image_278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41" name="Image_279" descr="Image_279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42" name="Image_280" descr="Image_280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43" name="Image_281" descr="Image_281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44" name="Image_282" descr="Image_282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45" name="Image_283" descr="Image_283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46" name="Image_284" descr="Image_284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47" name="Image_285" descr="Image_285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48" name="Image_286" descr="Image_286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49" name="Image_287" descr="Image_287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50" name="Image_288" descr="Image_288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51" name="Image_289" descr="Image_289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52" name="Image_291" descr="Image_291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53" name="Image_293" descr="Image_293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54" name="Image_294" descr="Image_294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55" name="Image_295" descr="Image_295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56" name="Image_296" descr="Image_296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57" name="Image_297" descr="Image_297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58" name="Image_299" descr="Image_299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59" name="Image_301" descr="Image_301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60" name="Image_302" descr="Image_302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61" name="Image_303" descr="Image_303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62" name="Image_304" descr="Image_304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63" name="Image_305" descr="Image_305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64" name="Image_306" descr="Image_306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65" name="Image_307" descr="Image_307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66" name="Image_308" descr="Image_308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267" name="Image_309" descr="Image_309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268" name="Image_310" descr="Image_310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269" name="Image_311" descr="Image_311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270" name="Image_312" descr="Image_312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271" name="Image_313" descr="Image_313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272" name="Image_314" descr="Image_314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273" name="Image_315" descr="Image_315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274" name="Image_316" descr="Image_316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275" name="Image_317" descr="Image_317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276" name="Image_318" descr="Image_318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277" name="Image_319" descr="Image_319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278" name="Image_320" descr="Image_320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279" name="Image_321" descr="Image_321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280" name="Image_322" descr="Image_322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281" name="Image_323" descr="Image_323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282" name="Image_324" descr="Image_324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283" name="Image_325" descr="Image_325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284" name="Image_326" descr="Image_326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285" name="Image_327" descr="Image_327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286" name="Image_328" descr="Image_328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287" name="Image_329" descr="Image_329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288" name="Image_330" descr="Image_330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289" name="Image_331" descr="Image_331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290" name="Image_332" descr="Image_332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291" name="Image_333" descr="Image_333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292" name="Image_334" descr="Image_334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293" name="Image_335" descr="Image_335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294" name="Image_336" descr="Image_336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295" name="Image_337" descr="Image_337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296" name="Image_338" descr="Image_338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297" name="Image_339" descr="Image_339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298" name="Image_340" descr="Image_340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299" name="Image_341" descr="Image_341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00" name="Image_342" descr="Image_342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01" name="Image_343" descr="Image_343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02" name="Image_344" descr="Image_344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03" name="Image_345" descr="Image_345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04" name="Image_346" descr="Image_346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05" name="Image_347" descr="Image_347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06" name="Image_348" descr="Image_348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07" name="Image_349" descr="Image_349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349</xdr:row>
      <xdr:rowOff>95250</xdr:rowOff>
    </xdr:from>
    <xdr:ext cx="1143000" cy="1143000"/>
    <xdr:pic>
      <xdr:nvPicPr>
        <xdr:cNvPr id="308" name="Image_350" descr="Image_350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09" name="Image_351" descr="Image_351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10" name="Image_352" descr="Image_352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11" name="Image_353" descr="Image_353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12" name="Image_354" descr="Image_354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13" name="Image_355" descr="Image_355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14" name="Image_356" descr="Image_356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15" name="Image_357" descr="Image_357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16" name="Image_358" descr="Image_358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17" name="Image_359" descr="Image_359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18" name="Image_360" descr="Image_360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19" name="Image_361" descr="Image_361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20" name="Image_362" descr="Image_362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21" name="Image_363" descr="Image_363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22" name="Image_364" descr="Image_364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23" name="Image_365" descr="Image_365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24" name="Image_366" descr="Image_366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25" name="Image_367" descr="Image_367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26" name="Image_368" descr="Image_368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27" name="Image_369" descr="Image_369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28" name="Image_372" descr="Image_372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372</xdr:row>
      <xdr:rowOff>95250</xdr:rowOff>
    </xdr:from>
    <xdr:ext cx="1143000" cy="1143000"/>
    <xdr:pic>
      <xdr:nvPicPr>
        <xdr:cNvPr id="329" name="Image_373" descr="Image_373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30" name="Image_374" descr="Image_374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31" name="Image_375" descr="Image_375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375</xdr:row>
      <xdr:rowOff>95250</xdr:rowOff>
    </xdr:from>
    <xdr:ext cx="1143000" cy="1143000"/>
    <xdr:pic>
      <xdr:nvPicPr>
        <xdr:cNvPr id="332" name="Image_376" descr="Image_376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376</xdr:row>
      <xdr:rowOff>95250</xdr:rowOff>
    </xdr:from>
    <xdr:ext cx="1143000" cy="1143000"/>
    <xdr:pic>
      <xdr:nvPicPr>
        <xdr:cNvPr id="333" name="Image_377" descr="Image_377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334" name="Image_379" descr="Image_379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335" name="Image_380" descr="Image_380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336" name="Image_381" descr="Image_381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337" name="Image_382" descr="Image_382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338" name="Image_383" descr="Image_383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339" name="Image_384" descr="Image_384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340" name="Image_385" descr="Image_385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341" name="Image_386" descr="Image_386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342" name="Image_387" descr="Image_387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343" name="Image_388" descr="Image_388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344" name="Image_389" descr="Image_389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345" name="Image_390" descr="Image_390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346" name="Image_391" descr="Image_391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347" name="Image_392" descr="Image_392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348" name="Image_393" descr="Image_393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349" name="Image_404" descr="Image_404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404</xdr:row>
      <xdr:rowOff>95250</xdr:rowOff>
    </xdr:from>
    <xdr:ext cx="1143000" cy="1143000"/>
    <xdr:pic>
      <xdr:nvPicPr>
        <xdr:cNvPr id="350" name="Image_405" descr="Image_405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405</xdr:row>
      <xdr:rowOff>95250</xdr:rowOff>
    </xdr:from>
    <xdr:ext cx="1143000" cy="1143000"/>
    <xdr:pic>
      <xdr:nvPicPr>
        <xdr:cNvPr id="351" name="Image_406" descr="Image_406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406</xdr:row>
      <xdr:rowOff>95250</xdr:rowOff>
    </xdr:from>
    <xdr:ext cx="1143000" cy="1143000"/>
    <xdr:pic>
      <xdr:nvPicPr>
        <xdr:cNvPr id="352" name="Image_407" descr="Image_407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407</xdr:row>
      <xdr:rowOff>95250</xdr:rowOff>
    </xdr:from>
    <xdr:ext cx="1143000" cy="1143000"/>
    <xdr:pic>
      <xdr:nvPicPr>
        <xdr:cNvPr id="353" name="Image_408" descr="Image_408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408</xdr:row>
      <xdr:rowOff>95250</xdr:rowOff>
    </xdr:from>
    <xdr:ext cx="1143000" cy="1143000"/>
    <xdr:pic>
      <xdr:nvPicPr>
        <xdr:cNvPr id="354" name="Image_409" descr="Image_409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355" name="Image_410" descr="Image_410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410</xdr:row>
      <xdr:rowOff>95250</xdr:rowOff>
    </xdr:from>
    <xdr:ext cx="1143000" cy="1143000"/>
    <xdr:pic>
      <xdr:nvPicPr>
        <xdr:cNvPr id="356" name="Image_411" descr="Image_411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357" name="Image_415" descr="Image_415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358" name="Image_416" descr="Image_416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359" name="Image_417" descr="Image_417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360" name="Image_418" descr="Image_418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418</xdr:row>
      <xdr:rowOff>95250</xdr:rowOff>
    </xdr:from>
    <xdr:ext cx="1143000" cy="1143000"/>
    <xdr:pic>
      <xdr:nvPicPr>
        <xdr:cNvPr id="361" name="Image_419" descr="Image_419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419</xdr:row>
      <xdr:rowOff>95250</xdr:rowOff>
    </xdr:from>
    <xdr:ext cx="1143000" cy="1143000"/>
    <xdr:pic>
      <xdr:nvPicPr>
        <xdr:cNvPr id="362" name="Image_420" descr="Image_420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420</xdr:row>
      <xdr:rowOff>95250</xdr:rowOff>
    </xdr:from>
    <xdr:ext cx="1143000" cy="1143000"/>
    <xdr:pic>
      <xdr:nvPicPr>
        <xdr:cNvPr id="363" name="Image_421" descr="Image_421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421</xdr:row>
      <xdr:rowOff>95250</xdr:rowOff>
    </xdr:from>
    <xdr:ext cx="1143000" cy="1143000"/>
    <xdr:pic>
      <xdr:nvPicPr>
        <xdr:cNvPr id="364" name="Image_422" descr="Image_422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422</xdr:row>
      <xdr:rowOff>95250</xdr:rowOff>
    </xdr:from>
    <xdr:ext cx="1143000" cy="1143000"/>
    <xdr:pic>
      <xdr:nvPicPr>
        <xdr:cNvPr id="365" name="Image_423" descr="Image_423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423</xdr:row>
      <xdr:rowOff>95250</xdr:rowOff>
    </xdr:from>
    <xdr:ext cx="1143000" cy="1143000"/>
    <xdr:pic>
      <xdr:nvPicPr>
        <xdr:cNvPr id="366" name="Image_424" descr="Image_424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424</xdr:row>
      <xdr:rowOff>95250</xdr:rowOff>
    </xdr:from>
    <xdr:ext cx="1143000" cy="1143000"/>
    <xdr:pic>
      <xdr:nvPicPr>
        <xdr:cNvPr id="367" name="Image_425" descr="Image_425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425</xdr:row>
      <xdr:rowOff>95250</xdr:rowOff>
    </xdr:from>
    <xdr:ext cx="1143000" cy="1143000"/>
    <xdr:pic>
      <xdr:nvPicPr>
        <xdr:cNvPr id="368" name="Image_426" descr="Image_426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426</xdr:row>
      <xdr:rowOff>95250</xdr:rowOff>
    </xdr:from>
    <xdr:ext cx="1143000" cy="1143000"/>
    <xdr:pic>
      <xdr:nvPicPr>
        <xdr:cNvPr id="369" name="Image_427" descr="Image_427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427</xdr:row>
      <xdr:rowOff>95250</xdr:rowOff>
    </xdr:from>
    <xdr:ext cx="1143000" cy="1143000"/>
    <xdr:pic>
      <xdr:nvPicPr>
        <xdr:cNvPr id="370" name="Image_428" descr="Image_428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2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SUM(J2:J429)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884146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J6*10896.38</f>
        <v>0</v>
      </c>
      <c r="L6" s="5"/>
    </row>
    <row r="7" spans="1:12" customHeight="1" ht="105" outlineLevel="5">
      <c r="A7" s="1"/>
      <c r="B7" s="1">
        <v>884147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2</v>
      </c>
      <c r="H7" s="2">
        <v>0</v>
      </c>
      <c r="I7" s="1">
        <v>0</v>
      </c>
      <c r="J7" s="3" t="s">
        <v>18</v>
      </c>
      <c r="K7" s="2" t="str">
        <f>J7*15607.61</f>
        <v>0</v>
      </c>
      <c r="L7" s="5"/>
    </row>
    <row r="8" spans="1:12" customHeight="1" ht="105" outlineLevel="5">
      <c r="A8" s="1"/>
      <c r="B8" s="1">
        <v>884149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1</v>
      </c>
      <c r="H8" s="2">
        <v>0</v>
      </c>
      <c r="I8" s="1">
        <v>0</v>
      </c>
      <c r="J8" s="3" t="s">
        <v>18</v>
      </c>
      <c r="K8" s="2" t="str">
        <f>J8*13873.60</f>
        <v>0</v>
      </c>
      <c r="L8" s="5"/>
    </row>
    <row r="9" spans="1:12" customHeight="1" ht="105" outlineLevel="5">
      <c r="A9" s="1"/>
      <c r="B9" s="1">
        <v>886000</v>
      </c>
      <c r="C9" s="1" t="s">
        <v>27</v>
      </c>
      <c r="D9" s="1" t="s">
        <v>28</v>
      </c>
      <c r="E9" s="2" t="s">
        <v>29</v>
      </c>
      <c r="F9" s="2" t="s">
        <v>30</v>
      </c>
      <c r="G9" s="2" t="s">
        <v>31</v>
      </c>
      <c r="H9" s="2">
        <v>0</v>
      </c>
      <c r="I9" s="1">
        <v>0</v>
      </c>
      <c r="J9" s="3" t="s">
        <v>18</v>
      </c>
      <c r="K9" s="2" t="str">
        <f>J9*13118.07</f>
        <v>0</v>
      </c>
      <c r="L9" s="5"/>
    </row>
    <row r="10" spans="1:12" outlineLevel="5">
      <c r="A10" s="1"/>
      <c r="B10" s="1">
        <v>955741</v>
      </c>
      <c r="C10" s="1" t="s">
        <v>32</v>
      </c>
      <c r="D10" s="1" t="s">
        <v>33</v>
      </c>
      <c r="E10" s="2" t="s">
        <v>34</v>
      </c>
      <c r="F10" s="2" t="s">
        <v>17</v>
      </c>
      <c r="G10" s="2">
        <v>0</v>
      </c>
      <c r="H10" s="2">
        <v>0</v>
      </c>
      <c r="I10" s="1">
        <v>0</v>
      </c>
      <c r="J10" s="3" t="s">
        <v>18</v>
      </c>
      <c r="K10" s="2" t="str">
        <f>J10*10896.38</f>
        <v>0</v>
      </c>
      <c r="L10" s="5"/>
    </row>
    <row r="11" spans="1:12" outlineLevel="5">
      <c r="A11" s="1"/>
      <c r="B11" s="1">
        <v>955830</v>
      </c>
      <c r="C11" s="1" t="s">
        <v>35</v>
      </c>
      <c r="D11" s="1" t="s">
        <v>36</v>
      </c>
      <c r="E11" s="2" t="s">
        <v>37</v>
      </c>
      <c r="F11" s="2" t="s">
        <v>22</v>
      </c>
      <c r="G11" s="2">
        <v>0</v>
      </c>
      <c r="H11" s="2">
        <v>0</v>
      </c>
      <c r="I11" s="1">
        <v>0</v>
      </c>
      <c r="J11" s="3" t="s">
        <v>18</v>
      </c>
      <c r="K11" s="2" t="str">
        <f>J11*15607.61</f>
        <v>0</v>
      </c>
      <c r="L11" s="5"/>
    </row>
    <row r="12" spans="1:12" outlineLevel="3">
      <c r="A12" s="9" t="s">
        <v>38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</row>
    <row r="13" spans="1:12" customHeight="1" ht="105" outlineLevel="5">
      <c r="A13" s="1"/>
      <c r="B13" s="1">
        <v>819056</v>
      </c>
      <c r="C13" s="1" t="s">
        <v>39</v>
      </c>
      <c r="D13" s="1" t="s">
        <v>40</v>
      </c>
      <c r="E13" s="2" t="s">
        <v>41</v>
      </c>
      <c r="F13" s="2" t="s">
        <v>42</v>
      </c>
      <c r="G13" s="2">
        <v>3</v>
      </c>
      <c r="H13" s="2">
        <v>0</v>
      </c>
      <c r="I13" s="1">
        <v>0</v>
      </c>
      <c r="J13" s="3" t="s">
        <v>18</v>
      </c>
      <c r="K13" s="2" t="str">
        <f>J13*9301.71</f>
        <v>0</v>
      </c>
      <c r="L13" s="5"/>
    </row>
    <row r="14" spans="1:12" customHeight="1" ht="105" outlineLevel="5">
      <c r="A14" s="1"/>
      <c r="B14" s="1">
        <v>819059</v>
      </c>
      <c r="C14" s="1" t="s">
        <v>43</v>
      </c>
      <c r="D14" s="1" t="s">
        <v>44</v>
      </c>
      <c r="E14" s="2" t="s">
        <v>45</v>
      </c>
      <c r="F14" s="2" t="s">
        <v>46</v>
      </c>
      <c r="G14" s="2">
        <v>3</v>
      </c>
      <c r="H14" s="2">
        <v>0</v>
      </c>
      <c r="I14" s="1">
        <v>0</v>
      </c>
      <c r="J14" s="3" t="s">
        <v>18</v>
      </c>
      <c r="K14" s="2" t="str">
        <f>J14*11800.54</f>
        <v>0</v>
      </c>
      <c r="L14" s="5"/>
    </row>
    <row r="15" spans="1:12" customHeight="1" ht="105" outlineLevel="5">
      <c r="A15" s="1"/>
      <c r="B15" s="1">
        <v>819060</v>
      </c>
      <c r="C15" s="1" t="s">
        <v>47</v>
      </c>
      <c r="D15" s="1" t="s">
        <v>48</v>
      </c>
      <c r="E15" s="2" t="s">
        <v>49</v>
      </c>
      <c r="F15" s="2" t="s">
        <v>50</v>
      </c>
      <c r="G15" s="2">
        <v>2</v>
      </c>
      <c r="H15" s="2">
        <v>0</v>
      </c>
      <c r="I15" s="1">
        <v>0</v>
      </c>
      <c r="J15" s="3" t="s">
        <v>18</v>
      </c>
      <c r="K15" s="2" t="str">
        <f>J15*15813.52</f>
        <v>0</v>
      </c>
      <c r="L15" s="5"/>
    </row>
    <row r="16" spans="1:12" customHeight="1" ht="105" outlineLevel="5">
      <c r="A16" s="1"/>
      <c r="B16" s="1">
        <v>819061</v>
      </c>
      <c r="C16" s="1" t="s">
        <v>51</v>
      </c>
      <c r="D16" s="1" t="s">
        <v>52</v>
      </c>
      <c r="E16" s="2" t="s">
        <v>53</v>
      </c>
      <c r="F16" s="2" t="s">
        <v>54</v>
      </c>
      <c r="G16" s="2">
        <v>3</v>
      </c>
      <c r="H16" s="2">
        <v>0</v>
      </c>
      <c r="I16" s="1">
        <v>0</v>
      </c>
      <c r="J16" s="3" t="s">
        <v>18</v>
      </c>
      <c r="K16" s="2" t="str">
        <f>J16*20086.61</f>
        <v>0</v>
      </c>
      <c r="L16" s="5"/>
    </row>
    <row r="17" spans="1:12" customHeight="1" ht="105" outlineLevel="5">
      <c r="A17" s="1"/>
      <c r="B17" s="1">
        <v>819062</v>
      </c>
      <c r="C17" s="1" t="s">
        <v>55</v>
      </c>
      <c r="D17" s="1" t="s">
        <v>56</v>
      </c>
      <c r="E17" s="2" t="s">
        <v>57</v>
      </c>
      <c r="F17" s="2" t="s">
        <v>58</v>
      </c>
      <c r="G17" s="2">
        <v>4</v>
      </c>
      <c r="H17" s="2">
        <v>0</v>
      </c>
      <c r="I17" s="1">
        <v>0</v>
      </c>
      <c r="J17" s="3" t="s">
        <v>18</v>
      </c>
      <c r="K17" s="2" t="str">
        <f>J17*10820.51</f>
        <v>0</v>
      </c>
      <c r="L17" s="5"/>
    </row>
    <row r="18" spans="1:12" customHeight="1" ht="105" outlineLevel="5">
      <c r="A18" s="1"/>
      <c r="B18" s="1">
        <v>825204</v>
      </c>
      <c r="C18" s="1" t="s">
        <v>59</v>
      </c>
      <c r="D18" s="1" t="s">
        <v>60</v>
      </c>
      <c r="E18" s="2" t="s">
        <v>61</v>
      </c>
      <c r="F18" s="2" t="s">
        <v>62</v>
      </c>
      <c r="G18" s="2">
        <v>5</v>
      </c>
      <c r="H18" s="2">
        <v>0</v>
      </c>
      <c r="I18" s="1">
        <v>0</v>
      </c>
      <c r="J18" s="3" t="s">
        <v>18</v>
      </c>
      <c r="K18" s="2" t="str">
        <f>J18*11298.91</f>
        <v>0</v>
      </c>
      <c r="L18" s="5"/>
    </row>
    <row r="19" spans="1:12" customHeight="1" ht="105" outlineLevel="5">
      <c r="A19" s="1"/>
      <c r="B19" s="1">
        <v>825205</v>
      </c>
      <c r="C19" s="1" t="s">
        <v>63</v>
      </c>
      <c r="D19" s="1" t="s">
        <v>64</v>
      </c>
      <c r="E19" s="2" t="s">
        <v>65</v>
      </c>
      <c r="F19" s="2" t="s">
        <v>62</v>
      </c>
      <c r="G19" s="2">
        <v>6</v>
      </c>
      <c r="H19" s="2">
        <v>0</v>
      </c>
      <c r="I19" s="1">
        <v>0</v>
      </c>
      <c r="J19" s="3" t="s">
        <v>18</v>
      </c>
      <c r="K19" s="2" t="str">
        <f>J19*11298.91</f>
        <v>0</v>
      </c>
      <c r="L19" s="5"/>
    </row>
    <row r="20" spans="1:12" customHeight="1" ht="105" outlineLevel="5">
      <c r="A20" s="1"/>
      <c r="B20" s="1">
        <v>886070</v>
      </c>
      <c r="C20" s="1" t="s">
        <v>66</v>
      </c>
      <c r="D20" s="1" t="s">
        <v>67</v>
      </c>
      <c r="E20" s="2" t="s">
        <v>68</v>
      </c>
      <c r="F20" s="2" t="s">
        <v>69</v>
      </c>
      <c r="G20" s="2">
        <v>4</v>
      </c>
      <c r="H20" s="2">
        <v>0</v>
      </c>
      <c r="I20" s="1">
        <v>0</v>
      </c>
      <c r="J20" s="3" t="s">
        <v>18</v>
      </c>
      <c r="K20" s="2" t="str">
        <f>J20*12944.67</f>
        <v>0</v>
      </c>
      <c r="L20" s="5"/>
    </row>
    <row r="21" spans="1:12" customHeight="1" ht="105" outlineLevel="5">
      <c r="A21" s="1"/>
      <c r="B21" s="1">
        <v>885846</v>
      </c>
      <c r="C21" s="1" t="s">
        <v>70</v>
      </c>
      <c r="D21" s="1" t="s">
        <v>71</v>
      </c>
      <c r="E21" s="2" t="s">
        <v>72</v>
      </c>
      <c r="F21" s="2" t="s">
        <v>73</v>
      </c>
      <c r="G21" s="2">
        <v>0</v>
      </c>
      <c r="H21" s="2">
        <v>0</v>
      </c>
      <c r="I21" s="1">
        <v>0</v>
      </c>
      <c r="J21" s="3" t="s">
        <v>18</v>
      </c>
      <c r="K21" s="2" t="str">
        <f>J21*13249.67</f>
        <v>0</v>
      </c>
      <c r="L21" s="5"/>
    </row>
    <row r="22" spans="1:12" customHeight="1" ht="105" outlineLevel="5">
      <c r="A22" s="1"/>
      <c r="B22" s="1">
        <v>955742</v>
      </c>
      <c r="C22" s="1" t="s">
        <v>74</v>
      </c>
      <c r="D22" s="1" t="s">
        <v>75</v>
      </c>
      <c r="E22" s="2" t="s">
        <v>76</v>
      </c>
      <c r="F22" s="2" t="s">
        <v>77</v>
      </c>
      <c r="G22" s="2">
        <v>8</v>
      </c>
      <c r="H22" s="2">
        <v>0</v>
      </c>
      <c r="I22" s="1">
        <v>0</v>
      </c>
      <c r="J22" s="3" t="s">
        <v>18</v>
      </c>
      <c r="K22" s="2" t="str">
        <f>J22*25400.11</f>
        <v>0</v>
      </c>
      <c r="L22" s="5"/>
    </row>
    <row r="23" spans="1:12" outlineLevel="3">
      <c r="A23" s="9" t="s">
        <v>78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</row>
    <row r="24" spans="1:12" customHeight="1" ht="105" outlineLevel="5">
      <c r="A24" s="1"/>
      <c r="B24" s="1">
        <v>819063</v>
      </c>
      <c r="C24" s="1" t="s">
        <v>79</v>
      </c>
      <c r="D24" s="1" t="s">
        <v>80</v>
      </c>
      <c r="E24" s="2" t="s">
        <v>81</v>
      </c>
      <c r="F24" s="2" t="s">
        <v>82</v>
      </c>
      <c r="G24" s="2">
        <v>3</v>
      </c>
      <c r="H24" s="2">
        <v>0</v>
      </c>
      <c r="I24" s="1">
        <v>0</v>
      </c>
      <c r="J24" s="3" t="s">
        <v>18</v>
      </c>
      <c r="K24" s="2" t="str">
        <f>J24*908.81</f>
        <v>0</v>
      </c>
      <c r="L24" s="5"/>
    </row>
    <row r="25" spans="1:12" customHeight="1" ht="105" outlineLevel="5">
      <c r="A25" s="1"/>
      <c r="B25" s="1">
        <v>829305</v>
      </c>
      <c r="C25" s="1" t="s">
        <v>83</v>
      </c>
      <c r="D25" s="1" t="s">
        <v>84</v>
      </c>
      <c r="E25" s="2" t="s">
        <v>85</v>
      </c>
      <c r="F25" s="2" t="s">
        <v>86</v>
      </c>
      <c r="G25" s="2" t="s">
        <v>31</v>
      </c>
      <c r="H25" s="2">
        <v>0</v>
      </c>
      <c r="I25" s="1">
        <v>0</v>
      </c>
      <c r="J25" s="3" t="s">
        <v>18</v>
      </c>
      <c r="K25" s="2" t="str">
        <f>J25*541.88</f>
        <v>0</v>
      </c>
      <c r="L25" s="5"/>
    </row>
    <row r="26" spans="1:12" customHeight="1" ht="105" outlineLevel="5">
      <c r="A26" s="1"/>
      <c r="B26" s="1">
        <v>885006</v>
      </c>
      <c r="C26" s="1" t="s">
        <v>87</v>
      </c>
      <c r="D26" s="1" t="s">
        <v>88</v>
      </c>
      <c r="E26" s="2" t="s">
        <v>89</v>
      </c>
      <c r="F26" s="2" t="s">
        <v>90</v>
      </c>
      <c r="G26" s="2">
        <v>5</v>
      </c>
      <c r="H26" s="2">
        <v>0</v>
      </c>
      <c r="I26" s="1">
        <v>0</v>
      </c>
      <c r="J26" s="3" t="s">
        <v>18</v>
      </c>
      <c r="K26" s="2" t="str">
        <f>J26*1354.69</f>
        <v>0</v>
      </c>
      <c r="L26" s="5"/>
    </row>
    <row r="27" spans="1:12" customHeight="1" ht="105" outlineLevel="5">
      <c r="A27" s="1"/>
      <c r="B27" s="1">
        <v>955778</v>
      </c>
      <c r="C27" s="1" t="s">
        <v>91</v>
      </c>
      <c r="D27" s="1" t="s">
        <v>92</v>
      </c>
      <c r="E27" s="2" t="s">
        <v>93</v>
      </c>
      <c r="F27" s="2" t="s">
        <v>94</v>
      </c>
      <c r="G27" s="2" t="s">
        <v>31</v>
      </c>
      <c r="H27" s="2">
        <v>0</v>
      </c>
      <c r="I27" s="1">
        <v>0</v>
      </c>
      <c r="J27" s="3" t="s">
        <v>18</v>
      </c>
      <c r="K27" s="2" t="str">
        <f>J27*139.34</f>
        <v>0</v>
      </c>
      <c r="L27" s="5"/>
    </row>
    <row r="28" spans="1:12" outlineLevel="2">
      <c r="A28" s="8" t="s">
        <v>95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5"/>
    </row>
    <row r="29" spans="1:12" customHeight="1" ht="105" outlineLevel="4">
      <c r="A29" s="1"/>
      <c r="B29" s="1">
        <v>819044</v>
      </c>
      <c r="C29" s="1" t="s">
        <v>96</v>
      </c>
      <c r="D29" s="1" t="s">
        <v>97</v>
      </c>
      <c r="E29" s="2" t="s">
        <v>98</v>
      </c>
      <c r="F29" s="2" t="s">
        <v>99</v>
      </c>
      <c r="G29" s="2">
        <v>0</v>
      </c>
      <c r="H29" s="2">
        <v>6</v>
      </c>
      <c r="I29" s="1">
        <v>0</v>
      </c>
      <c r="J29" s="3" t="s">
        <v>18</v>
      </c>
      <c r="K29" s="2" t="str">
        <f>J29*43409.00</f>
        <v>0</v>
      </c>
      <c r="L29" s="5"/>
    </row>
    <row r="30" spans="1:12" customHeight="1" ht="105" outlineLevel="4">
      <c r="A30" s="1"/>
      <c r="B30" s="1">
        <v>819045</v>
      </c>
      <c r="C30" s="1" t="s">
        <v>100</v>
      </c>
      <c r="D30" s="1" t="s">
        <v>101</v>
      </c>
      <c r="E30" s="2" t="s">
        <v>102</v>
      </c>
      <c r="F30" s="2" t="s">
        <v>103</v>
      </c>
      <c r="G30" s="2">
        <v>0</v>
      </c>
      <c r="H30" s="2">
        <v>0</v>
      </c>
      <c r="I30" s="1">
        <v>0</v>
      </c>
      <c r="J30" s="3" t="s">
        <v>18</v>
      </c>
      <c r="K30" s="2" t="str">
        <f>J30*5216.00</f>
        <v>0</v>
      </c>
      <c r="L30" s="5"/>
    </row>
    <row r="31" spans="1:12" customHeight="1" ht="105" outlineLevel="4">
      <c r="A31" s="1"/>
      <c r="B31" s="1">
        <v>819046</v>
      </c>
      <c r="C31" s="1" t="s">
        <v>104</v>
      </c>
      <c r="D31" s="1" t="s">
        <v>105</v>
      </c>
      <c r="E31" s="2" t="s">
        <v>106</v>
      </c>
      <c r="F31" s="2" t="s">
        <v>107</v>
      </c>
      <c r="G31" s="2">
        <v>0</v>
      </c>
      <c r="H31" s="2">
        <v>3</v>
      </c>
      <c r="I31" s="1">
        <v>0</v>
      </c>
      <c r="J31" s="3" t="s">
        <v>18</v>
      </c>
      <c r="K31" s="2" t="str">
        <f>J31*46022.00</f>
        <v>0</v>
      </c>
      <c r="L31" s="5"/>
    </row>
    <row r="32" spans="1:12" customHeight="1" ht="105" outlineLevel="4">
      <c r="A32" s="1"/>
      <c r="B32" s="1">
        <v>819047</v>
      </c>
      <c r="C32" s="1" t="s">
        <v>108</v>
      </c>
      <c r="D32" s="1" t="s">
        <v>109</v>
      </c>
      <c r="E32" s="2" t="s">
        <v>110</v>
      </c>
      <c r="F32" s="2" t="s">
        <v>111</v>
      </c>
      <c r="G32" s="2">
        <v>0</v>
      </c>
      <c r="H32" s="2">
        <v>9</v>
      </c>
      <c r="I32" s="1">
        <v>0</v>
      </c>
      <c r="J32" s="3" t="s">
        <v>18</v>
      </c>
      <c r="K32" s="2" t="str">
        <f>J32*57432.00</f>
        <v>0</v>
      </c>
      <c r="L32" s="5"/>
    </row>
    <row r="33" spans="1:12" customHeight="1" ht="105" outlineLevel="4">
      <c r="A33" s="1"/>
      <c r="B33" s="1">
        <v>819048</v>
      </c>
      <c r="C33" s="1" t="s">
        <v>112</v>
      </c>
      <c r="D33" s="1" t="s">
        <v>113</v>
      </c>
      <c r="E33" s="2" t="s">
        <v>114</v>
      </c>
      <c r="F33" s="2" t="s">
        <v>115</v>
      </c>
      <c r="G33" s="2">
        <v>0</v>
      </c>
      <c r="H33" s="2">
        <v>4</v>
      </c>
      <c r="I33" s="1">
        <v>0</v>
      </c>
      <c r="J33" s="3" t="s">
        <v>18</v>
      </c>
      <c r="K33" s="2" t="str">
        <f>J33*73160.00</f>
        <v>0</v>
      </c>
      <c r="L33" s="5"/>
    </row>
    <row r="34" spans="1:12" customHeight="1" ht="105" outlineLevel="4">
      <c r="A34" s="1"/>
      <c r="B34" s="1">
        <v>819049</v>
      </c>
      <c r="C34" s="1" t="s">
        <v>116</v>
      </c>
      <c r="D34" s="1" t="s">
        <v>117</v>
      </c>
      <c r="E34" s="2" t="s">
        <v>118</v>
      </c>
      <c r="F34" s="2" t="s">
        <v>119</v>
      </c>
      <c r="G34" s="2">
        <v>0</v>
      </c>
      <c r="H34" s="2">
        <v>1</v>
      </c>
      <c r="I34" s="1">
        <v>0</v>
      </c>
      <c r="J34" s="3" t="s">
        <v>18</v>
      </c>
      <c r="K34" s="2" t="str">
        <f>J34*71544.00</f>
        <v>0</v>
      </c>
      <c r="L34" s="5"/>
    </row>
    <row r="35" spans="1:12" customHeight="1" ht="105" outlineLevel="4">
      <c r="A35" s="1"/>
      <c r="B35" s="1">
        <v>819050</v>
      </c>
      <c r="C35" s="1" t="s">
        <v>120</v>
      </c>
      <c r="D35" s="1" t="s">
        <v>121</v>
      </c>
      <c r="E35" s="2" t="s">
        <v>122</v>
      </c>
      <c r="F35" s="2" t="s">
        <v>123</v>
      </c>
      <c r="G35" s="2">
        <v>0</v>
      </c>
      <c r="H35" s="2">
        <v>1</v>
      </c>
      <c r="I35" s="1">
        <v>0</v>
      </c>
      <c r="J35" s="3" t="s">
        <v>18</v>
      </c>
      <c r="K35" s="2" t="str">
        <f>J35*35076.00</f>
        <v>0</v>
      </c>
      <c r="L35" s="5"/>
    </row>
    <row r="36" spans="1:12" customHeight="1" ht="105" outlineLevel="4">
      <c r="A36" s="1"/>
      <c r="B36" s="1">
        <v>819051</v>
      </c>
      <c r="C36" s="1" t="s">
        <v>124</v>
      </c>
      <c r="D36" s="1" t="s">
        <v>125</v>
      </c>
      <c r="E36" s="2" t="s">
        <v>126</v>
      </c>
      <c r="F36" s="2" t="s">
        <v>127</v>
      </c>
      <c r="G36" s="2">
        <v>0</v>
      </c>
      <c r="H36" s="2">
        <v>9</v>
      </c>
      <c r="I36" s="1">
        <v>0</v>
      </c>
      <c r="J36" s="3" t="s">
        <v>18</v>
      </c>
      <c r="K36" s="2" t="str">
        <f>J36*17752.00</f>
        <v>0</v>
      </c>
      <c r="L36" s="5"/>
    </row>
    <row r="37" spans="1:12" customHeight="1" ht="105" outlineLevel="4">
      <c r="A37" s="1"/>
      <c r="B37" s="1">
        <v>819052</v>
      </c>
      <c r="C37" s="1" t="s">
        <v>128</v>
      </c>
      <c r="D37" s="1" t="s">
        <v>129</v>
      </c>
      <c r="E37" s="2" t="s">
        <v>130</v>
      </c>
      <c r="F37" s="2" t="s">
        <v>131</v>
      </c>
      <c r="G37" s="2">
        <v>0</v>
      </c>
      <c r="H37" s="2">
        <v>10</v>
      </c>
      <c r="I37" s="1">
        <v>0</v>
      </c>
      <c r="J37" s="3" t="s">
        <v>18</v>
      </c>
      <c r="K37" s="2" t="str">
        <f>J37*26031.00</f>
        <v>0</v>
      </c>
      <c r="L37" s="5"/>
    </row>
    <row r="38" spans="1:12" customHeight="1" ht="105" outlineLevel="4">
      <c r="A38" s="1"/>
      <c r="B38" s="1">
        <v>819390</v>
      </c>
      <c r="C38" s="1" t="s">
        <v>132</v>
      </c>
      <c r="D38" s="1" t="s">
        <v>133</v>
      </c>
      <c r="E38" s="2" t="s">
        <v>134</v>
      </c>
      <c r="F38" s="2" t="s">
        <v>135</v>
      </c>
      <c r="G38" s="2">
        <v>0</v>
      </c>
      <c r="H38" s="2" t="s">
        <v>136</v>
      </c>
      <c r="I38" s="1">
        <v>0</v>
      </c>
      <c r="J38" s="3" t="s">
        <v>18</v>
      </c>
      <c r="K38" s="2" t="str">
        <f>J38*3311.00</f>
        <v>0</v>
      </c>
      <c r="L38" s="5"/>
    </row>
    <row r="39" spans="1:12" customHeight="1" ht="105" outlineLevel="4">
      <c r="A39" s="1"/>
      <c r="B39" s="1">
        <v>956395</v>
      </c>
      <c r="C39" s="1" t="s">
        <v>137</v>
      </c>
      <c r="D39" s="1" t="s">
        <v>138</v>
      </c>
      <c r="E39" s="2" t="s">
        <v>139</v>
      </c>
      <c r="F39" s="2" t="s">
        <v>140</v>
      </c>
      <c r="G39" s="2">
        <v>0</v>
      </c>
      <c r="H39" s="2">
        <v>10</v>
      </c>
      <c r="I39" s="1">
        <v>0</v>
      </c>
      <c r="J39" s="3" t="s">
        <v>18</v>
      </c>
      <c r="K39" s="2" t="str">
        <f>J39*14902.00</f>
        <v>0</v>
      </c>
      <c r="L39" s="5"/>
    </row>
    <row r="40" spans="1:12" customHeight="1" ht="105" outlineLevel="4">
      <c r="A40" s="1"/>
      <c r="B40" s="1">
        <v>956396</v>
      </c>
      <c r="C40" s="1" t="s">
        <v>141</v>
      </c>
      <c r="D40" s="1" t="s">
        <v>142</v>
      </c>
      <c r="E40" s="2" t="s">
        <v>143</v>
      </c>
      <c r="F40" s="2" t="s">
        <v>144</v>
      </c>
      <c r="G40" s="2">
        <v>0</v>
      </c>
      <c r="H40" s="2">
        <v>7</v>
      </c>
      <c r="I40" s="1">
        <v>0</v>
      </c>
      <c r="J40" s="3" t="s">
        <v>18</v>
      </c>
      <c r="K40" s="2" t="str">
        <f>J40*19369.00</f>
        <v>0</v>
      </c>
      <c r="L40" s="5"/>
    </row>
    <row r="41" spans="1:12" customHeight="1" ht="105" outlineLevel="4">
      <c r="A41" s="1"/>
      <c r="B41" s="1">
        <v>819053</v>
      </c>
      <c r="C41" s="1" t="s">
        <v>145</v>
      </c>
      <c r="D41" s="1" t="s">
        <v>146</v>
      </c>
      <c r="E41" s="2" t="s">
        <v>147</v>
      </c>
      <c r="F41" s="2" t="s">
        <v>148</v>
      </c>
      <c r="G41" s="2">
        <v>0</v>
      </c>
      <c r="H41" s="2">
        <v>0</v>
      </c>
      <c r="I41" s="1">
        <v>0</v>
      </c>
      <c r="J41" s="3" t="s">
        <v>18</v>
      </c>
      <c r="K41" s="2" t="str">
        <f>J41*0.00</f>
        <v>0</v>
      </c>
      <c r="L41" s="5"/>
    </row>
    <row r="42" spans="1:12" customHeight="1" ht="105" outlineLevel="4">
      <c r="A42" s="1"/>
      <c r="B42" s="1">
        <v>819054</v>
      </c>
      <c r="C42" s="1" t="s">
        <v>149</v>
      </c>
      <c r="D42" s="1" t="s">
        <v>150</v>
      </c>
      <c r="E42" s="2" t="s">
        <v>151</v>
      </c>
      <c r="F42" s="2" t="s">
        <v>152</v>
      </c>
      <c r="G42" s="2">
        <v>0</v>
      </c>
      <c r="H42" s="2">
        <v>0</v>
      </c>
      <c r="I42" s="1">
        <v>0</v>
      </c>
      <c r="J42" s="3" t="s">
        <v>18</v>
      </c>
      <c r="K42" s="2" t="str">
        <f>J42*17274.00</f>
        <v>0</v>
      </c>
      <c r="L42" s="5"/>
    </row>
    <row r="43" spans="1:12" customHeight="1" ht="105" outlineLevel="4">
      <c r="A43" s="1"/>
      <c r="B43" s="1">
        <v>819055</v>
      </c>
      <c r="C43" s="1" t="s">
        <v>153</v>
      </c>
      <c r="D43" s="1" t="s">
        <v>154</v>
      </c>
      <c r="E43" s="2" t="s">
        <v>155</v>
      </c>
      <c r="F43" s="2" t="s">
        <v>156</v>
      </c>
      <c r="G43" s="2">
        <v>0</v>
      </c>
      <c r="H43" s="2" t="s">
        <v>157</v>
      </c>
      <c r="I43" s="1">
        <v>0</v>
      </c>
      <c r="J43" s="3" t="s">
        <v>18</v>
      </c>
      <c r="K43" s="2" t="str">
        <f>J43*507.00</f>
        <v>0</v>
      </c>
      <c r="L43" s="5"/>
    </row>
    <row r="44" spans="1:12" outlineLevel="2">
      <c r="A44" s="8" t="s">
        <v>158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5"/>
    </row>
    <row r="45" spans="1:12" customHeight="1" ht="105" outlineLevel="4">
      <c r="A45" s="1"/>
      <c r="B45" s="1">
        <v>890082</v>
      </c>
      <c r="C45" s="1" t="s">
        <v>159</v>
      </c>
      <c r="D45" s="1" t="s">
        <v>160</v>
      </c>
      <c r="E45" s="2" t="s">
        <v>161</v>
      </c>
      <c r="F45" s="2" t="s">
        <v>162</v>
      </c>
      <c r="G45" s="2">
        <v>0</v>
      </c>
      <c r="H45" s="2">
        <v>1</v>
      </c>
      <c r="I45" s="1">
        <v>0</v>
      </c>
      <c r="J45" s="3" t="s">
        <v>18</v>
      </c>
      <c r="K45" s="2" t="str">
        <f>J45*32995.00</f>
        <v>0</v>
      </c>
      <c r="L45" s="5"/>
    </row>
    <row r="46" spans="1:12" customHeight="1" ht="105" outlineLevel="4">
      <c r="A46" s="1"/>
      <c r="B46" s="1">
        <v>890083</v>
      </c>
      <c r="C46" s="1" t="s">
        <v>163</v>
      </c>
      <c r="D46" s="1" t="s">
        <v>164</v>
      </c>
      <c r="E46" s="2" t="s">
        <v>165</v>
      </c>
      <c r="F46" s="2" t="s">
        <v>166</v>
      </c>
      <c r="G46" s="2">
        <v>0</v>
      </c>
      <c r="H46" s="2">
        <v>0</v>
      </c>
      <c r="I46" s="1">
        <v>0</v>
      </c>
      <c r="J46" s="3" t="s">
        <v>18</v>
      </c>
      <c r="K46" s="2" t="str">
        <f>J46*45181.00</f>
        <v>0</v>
      </c>
      <c r="L46" s="5"/>
    </row>
    <row r="47" spans="1:12" customHeight="1" ht="105" outlineLevel="4">
      <c r="A47" s="1"/>
      <c r="B47" s="1">
        <v>890084</v>
      </c>
      <c r="C47" s="1" t="s">
        <v>167</v>
      </c>
      <c r="D47" s="1" t="s">
        <v>168</v>
      </c>
      <c r="E47" s="2" t="s">
        <v>169</v>
      </c>
      <c r="F47" s="2" t="s">
        <v>170</v>
      </c>
      <c r="G47" s="2">
        <v>0</v>
      </c>
      <c r="H47" s="2">
        <v>1</v>
      </c>
      <c r="I47" s="1">
        <v>0</v>
      </c>
      <c r="J47" s="3" t="s">
        <v>18</v>
      </c>
      <c r="K47" s="2" t="str">
        <f>J47*57398.00</f>
        <v>0</v>
      </c>
      <c r="L47" s="5"/>
    </row>
    <row r="48" spans="1:12" customHeight="1" ht="105" outlineLevel="4">
      <c r="A48" s="1"/>
      <c r="B48" s="1">
        <v>890085</v>
      </c>
      <c r="C48" s="1" t="s">
        <v>171</v>
      </c>
      <c r="D48" s="1" t="s">
        <v>172</v>
      </c>
      <c r="E48" s="2" t="s">
        <v>173</v>
      </c>
      <c r="F48" s="2" t="s">
        <v>174</v>
      </c>
      <c r="G48" s="2">
        <v>0</v>
      </c>
      <c r="H48" s="2">
        <v>0</v>
      </c>
      <c r="I48" s="1">
        <v>0</v>
      </c>
      <c r="J48" s="3" t="s">
        <v>18</v>
      </c>
      <c r="K48" s="2" t="str">
        <f>J48*6663.00</f>
        <v>0</v>
      </c>
      <c r="L48" s="5"/>
    </row>
    <row r="49" spans="1:12" customHeight="1" ht="105" outlineLevel="4">
      <c r="A49" s="1"/>
      <c r="B49" s="1">
        <v>890086</v>
      </c>
      <c r="C49" s="1" t="s">
        <v>175</v>
      </c>
      <c r="D49" s="1" t="s">
        <v>176</v>
      </c>
      <c r="E49" s="2" t="s">
        <v>177</v>
      </c>
      <c r="F49" s="2" t="s">
        <v>178</v>
      </c>
      <c r="G49" s="2">
        <v>0</v>
      </c>
      <c r="H49" s="2">
        <v>1</v>
      </c>
      <c r="I49" s="1">
        <v>0</v>
      </c>
      <c r="J49" s="3" t="s">
        <v>18</v>
      </c>
      <c r="K49" s="2" t="str">
        <f>J49*14557.00</f>
        <v>0</v>
      </c>
      <c r="L49" s="5"/>
    </row>
    <row r="50" spans="1:12" customHeight="1" ht="105" outlineLevel="4">
      <c r="A50" s="1"/>
      <c r="B50" s="1">
        <v>890087</v>
      </c>
      <c r="C50" s="1" t="s">
        <v>179</v>
      </c>
      <c r="D50" s="1" t="s">
        <v>180</v>
      </c>
      <c r="E50" s="2" t="s">
        <v>181</v>
      </c>
      <c r="F50" s="2" t="s">
        <v>182</v>
      </c>
      <c r="G50" s="2">
        <v>0</v>
      </c>
      <c r="H50" s="2">
        <v>0</v>
      </c>
      <c r="I50" s="1">
        <v>0</v>
      </c>
      <c r="J50" s="3" t="s">
        <v>18</v>
      </c>
      <c r="K50" s="2" t="str">
        <f>J50*40642.00</f>
        <v>0</v>
      </c>
      <c r="L50" s="5"/>
    </row>
    <row r="51" spans="1:12" customHeight="1" ht="105" outlineLevel="4">
      <c r="A51" s="1"/>
      <c r="B51" s="1">
        <v>890088</v>
      </c>
      <c r="C51" s="1" t="s">
        <v>183</v>
      </c>
      <c r="D51" s="1" t="s">
        <v>184</v>
      </c>
      <c r="E51" s="2" t="s">
        <v>185</v>
      </c>
      <c r="F51" s="2" t="s">
        <v>186</v>
      </c>
      <c r="G51" s="2">
        <v>0</v>
      </c>
      <c r="H51" s="2">
        <v>0</v>
      </c>
      <c r="I51" s="1">
        <v>0</v>
      </c>
      <c r="J51" s="3" t="s">
        <v>18</v>
      </c>
      <c r="K51" s="2" t="str">
        <f>J51*40825.00</f>
        <v>0</v>
      </c>
      <c r="L51" s="5"/>
    </row>
    <row r="52" spans="1:12" customHeight="1" ht="105" outlineLevel="4">
      <c r="A52" s="1"/>
      <c r="B52" s="1">
        <v>890089</v>
      </c>
      <c r="C52" s="1" t="s">
        <v>187</v>
      </c>
      <c r="D52" s="1" t="s">
        <v>188</v>
      </c>
      <c r="E52" s="2" t="s">
        <v>189</v>
      </c>
      <c r="F52" s="2" t="s">
        <v>190</v>
      </c>
      <c r="G52" s="2">
        <v>0</v>
      </c>
      <c r="H52" s="2">
        <v>1</v>
      </c>
      <c r="I52" s="1">
        <v>0</v>
      </c>
      <c r="J52" s="3" t="s">
        <v>18</v>
      </c>
      <c r="K52" s="2" t="str">
        <f>J52*19498.00</f>
        <v>0</v>
      </c>
      <c r="L52" s="5"/>
    </row>
    <row r="53" spans="1:12" customHeight="1" ht="105" outlineLevel="4">
      <c r="A53" s="1"/>
      <c r="B53" s="1">
        <v>890090</v>
      </c>
      <c r="C53" s="1" t="s">
        <v>191</v>
      </c>
      <c r="D53" s="1" t="s">
        <v>192</v>
      </c>
      <c r="E53" s="2" t="s">
        <v>193</v>
      </c>
      <c r="F53" s="2" t="s">
        <v>194</v>
      </c>
      <c r="G53" s="2">
        <v>0</v>
      </c>
      <c r="H53" s="2">
        <v>0</v>
      </c>
      <c r="I53" s="1">
        <v>0</v>
      </c>
      <c r="J53" s="3" t="s">
        <v>18</v>
      </c>
      <c r="K53" s="2" t="str">
        <f>J53*28924.00</f>
        <v>0</v>
      </c>
      <c r="L53" s="5"/>
    </row>
    <row r="54" spans="1:12" customHeight="1" ht="105" outlineLevel="4">
      <c r="A54" s="1"/>
      <c r="B54" s="1">
        <v>890125</v>
      </c>
      <c r="C54" s="1" t="s">
        <v>195</v>
      </c>
      <c r="D54" s="1" t="s">
        <v>196</v>
      </c>
      <c r="E54" s="2" t="s">
        <v>197</v>
      </c>
      <c r="F54" s="2" t="s">
        <v>174</v>
      </c>
      <c r="G54" s="2">
        <v>0</v>
      </c>
      <c r="H54" s="2">
        <v>1</v>
      </c>
      <c r="I54" s="1">
        <v>0</v>
      </c>
      <c r="J54" s="3" t="s">
        <v>18</v>
      </c>
      <c r="K54" s="2" t="str">
        <f>J54*6663.00</f>
        <v>0</v>
      </c>
      <c r="L54" s="5"/>
    </row>
    <row r="55" spans="1:12" customHeight="1" ht="105" outlineLevel="4">
      <c r="A55" s="1"/>
      <c r="B55" s="1">
        <v>956799</v>
      </c>
      <c r="C55" s="1" t="s">
        <v>198</v>
      </c>
      <c r="D55" s="1" t="s">
        <v>199</v>
      </c>
      <c r="E55" s="2" t="s">
        <v>200</v>
      </c>
      <c r="F55" s="2" t="s">
        <v>201</v>
      </c>
      <c r="G55" s="2">
        <v>0</v>
      </c>
      <c r="H55" s="2">
        <v>0</v>
      </c>
      <c r="I55" s="1">
        <v>0</v>
      </c>
      <c r="J55" s="3" t="s">
        <v>18</v>
      </c>
      <c r="K55" s="2" t="str">
        <f>J55*36575.00</f>
        <v>0</v>
      </c>
      <c r="L55" s="5"/>
    </row>
    <row r="56" spans="1:12" outlineLevel="2">
      <c r="A56" s="8" t="s">
        <v>202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5"/>
    </row>
    <row r="57" spans="1:12" customHeight="1" ht="105" outlineLevel="4">
      <c r="A57" s="1"/>
      <c r="B57" s="1">
        <v>955831</v>
      </c>
      <c r="C57" s="1" t="s">
        <v>203</v>
      </c>
      <c r="D57" s="1" t="s">
        <v>204</v>
      </c>
      <c r="E57" s="2" t="s">
        <v>205</v>
      </c>
      <c r="F57" s="2" t="s">
        <v>206</v>
      </c>
      <c r="G57" s="2">
        <v>4</v>
      </c>
      <c r="H57" s="2">
        <v>0</v>
      </c>
      <c r="I57" s="1">
        <v>0</v>
      </c>
      <c r="J57" s="3" t="s">
        <v>18</v>
      </c>
      <c r="K57" s="2" t="str">
        <f>J57*7289.02</f>
        <v>0</v>
      </c>
      <c r="L57" s="5"/>
    </row>
    <row r="58" spans="1:12" customHeight="1" ht="105" outlineLevel="4">
      <c r="A58" s="1"/>
      <c r="B58" s="1">
        <v>955832</v>
      </c>
      <c r="C58" s="1" t="s">
        <v>207</v>
      </c>
      <c r="D58" s="1" t="s">
        <v>208</v>
      </c>
      <c r="E58" s="2" t="s">
        <v>209</v>
      </c>
      <c r="F58" s="2" t="s">
        <v>210</v>
      </c>
      <c r="G58" s="2">
        <v>3</v>
      </c>
      <c r="H58" s="2">
        <v>0</v>
      </c>
      <c r="I58" s="1">
        <v>0</v>
      </c>
      <c r="J58" s="3" t="s">
        <v>18</v>
      </c>
      <c r="K58" s="2" t="str">
        <f>J58*12830.10</f>
        <v>0</v>
      </c>
      <c r="L58" s="5"/>
    </row>
    <row r="59" spans="1:12" customHeight="1" ht="105" outlineLevel="4">
      <c r="A59" s="1"/>
      <c r="B59" s="1">
        <v>955833</v>
      </c>
      <c r="C59" s="1" t="s">
        <v>211</v>
      </c>
      <c r="D59" s="1" t="s">
        <v>212</v>
      </c>
      <c r="E59" s="2" t="s">
        <v>213</v>
      </c>
      <c r="F59" s="2" t="s">
        <v>214</v>
      </c>
      <c r="G59" s="2">
        <v>3</v>
      </c>
      <c r="H59" s="2">
        <v>0</v>
      </c>
      <c r="I59" s="1">
        <v>0</v>
      </c>
      <c r="J59" s="3" t="s">
        <v>18</v>
      </c>
      <c r="K59" s="2" t="str">
        <f>J59*9117.47</f>
        <v>0</v>
      </c>
      <c r="L59" s="5"/>
    </row>
    <row r="60" spans="1:12" customHeight="1" ht="105" outlineLevel="4">
      <c r="A60" s="1"/>
      <c r="B60" s="1">
        <v>955834</v>
      </c>
      <c r="C60" s="1" t="s">
        <v>215</v>
      </c>
      <c r="D60" s="1" t="s">
        <v>216</v>
      </c>
      <c r="E60" s="2" t="s">
        <v>217</v>
      </c>
      <c r="F60" s="2" t="s">
        <v>218</v>
      </c>
      <c r="G60" s="2">
        <v>1</v>
      </c>
      <c r="H60" s="2">
        <v>0</v>
      </c>
      <c r="I60" s="1">
        <v>0</v>
      </c>
      <c r="J60" s="3" t="s">
        <v>18</v>
      </c>
      <c r="K60" s="2" t="str">
        <f>J60*25784.06</f>
        <v>0</v>
      </c>
      <c r="L60" s="5"/>
    </row>
    <row r="61" spans="1:12" customHeight="1" ht="105" outlineLevel="4">
      <c r="A61" s="1"/>
      <c r="B61" s="1">
        <v>955835</v>
      </c>
      <c r="C61" s="1" t="s">
        <v>219</v>
      </c>
      <c r="D61" s="1" t="s">
        <v>220</v>
      </c>
      <c r="E61" s="2" t="s">
        <v>221</v>
      </c>
      <c r="F61" s="2" t="s">
        <v>222</v>
      </c>
      <c r="G61" s="2">
        <v>1</v>
      </c>
      <c r="H61" s="2">
        <v>0</v>
      </c>
      <c r="I61" s="1">
        <v>0</v>
      </c>
      <c r="J61" s="3" t="s">
        <v>18</v>
      </c>
      <c r="K61" s="2" t="str">
        <f>J61*35457.35</f>
        <v>0</v>
      </c>
      <c r="L61" s="5"/>
    </row>
    <row r="62" spans="1:12" customHeight="1" ht="105" outlineLevel="4">
      <c r="A62" s="1"/>
      <c r="B62" s="1">
        <v>955836</v>
      </c>
      <c r="C62" s="1" t="s">
        <v>223</v>
      </c>
      <c r="D62" s="1" t="s">
        <v>224</v>
      </c>
      <c r="E62" s="2" t="s">
        <v>225</v>
      </c>
      <c r="F62" s="2" t="s">
        <v>226</v>
      </c>
      <c r="G62" s="2">
        <v>1</v>
      </c>
      <c r="H62" s="2">
        <v>0</v>
      </c>
      <c r="I62" s="1">
        <v>0</v>
      </c>
      <c r="J62" s="3" t="s">
        <v>18</v>
      </c>
      <c r="K62" s="2" t="str">
        <f>J62*45321.06</f>
        <v>0</v>
      </c>
      <c r="L62" s="5"/>
    </row>
    <row r="63" spans="1:12" outlineLevel="1">
      <c r="A63" s="7" t="s">
        <v>227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5"/>
    </row>
    <row r="64" spans="1:12" outlineLevel="2">
      <c r="A64" s="8" t="s">
        <v>228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5"/>
    </row>
    <row r="65" spans="1:12" customHeight="1" ht="105" outlineLevel="4">
      <c r="A65" s="1"/>
      <c r="B65" s="1">
        <v>825206</v>
      </c>
      <c r="C65" s="1" t="s">
        <v>229</v>
      </c>
      <c r="D65" s="1" t="s">
        <v>230</v>
      </c>
      <c r="E65" s="2" t="s">
        <v>231</v>
      </c>
      <c r="F65" s="2" t="s">
        <v>232</v>
      </c>
      <c r="G65" s="2">
        <v>4</v>
      </c>
      <c r="H65" s="2">
        <v>0</v>
      </c>
      <c r="I65" s="1">
        <v>0</v>
      </c>
      <c r="J65" s="3" t="s">
        <v>18</v>
      </c>
      <c r="K65" s="2" t="str">
        <f>J65*2165.96</f>
        <v>0</v>
      </c>
      <c r="L65" s="5"/>
    </row>
    <row r="66" spans="1:12" customHeight="1" ht="105" outlineLevel="4">
      <c r="A66" s="1"/>
      <c r="B66" s="1">
        <v>825207</v>
      </c>
      <c r="C66" s="1" t="s">
        <v>233</v>
      </c>
      <c r="D66" s="1" t="s">
        <v>234</v>
      </c>
      <c r="E66" s="2" t="s">
        <v>235</v>
      </c>
      <c r="F66" s="2" t="s">
        <v>236</v>
      </c>
      <c r="G66" s="2">
        <v>8</v>
      </c>
      <c r="H66" s="2">
        <v>0</v>
      </c>
      <c r="I66" s="1">
        <v>0</v>
      </c>
      <c r="J66" s="3" t="s">
        <v>18</v>
      </c>
      <c r="K66" s="2" t="str">
        <f>J66*1399.59</f>
        <v>0</v>
      </c>
      <c r="L66" s="5"/>
    </row>
    <row r="67" spans="1:12" customHeight="1" ht="105" outlineLevel="4">
      <c r="A67" s="1"/>
      <c r="B67" s="1">
        <v>825208</v>
      </c>
      <c r="C67" s="1" t="s">
        <v>237</v>
      </c>
      <c r="D67" s="1" t="s">
        <v>238</v>
      </c>
      <c r="E67" s="2" t="s">
        <v>239</v>
      </c>
      <c r="F67" s="2" t="s">
        <v>240</v>
      </c>
      <c r="G67" s="2" t="s">
        <v>241</v>
      </c>
      <c r="H67" s="2">
        <v>0</v>
      </c>
      <c r="I67" s="1">
        <v>0</v>
      </c>
      <c r="J67" s="3" t="s">
        <v>18</v>
      </c>
      <c r="K67" s="2" t="str">
        <f>J67*1782.00</f>
        <v>0</v>
      </c>
      <c r="L67" s="5"/>
    </row>
    <row r="68" spans="1:12" customHeight="1" ht="105" outlineLevel="4">
      <c r="A68" s="1"/>
      <c r="B68" s="1">
        <v>825209</v>
      </c>
      <c r="C68" s="1" t="s">
        <v>242</v>
      </c>
      <c r="D68" s="1" t="s">
        <v>243</v>
      </c>
      <c r="E68" s="2" t="s">
        <v>244</v>
      </c>
      <c r="F68" s="2" t="s">
        <v>245</v>
      </c>
      <c r="G68" s="2" t="s">
        <v>31</v>
      </c>
      <c r="H68" s="2">
        <v>0</v>
      </c>
      <c r="I68" s="1">
        <v>0</v>
      </c>
      <c r="J68" s="3" t="s">
        <v>18</v>
      </c>
      <c r="K68" s="2" t="str">
        <f>J68*1978.63</f>
        <v>0</v>
      </c>
      <c r="L68" s="5"/>
    </row>
    <row r="69" spans="1:12" customHeight="1" ht="105" outlineLevel="4">
      <c r="A69" s="1"/>
      <c r="B69" s="1">
        <v>825210</v>
      </c>
      <c r="C69" s="1" t="s">
        <v>246</v>
      </c>
      <c r="D69" s="1" t="s">
        <v>247</v>
      </c>
      <c r="E69" s="2" t="s">
        <v>248</v>
      </c>
      <c r="F69" s="2" t="s">
        <v>249</v>
      </c>
      <c r="G69" s="2">
        <v>8</v>
      </c>
      <c r="H69" s="2">
        <v>0</v>
      </c>
      <c r="I69" s="1">
        <v>0</v>
      </c>
      <c r="J69" s="3" t="s">
        <v>18</v>
      </c>
      <c r="K69" s="2" t="str">
        <f>J69*4480.55</f>
        <v>0</v>
      </c>
      <c r="L69" s="5"/>
    </row>
    <row r="70" spans="1:12" customHeight="1" ht="105" outlineLevel="4">
      <c r="A70" s="1"/>
      <c r="B70" s="1">
        <v>825211</v>
      </c>
      <c r="C70" s="1" t="s">
        <v>250</v>
      </c>
      <c r="D70" s="1" t="s">
        <v>251</v>
      </c>
      <c r="E70" s="2" t="s">
        <v>252</v>
      </c>
      <c r="F70" s="2" t="s">
        <v>253</v>
      </c>
      <c r="G70" s="2">
        <v>0</v>
      </c>
      <c r="H70" s="2">
        <v>0</v>
      </c>
      <c r="I70" s="1">
        <v>0</v>
      </c>
      <c r="J70" s="3" t="s">
        <v>18</v>
      </c>
      <c r="K70" s="2" t="str">
        <f>J70*4749.94</f>
        <v>0</v>
      </c>
      <c r="L70" s="5"/>
    </row>
    <row r="71" spans="1:12" customHeight="1" ht="105" outlineLevel="4">
      <c r="A71" s="1"/>
      <c r="B71" s="1">
        <v>825212</v>
      </c>
      <c r="C71" s="1" t="s">
        <v>254</v>
      </c>
      <c r="D71" s="1" t="s">
        <v>255</v>
      </c>
      <c r="E71" s="2" t="s">
        <v>256</v>
      </c>
      <c r="F71" s="2" t="s">
        <v>257</v>
      </c>
      <c r="G71" s="2">
        <v>5</v>
      </c>
      <c r="H71" s="2">
        <v>0</v>
      </c>
      <c r="I71" s="1">
        <v>0</v>
      </c>
      <c r="J71" s="3" t="s">
        <v>18</v>
      </c>
      <c r="K71" s="2" t="str">
        <f>J71*5914.20</f>
        <v>0</v>
      </c>
      <c r="L71" s="5"/>
    </row>
    <row r="72" spans="1:12" customHeight="1" ht="105" outlineLevel="4">
      <c r="A72" s="1"/>
      <c r="B72" s="1">
        <v>825213</v>
      </c>
      <c r="C72" s="1" t="s">
        <v>258</v>
      </c>
      <c r="D72" s="1" t="s">
        <v>259</v>
      </c>
      <c r="E72" s="2" t="s">
        <v>260</v>
      </c>
      <c r="F72" s="2" t="s">
        <v>261</v>
      </c>
      <c r="G72" s="2">
        <v>4</v>
      </c>
      <c r="H72" s="2">
        <v>0</v>
      </c>
      <c r="I72" s="1">
        <v>0</v>
      </c>
      <c r="J72" s="3" t="s">
        <v>18</v>
      </c>
      <c r="K72" s="2" t="str">
        <f>J72*3909.26</f>
        <v>0</v>
      </c>
      <c r="L72" s="5"/>
    </row>
    <row r="73" spans="1:12" customHeight="1" ht="105" outlineLevel="4">
      <c r="A73" s="1"/>
      <c r="B73" s="1">
        <v>825214</v>
      </c>
      <c r="C73" s="1" t="s">
        <v>262</v>
      </c>
      <c r="D73" s="1" t="s">
        <v>263</v>
      </c>
      <c r="E73" s="2" t="s">
        <v>264</v>
      </c>
      <c r="F73" s="2" t="s">
        <v>265</v>
      </c>
      <c r="G73" s="2">
        <v>3</v>
      </c>
      <c r="H73" s="2">
        <v>0</v>
      </c>
      <c r="I73" s="1">
        <v>0</v>
      </c>
      <c r="J73" s="3" t="s">
        <v>18</v>
      </c>
      <c r="K73" s="2" t="str">
        <f>J73*3378.22</f>
        <v>0</v>
      </c>
      <c r="L73" s="5"/>
    </row>
    <row r="74" spans="1:12" customHeight="1" ht="105" outlineLevel="4">
      <c r="A74" s="1"/>
      <c r="B74" s="1">
        <v>825215</v>
      </c>
      <c r="C74" s="1" t="s">
        <v>266</v>
      </c>
      <c r="D74" s="1" t="s">
        <v>267</v>
      </c>
      <c r="E74" s="2" t="s">
        <v>268</v>
      </c>
      <c r="F74" s="2" t="s">
        <v>265</v>
      </c>
      <c r="G74" s="2">
        <v>2</v>
      </c>
      <c r="H74" s="2">
        <v>0</v>
      </c>
      <c r="I74" s="1">
        <v>0</v>
      </c>
      <c r="J74" s="3" t="s">
        <v>18</v>
      </c>
      <c r="K74" s="2" t="str">
        <f>J74*3378.22</f>
        <v>0</v>
      </c>
      <c r="L74" s="5"/>
    </row>
    <row r="75" spans="1:12" customHeight="1" ht="105" outlineLevel="4">
      <c r="A75" s="1"/>
      <c r="B75" s="1">
        <v>819378</v>
      </c>
      <c r="C75" s="1" t="s">
        <v>269</v>
      </c>
      <c r="D75" s="1" t="s">
        <v>270</v>
      </c>
      <c r="E75" s="2" t="s">
        <v>271</v>
      </c>
      <c r="F75" s="2" t="s">
        <v>272</v>
      </c>
      <c r="G75" s="2">
        <v>0</v>
      </c>
      <c r="H75" s="2">
        <v>0</v>
      </c>
      <c r="I75" s="1">
        <v>0</v>
      </c>
      <c r="J75" s="3" t="s">
        <v>18</v>
      </c>
      <c r="K75" s="2" t="str">
        <f>J75*4297.86</f>
        <v>0</v>
      </c>
      <c r="L75" s="5"/>
    </row>
    <row r="76" spans="1:12" customHeight="1" ht="105" outlineLevel="4">
      <c r="A76" s="1"/>
      <c r="B76" s="1">
        <v>834447</v>
      </c>
      <c r="C76" s="1" t="s">
        <v>273</v>
      </c>
      <c r="D76" s="1" t="s">
        <v>274</v>
      </c>
      <c r="E76" s="2" t="s">
        <v>275</v>
      </c>
      <c r="F76" s="2" t="s">
        <v>276</v>
      </c>
      <c r="G76" s="2">
        <v>2</v>
      </c>
      <c r="H76" s="2">
        <v>0</v>
      </c>
      <c r="I76" s="1">
        <v>0</v>
      </c>
      <c r="J76" s="3" t="s">
        <v>18</v>
      </c>
      <c r="K76" s="2" t="str">
        <f>J76*3754.43</f>
        <v>0</v>
      </c>
      <c r="L76" s="5"/>
    </row>
    <row r="77" spans="1:12" customHeight="1" ht="105" outlineLevel="4">
      <c r="A77" s="1"/>
      <c r="B77" s="1">
        <v>833000</v>
      </c>
      <c r="C77" s="1" t="s">
        <v>277</v>
      </c>
      <c r="D77" s="1" t="s">
        <v>278</v>
      </c>
      <c r="E77" s="2" t="s">
        <v>279</v>
      </c>
      <c r="F77" s="2" t="s">
        <v>280</v>
      </c>
      <c r="G77" s="2" t="s">
        <v>31</v>
      </c>
      <c r="H77" s="2">
        <v>0</v>
      </c>
      <c r="I77" s="1">
        <v>-3</v>
      </c>
      <c r="J77" s="3" t="s">
        <v>18</v>
      </c>
      <c r="K77" s="2" t="str">
        <f>J77*4076.46</f>
        <v>0</v>
      </c>
      <c r="L77" s="5"/>
    </row>
    <row r="78" spans="1:12" customHeight="1" ht="105" outlineLevel="4">
      <c r="A78" s="1"/>
      <c r="B78" s="1">
        <v>834448</v>
      </c>
      <c r="C78" s="1" t="s">
        <v>281</v>
      </c>
      <c r="D78" s="1" t="s">
        <v>282</v>
      </c>
      <c r="E78" s="2" t="s">
        <v>283</v>
      </c>
      <c r="F78" s="2" t="s">
        <v>284</v>
      </c>
      <c r="G78" s="2">
        <v>0</v>
      </c>
      <c r="H78" s="2">
        <v>0</v>
      </c>
      <c r="I78" s="1">
        <v>0</v>
      </c>
      <c r="J78" s="3" t="s">
        <v>18</v>
      </c>
      <c r="K78" s="2" t="str">
        <f>J78*1596.22</f>
        <v>0</v>
      </c>
      <c r="L78" s="5"/>
    </row>
    <row r="79" spans="1:12" customHeight="1" ht="105" outlineLevel="4">
      <c r="A79" s="1"/>
      <c r="B79" s="1">
        <v>834449</v>
      </c>
      <c r="C79" s="1" t="s">
        <v>285</v>
      </c>
      <c r="D79" s="1" t="s">
        <v>286</v>
      </c>
      <c r="E79" s="2" t="s">
        <v>287</v>
      </c>
      <c r="F79" s="2" t="s">
        <v>288</v>
      </c>
      <c r="G79" s="2">
        <v>0</v>
      </c>
      <c r="H79" s="2">
        <v>0</v>
      </c>
      <c r="I79" s="1">
        <v>0</v>
      </c>
      <c r="J79" s="3" t="s">
        <v>18</v>
      </c>
      <c r="K79" s="2" t="str">
        <f>J79*1908.96</f>
        <v>0</v>
      </c>
      <c r="L79" s="5"/>
    </row>
    <row r="80" spans="1:12" customHeight="1" ht="105" outlineLevel="4">
      <c r="A80" s="1"/>
      <c r="B80" s="1">
        <v>834450</v>
      </c>
      <c r="C80" s="1" t="s">
        <v>289</v>
      </c>
      <c r="D80" s="1" t="s">
        <v>290</v>
      </c>
      <c r="E80" s="2" t="s">
        <v>291</v>
      </c>
      <c r="F80" s="2" t="s">
        <v>292</v>
      </c>
      <c r="G80" s="2">
        <v>0</v>
      </c>
      <c r="H80" s="2">
        <v>0</v>
      </c>
      <c r="I80" s="1">
        <v>0</v>
      </c>
      <c r="J80" s="3" t="s">
        <v>18</v>
      </c>
      <c r="K80" s="2" t="str">
        <f>J80*2667.58</f>
        <v>0</v>
      </c>
      <c r="L80" s="5"/>
    </row>
    <row r="81" spans="1:12" customHeight="1" ht="105" outlineLevel="4">
      <c r="A81" s="1"/>
      <c r="B81" s="1">
        <v>834451</v>
      </c>
      <c r="C81" s="1" t="s">
        <v>293</v>
      </c>
      <c r="D81" s="1" t="s">
        <v>294</v>
      </c>
      <c r="E81" s="2" t="s">
        <v>295</v>
      </c>
      <c r="F81" s="2" t="s">
        <v>296</v>
      </c>
      <c r="G81" s="2">
        <v>0</v>
      </c>
      <c r="H81" s="2">
        <v>0</v>
      </c>
      <c r="I81" s="1">
        <v>0</v>
      </c>
      <c r="J81" s="3" t="s">
        <v>18</v>
      </c>
      <c r="K81" s="2" t="str">
        <f>J81*4808.77</f>
        <v>0</v>
      </c>
      <c r="L81" s="5"/>
    </row>
    <row r="82" spans="1:12" customHeight="1" ht="105" outlineLevel="4">
      <c r="A82" s="1"/>
      <c r="B82" s="1">
        <v>834452</v>
      </c>
      <c r="C82" s="1" t="s">
        <v>297</v>
      </c>
      <c r="D82" s="1" t="s">
        <v>298</v>
      </c>
      <c r="E82" s="2" t="s">
        <v>299</v>
      </c>
      <c r="F82" s="2" t="s">
        <v>300</v>
      </c>
      <c r="G82" s="2">
        <v>0</v>
      </c>
      <c r="H82" s="2">
        <v>0</v>
      </c>
      <c r="I82" s="1">
        <v>0</v>
      </c>
      <c r="J82" s="3" t="s">
        <v>18</v>
      </c>
      <c r="K82" s="2" t="str">
        <f>J82*5107.58</f>
        <v>0</v>
      </c>
      <c r="L82" s="5"/>
    </row>
    <row r="83" spans="1:12" customHeight="1" ht="105" outlineLevel="4">
      <c r="A83" s="1"/>
      <c r="B83" s="1">
        <v>834515</v>
      </c>
      <c r="C83" s="1" t="s">
        <v>301</v>
      </c>
      <c r="D83" s="1" t="s">
        <v>302</v>
      </c>
      <c r="E83" s="2" t="s">
        <v>303</v>
      </c>
      <c r="F83" s="2" t="s">
        <v>304</v>
      </c>
      <c r="G83" s="2">
        <v>3</v>
      </c>
      <c r="H83" s="2">
        <v>0</v>
      </c>
      <c r="I83" s="1">
        <v>0</v>
      </c>
      <c r="J83" s="3" t="s">
        <v>18</v>
      </c>
      <c r="K83" s="2" t="str">
        <f>J83*2618.04</f>
        <v>0</v>
      </c>
      <c r="L83" s="5"/>
    </row>
    <row r="84" spans="1:12" customHeight="1" ht="105" outlineLevel="4">
      <c r="A84" s="1"/>
      <c r="B84" s="1">
        <v>834516</v>
      </c>
      <c r="C84" s="1" t="s">
        <v>305</v>
      </c>
      <c r="D84" s="1" t="s">
        <v>306</v>
      </c>
      <c r="E84" s="2" t="s">
        <v>307</v>
      </c>
      <c r="F84" s="2" t="s">
        <v>304</v>
      </c>
      <c r="G84" s="2">
        <v>4</v>
      </c>
      <c r="H84" s="2">
        <v>0</v>
      </c>
      <c r="I84" s="1">
        <v>0</v>
      </c>
      <c r="J84" s="3" t="s">
        <v>18</v>
      </c>
      <c r="K84" s="2" t="str">
        <f>J84*2618.04</f>
        <v>0</v>
      </c>
      <c r="L84" s="5"/>
    </row>
    <row r="85" spans="1:12" customHeight="1" ht="105" outlineLevel="4">
      <c r="A85" s="1"/>
      <c r="B85" s="1">
        <v>834517</v>
      </c>
      <c r="C85" s="1" t="s">
        <v>308</v>
      </c>
      <c r="D85" s="1" t="s">
        <v>309</v>
      </c>
      <c r="E85" s="2" t="s">
        <v>310</v>
      </c>
      <c r="F85" s="2" t="s">
        <v>311</v>
      </c>
      <c r="G85" s="2">
        <v>0</v>
      </c>
      <c r="H85" s="2">
        <v>0</v>
      </c>
      <c r="I85" s="1">
        <v>0</v>
      </c>
      <c r="J85" s="3" t="s">
        <v>18</v>
      </c>
      <c r="K85" s="2" t="str">
        <f>J85*4398.49</f>
        <v>0</v>
      </c>
      <c r="L85" s="5"/>
    </row>
    <row r="86" spans="1:12" customHeight="1" ht="105" outlineLevel="4">
      <c r="A86" s="1"/>
      <c r="B86" s="1">
        <v>834518</v>
      </c>
      <c r="C86" s="1" t="s">
        <v>312</v>
      </c>
      <c r="D86" s="1" t="s">
        <v>313</v>
      </c>
      <c r="E86" s="2" t="s">
        <v>314</v>
      </c>
      <c r="F86" s="2" t="s">
        <v>315</v>
      </c>
      <c r="G86" s="2">
        <v>1</v>
      </c>
      <c r="H86" s="2">
        <v>0</v>
      </c>
      <c r="I86" s="1">
        <v>0</v>
      </c>
      <c r="J86" s="3" t="s">
        <v>18</v>
      </c>
      <c r="K86" s="2" t="str">
        <f>J86*1761.87</f>
        <v>0</v>
      </c>
      <c r="L86" s="5"/>
    </row>
    <row r="87" spans="1:12" customHeight="1" ht="105" outlineLevel="4">
      <c r="A87" s="1"/>
      <c r="B87" s="1">
        <v>834519</v>
      </c>
      <c r="C87" s="1" t="s">
        <v>316</v>
      </c>
      <c r="D87" s="1" t="s">
        <v>317</v>
      </c>
      <c r="E87" s="2" t="s">
        <v>318</v>
      </c>
      <c r="F87" s="2" t="s">
        <v>319</v>
      </c>
      <c r="G87" s="2">
        <v>2</v>
      </c>
      <c r="H87" s="2">
        <v>0</v>
      </c>
      <c r="I87" s="1">
        <v>0</v>
      </c>
      <c r="J87" s="3" t="s">
        <v>18</v>
      </c>
      <c r="K87" s="2" t="str">
        <f>J87*2110.22</f>
        <v>0</v>
      </c>
      <c r="L87" s="5"/>
    </row>
    <row r="88" spans="1:12" customHeight="1" ht="105" outlineLevel="4">
      <c r="A88" s="1"/>
      <c r="B88" s="1">
        <v>834520</v>
      </c>
      <c r="C88" s="1" t="s">
        <v>320</v>
      </c>
      <c r="D88" s="1" t="s">
        <v>321</v>
      </c>
      <c r="E88" s="2" t="s">
        <v>322</v>
      </c>
      <c r="F88" s="2" t="s">
        <v>323</v>
      </c>
      <c r="G88" s="2">
        <v>1</v>
      </c>
      <c r="H88" s="2">
        <v>0</v>
      </c>
      <c r="I88" s="1">
        <v>0</v>
      </c>
      <c r="J88" s="3" t="s">
        <v>18</v>
      </c>
      <c r="K88" s="2" t="str">
        <f>J88*2819.31</f>
        <v>0</v>
      </c>
      <c r="L88" s="5"/>
    </row>
    <row r="89" spans="1:12" customHeight="1" ht="105" outlineLevel="4">
      <c r="A89" s="1"/>
      <c r="B89" s="1">
        <v>837307</v>
      </c>
      <c r="C89" s="1" t="s">
        <v>324</v>
      </c>
      <c r="D89" s="1" t="s">
        <v>325</v>
      </c>
      <c r="E89" s="2" t="s">
        <v>326</v>
      </c>
      <c r="F89" s="2" t="s">
        <v>327</v>
      </c>
      <c r="G89" s="2">
        <v>0</v>
      </c>
      <c r="H89" s="2">
        <v>0</v>
      </c>
      <c r="I89" s="1">
        <v>0</v>
      </c>
      <c r="J89" s="3" t="s">
        <v>18</v>
      </c>
      <c r="K89" s="2" t="str">
        <f>J89*3714.18</f>
        <v>0</v>
      </c>
      <c r="L89" s="5"/>
    </row>
    <row r="90" spans="1:12" customHeight="1" ht="105" outlineLevel="4">
      <c r="A90" s="1"/>
      <c r="B90" s="1">
        <v>837308</v>
      </c>
      <c r="C90" s="1" t="s">
        <v>328</v>
      </c>
      <c r="D90" s="1" t="s">
        <v>329</v>
      </c>
      <c r="E90" s="2" t="s">
        <v>330</v>
      </c>
      <c r="F90" s="2" t="s">
        <v>331</v>
      </c>
      <c r="G90" s="2">
        <v>4</v>
      </c>
      <c r="H90" s="2">
        <v>0</v>
      </c>
      <c r="I90" s="1">
        <v>0</v>
      </c>
      <c r="J90" s="3" t="s">
        <v>18</v>
      </c>
      <c r="K90" s="2" t="str">
        <f>J90*4446.49</f>
        <v>0</v>
      </c>
      <c r="L90" s="5"/>
    </row>
    <row r="91" spans="1:12" customHeight="1" ht="105" outlineLevel="4">
      <c r="A91" s="1"/>
      <c r="B91" s="1">
        <v>878047</v>
      </c>
      <c r="C91" s="1" t="s">
        <v>332</v>
      </c>
      <c r="D91" s="1" t="s">
        <v>333</v>
      </c>
      <c r="E91" s="2" t="s">
        <v>334</v>
      </c>
      <c r="F91" s="2" t="s">
        <v>335</v>
      </c>
      <c r="G91" s="2">
        <v>1</v>
      </c>
      <c r="H91" s="2">
        <v>0</v>
      </c>
      <c r="I91" s="1">
        <v>0</v>
      </c>
      <c r="J91" s="3" t="s">
        <v>18</v>
      </c>
      <c r="K91" s="2" t="str">
        <f>J91*3947.96</f>
        <v>0</v>
      </c>
      <c r="L91" s="5"/>
    </row>
    <row r="92" spans="1:12" customHeight="1" ht="105" outlineLevel="4">
      <c r="A92" s="1"/>
      <c r="B92" s="1">
        <v>878048</v>
      </c>
      <c r="C92" s="1" t="s">
        <v>336</v>
      </c>
      <c r="D92" s="1" t="s">
        <v>337</v>
      </c>
      <c r="E92" s="2" t="s">
        <v>338</v>
      </c>
      <c r="F92" s="2" t="s">
        <v>335</v>
      </c>
      <c r="G92" s="2">
        <v>4</v>
      </c>
      <c r="H92" s="2">
        <v>0</v>
      </c>
      <c r="I92" s="1">
        <v>0</v>
      </c>
      <c r="J92" s="3" t="s">
        <v>18</v>
      </c>
      <c r="K92" s="2" t="str">
        <f>J92*3947.96</f>
        <v>0</v>
      </c>
      <c r="L92" s="5"/>
    </row>
    <row r="93" spans="1:12" customHeight="1" ht="105" outlineLevel="4">
      <c r="A93" s="1"/>
      <c r="B93" s="1">
        <v>884613</v>
      </c>
      <c r="C93" s="1" t="s">
        <v>339</v>
      </c>
      <c r="D93" s="1" t="s">
        <v>340</v>
      </c>
      <c r="E93" s="2" t="s">
        <v>341</v>
      </c>
      <c r="F93" s="2" t="s">
        <v>342</v>
      </c>
      <c r="G93" s="2">
        <v>0</v>
      </c>
      <c r="H93" s="2">
        <v>0</v>
      </c>
      <c r="I93" s="1">
        <v>0</v>
      </c>
      <c r="J93" s="3" t="s">
        <v>18</v>
      </c>
      <c r="K93" s="2" t="str">
        <f>J93*2613.40</f>
        <v>0</v>
      </c>
      <c r="L93" s="5"/>
    </row>
    <row r="94" spans="1:12" customHeight="1" ht="105" outlineLevel="4">
      <c r="A94" s="1"/>
      <c r="B94" s="1">
        <v>884614</v>
      </c>
      <c r="C94" s="1" t="s">
        <v>343</v>
      </c>
      <c r="D94" s="1" t="s">
        <v>344</v>
      </c>
      <c r="E94" s="2" t="s">
        <v>345</v>
      </c>
      <c r="F94" s="2" t="s">
        <v>346</v>
      </c>
      <c r="G94" s="2">
        <v>0</v>
      </c>
      <c r="H94" s="2">
        <v>0</v>
      </c>
      <c r="I94" s="1">
        <v>0</v>
      </c>
      <c r="J94" s="3" t="s">
        <v>18</v>
      </c>
      <c r="K94" s="2" t="str">
        <f>J94*3556.26</f>
        <v>0</v>
      </c>
      <c r="L94" s="5"/>
    </row>
    <row r="95" spans="1:12" customHeight="1" ht="105" outlineLevel="4">
      <c r="A95" s="1"/>
      <c r="B95" s="1">
        <v>884707</v>
      </c>
      <c r="C95" s="1" t="s">
        <v>347</v>
      </c>
      <c r="D95" s="1" t="s">
        <v>348</v>
      </c>
      <c r="E95" s="2" t="s">
        <v>349</v>
      </c>
      <c r="F95" s="2" t="s">
        <v>350</v>
      </c>
      <c r="G95" s="2">
        <v>0</v>
      </c>
      <c r="H95" s="2">
        <v>0</v>
      </c>
      <c r="I95" s="1">
        <v>0</v>
      </c>
      <c r="J95" s="3" t="s">
        <v>18</v>
      </c>
      <c r="K95" s="2" t="str">
        <f>J95*4859.86</f>
        <v>0</v>
      </c>
      <c r="L95" s="5"/>
    </row>
    <row r="96" spans="1:12" customHeight="1" ht="105" outlineLevel="4">
      <c r="A96" s="1"/>
      <c r="B96" s="1">
        <v>884708</v>
      </c>
      <c r="C96" s="1" t="s">
        <v>351</v>
      </c>
      <c r="D96" s="1" t="s">
        <v>352</v>
      </c>
      <c r="E96" s="2" t="s">
        <v>353</v>
      </c>
      <c r="F96" s="2" t="s">
        <v>327</v>
      </c>
      <c r="G96" s="2">
        <v>3</v>
      </c>
      <c r="H96" s="2">
        <v>0</v>
      </c>
      <c r="I96" s="1">
        <v>0</v>
      </c>
      <c r="J96" s="3" t="s">
        <v>18</v>
      </c>
      <c r="K96" s="2" t="str">
        <f>J96*3714.18</f>
        <v>0</v>
      </c>
      <c r="L96" s="5"/>
    </row>
    <row r="97" spans="1:12" customHeight="1" ht="105" outlineLevel="4">
      <c r="A97" s="1"/>
      <c r="B97" s="1">
        <v>885040</v>
      </c>
      <c r="C97" s="1" t="s">
        <v>354</v>
      </c>
      <c r="D97" s="1" t="s">
        <v>355</v>
      </c>
      <c r="E97" s="2" t="s">
        <v>356</v>
      </c>
      <c r="F97" s="2" t="s">
        <v>357</v>
      </c>
      <c r="G97" s="2">
        <v>3</v>
      </c>
      <c r="H97" s="2">
        <v>0</v>
      </c>
      <c r="I97" s="1">
        <v>0</v>
      </c>
      <c r="J97" s="3" t="s">
        <v>18</v>
      </c>
      <c r="K97" s="2" t="str">
        <f>J97*5186.54</f>
        <v>0</v>
      </c>
      <c r="L97" s="5"/>
    </row>
    <row r="98" spans="1:12" customHeight="1" ht="105" outlineLevel="4">
      <c r="A98" s="1"/>
      <c r="B98" s="1">
        <v>954092</v>
      </c>
      <c r="C98" s="1" t="s">
        <v>358</v>
      </c>
      <c r="D98" s="1" t="s">
        <v>359</v>
      </c>
      <c r="E98" s="2" t="s">
        <v>360</v>
      </c>
      <c r="F98" s="2" t="s">
        <v>361</v>
      </c>
      <c r="G98" s="2">
        <v>1</v>
      </c>
      <c r="H98" s="2">
        <v>0</v>
      </c>
      <c r="I98" s="1">
        <v>0</v>
      </c>
      <c r="J98" s="3" t="s">
        <v>18</v>
      </c>
      <c r="K98" s="2" t="str">
        <f>J98*6076.77</f>
        <v>0</v>
      </c>
      <c r="L98" s="5"/>
    </row>
    <row r="99" spans="1:12" outlineLevel="2">
      <c r="A99" s="8" t="s">
        <v>362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5"/>
    </row>
    <row r="100" spans="1:12" customHeight="1" ht="105" outlineLevel="4">
      <c r="A100" s="1"/>
      <c r="B100" s="1">
        <v>836250</v>
      </c>
      <c r="C100" s="1" t="s">
        <v>363</v>
      </c>
      <c r="D100" s="1" t="s">
        <v>364</v>
      </c>
      <c r="E100" s="2" t="s">
        <v>365</v>
      </c>
      <c r="F100" s="2" t="s">
        <v>366</v>
      </c>
      <c r="G100" s="2">
        <v>0</v>
      </c>
      <c r="H100" s="2">
        <v>4</v>
      </c>
      <c r="I100" s="1">
        <v>0</v>
      </c>
      <c r="J100" s="3" t="s">
        <v>18</v>
      </c>
      <c r="K100" s="2" t="str">
        <f>J100*8788.00</f>
        <v>0</v>
      </c>
      <c r="L100" s="5"/>
    </row>
    <row r="101" spans="1:12" outlineLevel="2">
      <c r="A101" s="8" t="s">
        <v>367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5"/>
    </row>
    <row r="102" spans="1:12" customHeight="1" ht="105" outlineLevel="4">
      <c r="A102" s="1"/>
      <c r="B102" s="1">
        <v>836401</v>
      </c>
      <c r="C102" s="1" t="s">
        <v>368</v>
      </c>
      <c r="D102" s="1" t="s">
        <v>369</v>
      </c>
      <c r="E102" s="2" t="s">
        <v>370</v>
      </c>
      <c r="F102" s="2" t="s">
        <v>371</v>
      </c>
      <c r="G102" s="2">
        <v>0</v>
      </c>
      <c r="H102" s="2">
        <v>0</v>
      </c>
      <c r="I102" s="1">
        <v>0</v>
      </c>
      <c r="J102" s="3" t="s">
        <v>18</v>
      </c>
      <c r="K102" s="2" t="str">
        <f>J102*1009.73</f>
        <v>0</v>
      </c>
      <c r="L102" s="5"/>
    </row>
    <row r="103" spans="1:12" customHeight="1" ht="105" outlineLevel="4">
      <c r="A103" s="1"/>
      <c r="B103" s="1">
        <v>836402</v>
      </c>
      <c r="C103" s="1" t="s">
        <v>372</v>
      </c>
      <c r="D103" s="1" t="s">
        <v>373</v>
      </c>
      <c r="E103" s="2" t="s">
        <v>374</v>
      </c>
      <c r="F103" s="2" t="s">
        <v>371</v>
      </c>
      <c r="G103" s="2">
        <v>0</v>
      </c>
      <c r="H103" s="2">
        <v>0</v>
      </c>
      <c r="I103" s="1">
        <v>0</v>
      </c>
      <c r="J103" s="3" t="s">
        <v>18</v>
      </c>
      <c r="K103" s="2" t="str">
        <f>J103*1009.73</f>
        <v>0</v>
      </c>
      <c r="L103" s="5"/>
    </row>
    <row r="104" spans="1:12" outlineLevel="2">
      <c r="A104" s="8" t="s">
        <v>375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5"/>
    </row>
    <row r="105" spans="1:12" customHeight="1" ht="105" outlineLevel="4">
      <c r="A105" s="1"/>
      <c r="B105" s="1">
        <v>954210</v>
      </c>
      <c r="C105" s="1" t="s">
        <v>376</v>
      </c>
      <c r="D105" s="1" t="s">
        <v>377</v>
      </c>
      <c r="E105" s="2" t="s">
        <v>378</v>
      </c>
      <c r="F105" s="2" t="s">
        <v>379</v>
      </c>
      <c r="G105" s="2">
        <v>6</v>
      </c>
      <c r="H105" s="2">
        <v>0</v>
      </c>
      <c r="I105" s="1">
        <v>0</v>
      </c>
      <c r="J105" s="3" t="s">
        <v>18</v>
      </c>
      <c r="K105" s="2" t="str">
        <f>J105*2876.80</f>
        <v>0</v>
      </c>
      <c r="L105" s="5"/>
    </row>
    <row r="106" spans="1:12" outlineLevel="1">
      <c r="A106" s="7" t="s">
        <v>78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5"/>
    </row>
    <row r="107" spans="1:12" customHeight="1" ht="105" outlineLevel="3">
      <c r="A107" s="1"/>
      <c r="B107" s="1">
        <v>832517</v>
      </c>
      <c r="C107" s="1" t="s">
        <v>380</v>
      </c>
      <c r="D107" s="1" t="s">
        <v>381</v>
      </c>
      <c r="E107" s="2" t="s">
        <v>382</v>
      </c>
      <c r="F107" s="2" t="s">
        <v>383</v>
      </c>
      <c r="G107" s="2">
        <v>2</v>
      </c>
      <c r="H107" s="2">
        <v>0</v>
      </c>
      <c r="I107" s="1">
        <v>0</v>
      </c>
      <c r="J107" s="3" t="s">
        <v>18</v>
      </c>
      <c r="K107" s="2" t="str">
        <f>J107*3091.80</f>
        <v>0</v>
      </c>
      <c r="L107" s="5"/>
    </row>
    <row r="108" spans="1:12" customHeight="1" ht="105" outlineLevel="3">
      <c r="A108" s="1"/>
      <c r="B108" s="1">
        <v>824109</v>
      </c>
      <c r="C108" s="1" t="s">
        <v>384</v>
      </c>
      <c r="D108" s="1" t="s">
        <v>385</v>
      </c>
      <c r="E108" s="2" t="s">
        <v>386</v>
      </c>
      <c r="F108" s="2" t="s">
        <v>387</v>
      </c>
      <c r="G108" s="2" t="s">
        <v>31</v>
      </c>
      <c r="H108" s="2">
        <v>0</v>
      </c>
      <c r="I108" s="1">
        <v>0</v>
      </c>
      <c r="J108" s="3" t="s">
        <v>18</v>
      </c>
      <c r="K108" s="2" t="str">
        <f>J108*1453.78</f>
        <v>0</v>
      </c>
      <c r="L108" s="5"/>
    </row>
    <row r="109" spans="1:12" customHeight="1" ht="105" outlineLevel="3">
      <c r="A109" s="1"/>
      <c r="B109" s="1">
        <v>873796</v>
      </c>
      <c r="C109" s="1" t="s">
        <v>388</v>
      </c>
      <c r="D109" s="1" t="s">
        <v>389</v>
      </c>
      <c r="E109" s="2" t="s">
        <v>390</v>
      </c>
      <c r="F109" s="2" t="s">
        <v>391</v>
      </c>
      <c r="G109" s="2">
        <v>1</v>
      </c>
      <c r="H109" s="2">
        <v>0</v>
      </c>
      <c r="I109" s="1">
        <v>0</v>
      </c>
      <c r="J109" s="3" t="s">
        <v>18</v>
      </c>
      <c r="K109" s="2" t="str">
        <f>J109*5966.04</f>
        <v>0</v>
      </c>
      <c r="L109" s="5"/>
    </row>
    <row r="110" spans="1:12" customHeight="1" ht="105" outlineLevel="3">
      <c r="A110" s="1"/>
      <c r="B110" s="1">
        <v>878097</v>
      </c>
      <c r="C110" s="1" t="s">
        <v>392</v>
      </c>
      <c r="D110" s="1" t="s">
        <v>393</v>
      </c>
      <c r="E110" s="2" t="s">
        <v>394</v>
      </c>
      <c r="F110" s="2" t="s">
        <v>395</v>
      </c>
      <c r="G110" s="2" t="s">
        <v>136</v>
      </c>
      <c r="H110" s="2">
        <v>0</v>
      </c>
      <c r="I110" s="1">
        <v>0</v>
      </c>
      <c r="J110" s="3" t="s">
        <v>18</v>
      </c>
      <c r="K110" s="2" t="str">
        <f>J110*257.00</f>
        <v>0</v>
      </c>
      <c r="L110" s="5"/>
    </row>
    <row r="111" spans="1:12" customHeight="1" ht="105" outlineLevel="3">
      <c r="A111" s="1"/>
      <c r="B111" s="1">
        <v>878098</v>
      </c>
      <c r="C111" s="1" t="s">
        <v>396</v>
      </c>
      <c r="D111" s="1" t="s">
        <v>397</v>
      </c>
      <c r="E111" s="2" t="s">
        <v>398</v>
      </c>
      <c r="F111" s="2" t="s">
        <v>399</v>
      </c>
      <c r="G111" s="2" t="s">
        <v>31</v>
      </c>
      <c r="H111" s="2">
        <v>0</v>
      </c>
      <c r="I111" s="1">
        <v>0</v>
      </c>
      <c r="J111" s="3" t="s">
        <v>400</v>
      </c>
      <c r="K111" s="2" t="str">
        <f>J111*466.01</f>
        <v>0</v>
      </c>
      <c r="L111" s="5"/>
    </row>
    <row r="112" spans="1:12" customHeight="1" ht="105" outlineLevel="3">
      <c r="A112" s="1"/>
      <c r="B112" s="1">
        <v>878099</v>
      </c>
      <c r="C112" s="1" t="s">
        <v>401</v>
      </c>
      <c r="D112" s="1" t="s">
        <v>402</v>
      </c>
      <c r="E112" s="2" t="s">
        <v>403</v>
      </c>
      <c r="F112" s="2" t="s">
        <v>404</v>
      </c>
      <c r="G112" s="2" t="s">
        <v>31</v>
      </c>
      <c r="H112" s="2">
        <v>0</v>
      </c>
      <c r="I112" s="1">
        <v>0</v>
      </c>
      <c r="J112" s="3" t="s">
        <v>18</v>
      </c>
      <c r="K112" s="2" t="str">
        <f>J112*5815.12</f>
        <v>0</v>
      </c>
      <c r="L112" s="5"/>
    </row>
    <row r="113" spans="1:12" customHeight="1" ht="105" outlineLevel="3">
      <c r="A113" s="1"/>
      <c r="B113" s="1">
        <v>885047</v>
      </c>
      <c r="C113" s="1" t="s">
        <v>405</v>
      </c>
      <c r="D113" s="1" t="s">
        <v>406</v>
      </c>
      <c r="E113" s="2" t="s">
        <v>407</v>
      </c>
      <c r="F113" s="2" t="s">
        <v>408</v>
      </c>
      <c r="G113" s="2">
        <v>9</v>
      </c>
      <c r="H113" s="2">
        <v>0</v>
      </c>
      <c r="I113" s="1">
        <v>0</v>
      </c>
      <c r="J113" s="3" t="s">
        <v>18</v>
      </c>
      <c r="K113" s="2" t="str">
        <f>J113*853.07</f>
        <v>0</v>
      </c>
      <c r="L113" s="5"/>
    </row>
    <row r="114" spans="1:12" customHeight="1" ht="105" outlineLevel="3">
      <c r="A114" s="1"/>
      <c r="B114" s="1">
        <v>885106</v>
      </c>
      <c r="C114" s="1" t="s">
        <v>409</v>
      </c>
      <c r="D114" s="1" t="s">
        <v>410</v>
      </c>
      <c r="E114" s="2" t="s">
        <v>411</v>
      </c>
      <c r="F114" s="2" t="s">
        <v>412</v>
      </c>
      <c r="G114" s="2">
        <v>9</v>
      </c>
      <c r="H114" s="2">
        <v>0</v>
      </c>
      <c r="I114" s="1">
        <v>0</v>
      </c>
      <c r="J114" s="3" t="s">
        <v>18</v>
      </c>
      <c r="K114" s="2" t="str">
        <f>J114*648.70</f>
        <v>0</v>
      </c>
      <c r="L114" s="5"/>
    </row>
    <row r="115" spans="1:12" customHeight="1" ht="105" outlineLevel="3">
      <c r="A115" s="1"/>
      <c r="B115" s="1">
        <v>821359</v>
      </c>
      <c r="C115" s="1" t="s">
        <v>413</v>
      </c>
      <c r="D115" s="1" t="s">
        <v>414</v>
      </c>
      <c r="E115" s="2" t="s">
        <v>415</v>
      </c>
      <c r="F115" s="2" t="s">
        <v>416</v>
      </c>
      <c r="G115" s="2">
        <v>0</v>
      </c>
      <c r="H115" s="2">
        <v>0</v>
      </c>
      <c r="I115" s="1">
        <v>0</v>
      </c>
      <c r="J115" s="3" t="s">
        <v>18</v>
      </c>
      <c r="K115" s="2" t="str">
        <f>J115*3361.00</f>
        <v>0</v>
      </c>
      <c r="L115" s="5"/>
    </row>
    <row r="116" spans="1:12" customHeight="1" ht="105" outlineLevel="3">
      <c r="A116" s="1"/>
      <c r="B116" s="1">
        <v>821360</v>
      </c>
      <c r="C116" s="1" t="s">
        <v>417</v>
      </c>
      <c r="D116" s="1" t="s">
        <v>418</v>
      </c>
      <c r="E116" s="2" t="s">
        <v>419</v>
      </c>
      <c r="F116" s="2" t="s">
        <v>420</v>
      </c>
      <c r="G116" s="2">
        <v>0</v>
      </c>
      <c r="H116" s="2">
        <v>0</v>
      </c>
      <c r="I116" s="1">
        <v>0</v>
      </c>
      <c r="J116" s="3" t="s">
        <v>18</v>
      </c>
      <c r="K116" s="2" t="str">
        <f>J116*4082.00</f>
        <v>0</v>
      </c>
      <c r="L116" s="5"/>
    </row>
    <row r="117" spans="1:12" customHeight="1" ht="105" outlineLevel="3">
      <c r="A117" s="1"/>
      <c r="B117" s="1">
        <v>876253</v>
      </c>
      <c r="C117" s="1" t="s">
        <v>421</v>
      </c>
      <c r="D117" s="1" t="s">
        <v>422</v>
      </c>
      <c r="E117" s="2" t="s">
        <v>423</v>
      </c>
      <c r="F117" s="2" t="s">
        <v>424</v>
      </c>
      <c r="G117" s="2">
        <v>0</v>
      </c>
      <c r="H117" s="2">
        <v>0</v>
      </c>
      <c r="I117" s="1">
        <v>0</v>
      </c>
      <c r="J117" s="3" t="s">
        <v>18</v>
      </c>
      <c r="K117" s="2" t="str">
        <f>J117*6330.00</f>
        <v>0</v>
      </c>
      <c r="L117" s="5"/>
    </row>
    <row r="118" spans="1:12" customHeight="1" ht="105" outlineLevel="3">
      <c r="A118" s="1"/>
      <c r="B118" s="1">
        <v>877398</v>
      </c>
      <c r="C118" s="1" t="s">
        <v>425</v>
      </c>
      <c r="D118" s="1" t="s">
        <v>426</v>
      </c>
      <c r="E118" s="2" t="s">
        <v>427</v>
      </c>
      <c r="F118" s="2" t="s">
        <v>428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J118*7950.00</f>
        <v>0</v>
      </c>
      <c r="L118" s="5"/>
    </row>
    <row r="119" spans="1:12" outlineLevel="1">
      <c r="A119" s="7" t="s">
        <v>429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5"/>
    </row>
    <row r="120" spans="1:12" customHeight="1" ht="105" outlineLevel="3">
      <c r="A120" s="1"/>
      <c r="B120" s="1">
        <v>836213</v>
      </c>
      <c r="C120" s="1" t="s">
        <v>430</v>
      </c>
      <c r="D120" s="1" t="s">
        <v>431</v>
      </c>
      <c r="E120" s="2" t="s">
        <v>432</v>
      </c>
      <c r="F120" s="2" t="s">
        <v>433</v>
      </c>
      <c r="G120" s="2">
        <v>0</v>
      </c>
      <c r="H120" s="2">
        <v>0</v>
      </c>
      <c r="I120" s="1">
        <v>0</v>
      </c>
      <c r="J120" s="3" t="s">
        <v>18</v>
      </c>
      <c r="K120" s="2" t="str">
        <f>J120*10909.00</f>
        <v>0</v>
      </c>
      <c r="L120" s="5"/>
    </row>
    <row r="121" spans="1:12" customHeight="1" ht="105" outlineLevel="3">
      <c r="A121" s="1"/>
      <c r="B121" s="1">
        <v>836214</v>
      </c>
      <c r="C121" s="1" t="s">
        <v>434</v>
      </c>
      <c r="D121" s="1" t="s">
        <v>435</v>
      </c>
      <c r="E121" s="2" t="s">
        <v>436</v>
      </c>
      <c r="F121" s="2" t="s">
        <v>437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J121*12146.00</f>
        <v>0</v>
      </c>
      <c r="L121" s="5"/>
    </row>
    <row r="122" spans="1:12" customHeight="1" ht="105" outlineLevel="3">
      <c r="A122" s="1"/>
      <c r="B122" s="1">
        <v>836215</v>
      </c>
      <c r="C122" s="1" t="s">
        <v>438</v>
      </c>
      <c r="D122" s="1" t="s">
        <v>439</v>
      </c>
      <c r="E122" s="2" t="s">
        <v>440</v>
      </c>
      <c r="F122" s="2" t="s">
        <v>441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J122*14103.00</f>
        <v>0</v>
      </c>
      <c r="L122" s="5"/>
    </row>
    <row r="123" spans="1:12" customHeight="1" ht="105" outlineLevel="3">
      <c r="A123" s="1"/>
      <c r="B123" s="1">
        <v>836216</v>
      </c>
      <c r="C123" s="1" t="s">
        <v>442</v>
      </c>
      <c r="D123" s="1" t="s">
        <v>443</v>
      </c>
      <c r="E123" s="2" t="s">
        <v>444</v>
      </c>
      <c r="F123" s="2" t="s">
        <v>148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J123*0.00</f>
        <v>0</v>
      </c>
      <c r="L123" s="5"/>
    </row>
    <row r="124" spans="1:12" customHeight="1" ht="105" outlineLevel="3">
      <c r="A124" s="1"/>
      <c r="B124" s="1">
        <v>836217</v>
      </c>
      <c r="C124" s="1" t="s">
        <v>445</v>
      </c>
      <c r="D124" s="1" t="s">
        <v>446</v>
      </c>
      <c r="E124" s="2" t="s">
        <v>447</v>
      </c>
      <c r="F124" s="2" t="s">
        <v>148</v>
      </c>
      <c r="G124" s="2">
        <v>0</v>
      </c>
      <c r="H124" s="2">
        <v>0</v>
      </c>
      <c r="I124" s="1">
        <v>0</v>
      </c>
      <c r="J124" s="3" t="s">
        <v>18</v>
      </c>
      <c r="K124" s="2" t="str">
        <f>J124*0.00</f>
        <v>0</v>
      </c>
      <c r="L124" s="5"/>
    </row>
    <row r="125" spans="1:12" customHeight="1" ht="105" outlineLevel="3">
      <c r="A125" s="1"/>
      <c r="B125" s="1">
        <v>836218</v>
      </c>
      <c r="C125" s="1" t="s">
        <v>448</v>
      </c>
      <c r="D125" s="1" t="s">
        <v>449</v>
      </c>
      <c r="E125" s="2" t="s">
        <v>450</v>
      </c>
      <c r="F125" s="2" t="s">
        <v>148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J125*0.00</f>
        <v>0</v>
      </c>
      <c r="L125" s="5"/>
    </row>
    <row r="126" spans="1:12" customHeight="1" ht="105" outlineLevel="3">
      <c r="A126" s="1"/>
      <c r="B126" s="1">
        <v>836219</v>
      </c>
      <c r="C126" s="1" t="s">
        <v>451</v>
      </c>
      <c r="D126" s="1" t="s">
        <v>452</v>
      </c>
      <c r="E126" s="2" t="s">
        <v>453</v>
      </c>
      <c r="F126" s="2" t="s">
        <v>148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J126*0.00</f>
        <v>0</v>
      </c>
      <c r="L126" s="5"/>
    </row>
    <row r="127" spans="1:12" outlineLevel="1">
      <c r="A127" s="7" t="s">
        <v>454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5"/>
    </row>
    <row r="128" spans="1:12" outlineLevel="2">
      <c r="A128" s="8" t="s">
        <v>455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5"/>
    </row>
    <row r="129" spans="1:12" outlineLevel="3">
      <c r="A129" s="9" t="s">
        <v>456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5"/>
    </row>
    <row r="130" spans="1:12" customHeight="1" ht="105" outlineLevel="5">
      <c r="A130" s="1"/>
      <c r="B130" s="1">
        <v>819064</v>
      </c>
      <c r="C130" s="1" t="s">
        <v>457</v>
      </c>
      <c r="D130" s="1"/>
      <c r="E130" s="2" t="s">
        <v>458</v>
      </c>
      <c r="F130" s="2" t="s">
        <v>459</v>
      </c>
      <c r="G130" s="2">
        <v>0</v>
      </c>
      <c r="H130" s="2">
        <v>0</v>
      </c>
      <c r="I130" s="1">
        <v>0</v>
      </c>
      <c r="J130" s="3" t="s">
        <v>18</v>
      </c>
      <c r="K130" s="2" t="str">
        <f>J130*6950.96</f>
        <v>0</v>
      </c>
      <c r="L130" s="5"/>
    </row>
    <row r="131" spans="1:12" customHeight="1" ht="105" outlineLevel="5">
      <c r="A131" s="1"/>
      <c r="B131" s="1">
        <v>819065</v>
      </c>
      <c r="C131" s="1" t="s">
        <v>460</v>
      </c>
      <c r="D131" s="1"/>
      <c r="E131" s="2" t="s">
        <v>461</v>
      </c>
      <c r="F131" s="2" t="s">
        <v>462</v>
      </c>
      <c r="G131" s="2">
        <v>0</v>
      </c>
      <c r="H131" s="2">
        <v>0</v>
      </c>
      <c r="I131" s="1">
        <v>0</v>
      </c>
      <c r="J131" s="3" t="s">
        <v>18</v>
      </c>
      <c r="K131" s="2" t="str">
        <f>J131*8327.96</f>
        <v>0</v>
      </c>
      <c r="L131" s="5"/>
    </row>
    <row r="132" spans="1:12" customHeight="1" ht="105" outlineLevel="5">
      <c r="A132" s="1"/>
      <c r="B132" s="1">
        <v>819066</v>
      </c>
      <c r="C132" s="1" t="s">
        <v>463</v>
      </c>
      <c r="D132" s="1"/>
      <c r="E132" s="2" t="s">
        <v>464</v>
      </c>
      <c r="F132" s="2" t="s">
        <v>465</v>
      </c>
      <c r="G132" s="2">
        <v>0</v>
      </c>
      <c r="H132" s="2">
        <v>0</v>
      </c>
      <c r="I132" s="1">
        <v>0</v>
      </c>
      <c r="J132" s="3" t="s">
        <v>18</v>
      </c>
      <c r="K132" s="2" t="str">
        <f>J132*9290.50</f>
        <v>0</v>
      </c>
      <c r="L132" s="5"/>
    </row>
    <row r="133" spans="1:12" customHeight="1" ht="105" outlineLevel="5">
      <c r="A133" s="1"/>
      <c r="B133" s="1">
        <v>819067</v>
      </c>
      <c r="C133" s="1" t="s">
        <v>466</v>
      </c>
      <c r="D133" s="1"/>
      <c r="E133" s="2" t="s">
        <v>467</v>
      </c>
      <c r="F133" s="2" t="s">
        <v>468</v>
      </c>
      <c r="G133" s="2">
        <v>0</v>
      </c>
      <c r="H133" s="2">
        <v>0</v>
      </c>
      <c r="I133" s="1">
        <v>0</v>
      </c>
      <c r="J133" s="3" t="s">
        <v>18</v>
      </c>
      <c r="K133" s="2" t="str">
        <f>J133*10763.21</f>
        <v>0</v>
      </c>
      <c r="L133" s="5"/>
    </row>
    <row r="134" spans="1:12" customHeight="1" ht="105" outlineLevel="5">
      <c r="A134" s="1"/>
      <c r="B134" s="1">
        <v>819068</v>
      </c>
      <c r="C134" s="1" t="s">
        <v>469</v>
      </c>
      <c r="D134" s="1"/>
      <c r="E134" s="2" t="s">
        <v>470</v>
      </c>
      <c r="F134" s="2" t="s">
        <v>471</v>
      </c>
      <c r="G134" s="2">
        <v>0</v>
      </c>
      <c r="H134" s="2">
        <v>0</v>
      </c>
      <c r="I134" s="1">
        <v>0</v>
      </c>
      <c r="J134" s="3" t="s">
        <v>18</v>
      </c>
      <c r="K134" s="2" t="str">
        <f>J134*10499.54</f>
        <v>0</v>
      </c>
      <c r="L134" s="5"/>
    </row>
    <row r="135" spans="1:12" customHeight="1" ht="105" outlineLevel="5">
      <c r="A135" s="1"/>
      <c r="B135" s="1">
        <v>819069</v>
      </c>
      <c r="C135" s="1" t="s">
        <v>472</v>
      </c>
      <c r="D135" s="1"/>
      <c r="E135" s="2" t="s">
        <v>473</v>
      </c>
      <c r="F135" s="2" t="s">
        <v>474</v>
      </c>
      <c r="G135" s="2">
        <v>0</v>
      </c>
      <c r="H135" s="2">
        <v>0</v>
      </c>
      <c r="I135" s="1">
        <v>0</v>
      </c>
      <c r="J135" s="3" t="s">
        <v>18</v>
      </c>
      <c r="K135" s="2" t="str">
        <f>J135*17414.46</f>
        <v>0</v>
      </c>
      <c r="L135" s="5"/>
    </row>
    <row r="136" spans="1:12" customHeight="1" ht="105" outlineLevel="5">
      <c r="A136" s="1"/>
      <c r="B136" s="1">
        <v>819070</v>
      </c>
      <c r="C136" s="1" t="s">
        <v>475</v>
      </c>
      <c r="D136" s="1"/>
      <c r="E136" s="2" t="s">
        <v>476</v>
      </c>
      <c r="F136" s="2" t="s">
        <v>477</v>
      </c>
      <c r="G136" s="2">
        <v>0</v>
      </c>
      <c r="H136" s="2">
        <v>0</v>
      </c>
      <c r="I136" s="1">
        <v>0</v>
      </c>
      <c r="J136" s="3" t="s">
        <v>18</v>
      </c>
      <c r="K136" s="2" t="str">
        <f>J136*18750.15</f>
        <v>0</v>
      </c>
      <c r="L136" s="5"/>
    </row>
    <row r="137" spans="1:12" customHeight="1" ht="105" outlineLevel="5">
      <c r="A137" s="1"/>
      <c r="B137" s="1">
        <v>819071</v>
      </c>
      <c r="C137" s="1" t="s">
        <v>478</v>
      </c>
      <c r="D137" s="1"/>
      <c r="E137" s="2" t="s">
        <v>479</v>
      </c>
      <c r="F137" s="2" t="s">
        <v>480</v>
      </c>
      <c r="G137" s="2">
        <v>0</v>
      </c>
      <c r="H137" s="2">
        <v>0</v>
      </c>
      <c r="I137" s="1">
        <v>0</v>
      </c>
      <c r="J137" s="3" t="s">
        <v>18</v>
      </c>
      <c r="K137" s="2" t="str">
        <f>J137*23197.52</f>
        <v>0</v>
      </c>
      <c r="L137" s="5"/>
    </row>
    <row r="138" spans="1:12" outlineLevel="3">
      <c r="A138" s="9" t="s">
        <v>481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5"/>
    </row>
    <row r="139" spans="1:12" customHeight="1" ht="105" outlineLevel="5">
      <c r="A139" s="1"/>
      <c r="B139" s="1">
        <v>819072</v>
      </c>
      <c r="C139" s="1" t="s">
        <v>482</v>
      </c>
      <c r="D139" s="1"/>
      <c r="E139" s="2" t="s">
        <v>483</v>
      </c>
      <c r="F139" s="2" t="s">
        <v>484</v>
      </c>
      <c r="G139" s="2" t="s">
        <v>136</v>
      </c>
      <c r="H139" s="2">
        <v>0</v>
      </c>
      <c r="I139" s="1">
        <v>0</v>
      </c>
      <c r="J139" s="3" t="s">
        <v>18</v>
      </c>
      <c r="K139" s="2" t="str">
        <f>J139*1082.25</f>
        <v>0</v>
      </c>
      <c r="L139" s="5"/>
    </row>
    <row r="140" spans="1:12" customHeight="1" ht="105" outlineLevel="5">
      <c r="A140" s="1"/>
      <c r="B140" s="1">
        <v>819073</v>
      </c>
      <c r="C140" s="1" t="s">
        <v>485</v>
      </c>
      <c r="D140" s="1"/>
      <c r="E140" s="2" t="s">
        <v>486</v>
      </c>
      <c r="F140" s="2" t="s">
        <v>484</v>
      </c>
      <c r="G140" s="2" t="s">
        <v>136</v>
      </c>
      <c r="H140" s="2">
        <v>0</v>
      </c>
      <c r="I140" s="1">
        <v>0</v>
      </c>
      <c r="J140" s="3" t="s">
        <v>18</v>
      </c>
      <c r="K140" s="2" t="str">
        <f>J140*1082.25</f>
        <v>0</v>
      </c>
      <c r="L140" s="5"/>
    </row>
    <row r="141" spans="1:12" customHeight="1" ht="105" outlineLevel="5">
      <c r="A141" s="1"/>
      <c r="B141" s="1">
        <v>819074</v>
      </c>
      <c r="C141" s="1" t="s">
        <v>487</v>
      </c>
      <c r="D141" s="1"/>
      <c r="E141" s="2" t="s">
        <v>488</v>
      </c>
      <c r="F141" s="2" t="s">
        <v>489</v>
      </c>
      <c r="G141" s="2" t="s">
        <v>136</v>
      </c>
      <c r="H141" s="2">
        <v>0</v>
      </c>
      <c r="I141" s="1">
        <v>0</v>
      </c>
      <c r="J141" s="3" t="s">
        <v>18</v>
      </c>
      <c r="K141" s="2" t="str">
        <f>J141*844.31</f>
        <v>0</v>
      </c>
      <c r="L141" s="5"/>
    </row>
    <row r="142" spans="1:12" customHeight="1" ht="105" outlineLevel="5">
      <c r="A142" s="1"/>
      <c r="B142" s="1">
        <v>819075</v>
      </c>
      <c r="C142" s="1" t="s">
        <v>490</v>
      </c>
      <c r="D142" s="1"/>
      <c r="E142" s="2" t="s">
        <v>491</v>
      </c>
      <c r="F142" s="2" t="s">
        <v>492</v>
      </c>
      <c r="G142" s="2" t="s">
        <v>31</v>
      </c>
      <c r="H142" s="2">
        <v>0</v>
      </c>
      <c r="I142" s="1">
        <v>0</v>
      </c>
      <c r="J142" s="3" t="s">
        <v>18</v>
      </c>
      <c r="K142" s="2" t="str">
        <f>J142*1052.44</f>
        <v>0</v>
      </c>
      <c r="L142" s="5"/>
    </row>
    <row r="143" spans="1:12" customHeight="1" ht="105" outlineLevel="5">
      <c r="A143" s="1"/>
      <c r="B143" s="1">
        <v>819076</v>
      </c>
      <c r="C143" s="1" t="s">
        <v>493</v>
      </c>
      <c r="D143" s="1"/>
      <c r="E143" s="2" t="s">
        <v>494</v>
      </c>
      <c r="F143" s="2" t="s">
        <v>492</v>
      </c>
      <c r="G143" s="2" t="s">
        <v>31</v>
      </c>
      <c r="H143" s="2">
        <v>0</v>
      </c>
      <c r="I143" s="1">
        <v>0</v>
      </c>
      <c r="J143" s="3" t="s">
        <v>18</v>
      </c>
      <c r="K143" s="2" t="str">
        <f>J143*1052.44</f>
        <v>0</v>
      </c>
      <c r="L143" s="5"/>
    </row>
    <row r="144" spans="1:12" customHeight="1" ht="105" outlineLevel="5">
      <c r="A144" s="1"/>
      <c r="B144" s="1">
        <v>819077</v>
      </c>
      <c r="C144" s="1" t="s">
        <v>495</v>
      </c>
      <c r="D144" s="1"/>
      <c r="E144" s="2" t="s">
        <v>496</v>
      </c>
      <c r="F144" s="2" t="s">
        <v>492</v>
      </c>
      <c r="G144" s="2">
        <v>8</v>
      </c>
      <c r="H144" s="2">
        <v>0</v>
      </c>
      <c r="I144" s="1">
        <v>0</v>
      </c>
      <c r="J144" s="3" t="s">
        <v>18</v>
      </c>
      <c r="K144" s="2" t="str">
        <f>J144*1052.44</f>
        <v>0</v>
      </c>
      <c r="L144" s="5"/>
    </row>
    <row r="145" spans="1:12" customHeight="1" ht="105" outlineLevel="5">
      <c r="A145" s="1"/>
      <c r="B145" s="1">
        <v>819078</v>
      </c>
      <c r="C145" s="1" t="s">
        <v>497</v>
      </c>
      <c r="D145" s="1"/>
      <c r="E145" s="2" t="s">
        <v>498</v>
      </c>
      <c r="F145" s="2" t="s">
        <v>492</v>
      </c>
      <c r="G145" s="2">
        <v>4</v>
      </c>
      <c r="H145" s="2">
        <v>0</v>
      </c>
      <c r="I145" s="1">
        <v>0</v>
      </c>
      <c r="J145" s="3" t="s">
        <v>18</v>
      </c>
      <c r="K145" s="2" t="str">
        <f>J145*1052.44</f>
        <v>0</v>
      </c>
      <c r="L145" s="5"/>
    </row>
    <row r="146" spans="1:12" customHeight="1" ht="105" outlineLevel="5">
      <c r="A146" s="1"/>
      <c r="B146" s="1">
        <v>819079</v>
      </c>
      <c r="C146" s="1" t="s">
        <v>499</v>
      </c>
      <c r="D146" s="1"/>
      <c r="E146" s="2" t="s">
        <v>500</v>
      </c>
      <c r="F146" s="2" t="s">
        <v>501</v>
      </c>
      <c r="G146" s="2">
        <v>0</v>
      </c>
      <c r="H146" s="2">
        <v>0</v>
      </c>
      <c r="I146" s="1">
        <v>0</v>
      </c>
      <c r="J146" s="3" t="s">
        <v>18</v>
      </c>
      <c r="K146" s="2" t="str">
        <f>J146*105.57</f>
        <v>0</v>
      </c>
      <c r="L146" s="5"/>
    </row>
    <row r="147" spans="1:12" customHeight="1" ht="105" outlineLevel="5">
      <c r="A147" s="1"/>
      <c r="B147" s="1">
        <v>819080</v>
      </c>
      <c r="C147" s="1" t="s">
        <v>502</v>
      </c>
      <c r="D147" s="1"/>
      <c r="E147" s="2" t="s">
        <v>503</v>
      </c>
      <c r="F147" s="2" t="s">
        <v>504</v>
      </c>
      <c r="G147" s="2">
        <v>0</v>
      </c>
      <c r="H147" s="2">
        <v>0</v>
      </c>
      <c r="I147" s="1">
        <v>0</v>
      </c>
      <c r="J147" s="3" t="s">
        <v>18</v>
      </c>
      <c r="K147" s="2" t="str">
        <f>J147*170.17</f>
        <v>0</v>
      </c>
      <c r="L147" s="5"/>
    </row>
    <row r="148" spans="1:12" outlineLevel="2">
      <c r="A148" s="8" t="s">
        <v>505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5"/>
    </row>
    <row r="149" spans="1:12" outlineLevel="3">
      <c r="A149" s="9" t="s">
        <v>506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5"/>
    </row>
    <row r="150" spans="1:12" customHeight="1" ht="105" outlineLevel="5">
      <c r="A150" s="1"/>
      <c r="B150" s="1">
        <v>873867</v>
      </c>
      <c r="C150" s="1" t="s">
        <v>507</v>
      </c>
      <c r="D150" s="1" t="s">
        <v>508</v>
      </c>
      <c r="E150" s="2" t="s">
        <v>509</v>
      </c>
      <c r="F150" s="2" t="s">
        <v>510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J150*41163.01</f>
        <v>0</v>
      </c>
      <c r="L150" s="5"/>
    </row>
    <row r="151" spans="1:12" customHeight="1" ht="105" outlineLevel="5">
      <c r="A151" s="1"/>
      <c r="B151" s="1">
        <v>873868</v>
      </c>
      <c r="C151" s="1" t="s">
        <v>511</v>
      </c>
      <c r="D151" s="1" t="s">
        <v>512</v>
      </c>
      <c r="E151" s="2" t="s">
        <v>513</v>
      </c>
      <c r="F151" s="2" t="s">
        <v>514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J151*41282.50</f>
        <v>0</v>
      </c>
      <c r="L151" s="5"/>
    </row>
    <row r="152" spans="1:12" customHeight="1" ht="105" outlineLevel="5">
      <c r="A152" s="1"/>
      <c r="B152" s="1">
        <v>873869</v>
      </c>
      <c r="C152" s="1" t="s">
        <v>515</v>
      </c>
      <c r="D152" s="1" t="s">
        <v>516</v>
      </c>
      <c r="E152" s="2" t="s">
        <v>517</v>
      </c>
      <c r="F152" s="2" t="s">
        <v>518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J152*41378.09</f>
        <v>0</v>
      </c>
      <c r="L152" s="5"/>
    </row>
    <row r="153" spans="1:12" customHeight="1" ht="105" outlineLevel="5">
      <c r="A153" s="1"/>
      <c r="B153" s="1">
        <v>873870</v>
      </c>
      <c r="C153" s="1" t="s">
        <v>519</v>
      </c>
      <c r="D153" s="1" t="s">
        <v>520</v>
      </c>
      <c r="E153" s="2" t="s">
        <v>521</v>
      </c>
      <c r="F153" s="2" t="s">
        <v>522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J153*41485.63</f>
        <v>0</v>
      </c>
      <c r="L153" s="5"/>
    </row>
    <row r="154" spans="1:12" customHeight="1" ht="105" outlineLevel="5">
      <c r="A154" s="1"/>
      <c r="B154" s="1">
        <v>873871</v>
      </c>
      <c r="C154" s="1" t="s">
        <v>523</v>
      </c>
      <c r="D154" s="1" t="s">
        <v>524</v>
      </c>
      <c r="E154" s="2" t="s">
        <v>525</v>
      </c>
      <c r="F154" s="2" t="s">
        <v>526</v>
      </c>
      <c r="G154" s="2">
        <v>2</v>
      </c>
      <c r="H154" s="2">
        <v>0</v>
      </c>
      <c r="I154" s="1">
        <v>0</v>
      </c>
      <c r="J154" s="3" t="s">
        <v>18</v>
      </c>
      <c r="K154" s="2" t="str">
        <f>J154*42955.31</f>
        <v>0</v>
      </c>
      <c r="L154" s="5"/>
    </row>
    <row r="155" spans="1:12" customHeight="1" ht="105" outlineLevel="5">
      <c r="A155" s="1"/>
      <c r="B155" s="1">
        <v>873872</v>
      </c>
      <c r="C155" s="1" t="s">
        <v>527</v>
      </c>
      <c r="D155" s="1" t="s">
        <v>528</v>
      </c>
      <c r="E155" s="2" t="s">
        <v>529</v>
      </c>
      <c r="F155" s="2" t="s">
        <v>530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J155*51677.80</f>
        <v>0</v>
      </c>
      <c r="L155" s="5"/>
    </row>
    <row r="156" spans="1:12" customHeight="1" ht="105" outlineLevel="5">
      <c r="A156" s="1"/>
      <c r="B156" s="1">
        <v>873873</v>
      </c>
      <c r="C156" s="1" t="s">
        <v>531</v>
      </c>
      <c r="D156" s="1" t="s">
        <v>532</v>
      </c>
      <c r="E156" s="2" t="s">
        <v>533</v>
      </c>
      <c r="F156" s="2" t="s">
        <v>534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J156*52729.28</f>
        <v>0</v>
      </c>
      <c r="L156" s="5"/>
    </row>
    <row r="157" spans="1:12" customHeight="1" ht="105" outlineLevel="5">
      <c r="A157" s="1"/>
      <c r="B157" s="1">
        <v>873874</v>
      </c>
      <c r="C157" s="1" t="s">
        <v>535</v>
      </c>
      <c r="D157" s="1" t="s">
        <v>536</v>
      </c>
      <c r="E157" s="2" t="s">
        <v>537</v>
      </c>
      <c r="F157" s="2" t="s">
        <v>538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J157*58261.50</f>
        <v>0</v>
      </c>
      <c r="L157" s="5"/>
    </row>
    <row r="158" spans="1:12" customHeight="1" ht="105" outlineLevel="5">
      <c r="A158" s="1"/>
      <c r="B158" s="1">
        <v>873875</v>
      </c>
      <c r="C158" s="1" t="s">
        <v>539</v>
      </c>
      <c r="D158" s="1" t="s">
        <v>540</v>
      </c>
      <c r="E158" s="2" t="s">
        <v>541</v>
      </c>
      <c r="F158" s="2" t="s">
        <v>542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J158*42417.62</f>
        <v>0</v>
      </c>
      <c r="L158" s="5"/>
    </row>
    <row r="159" spans="1:12" customHeight="1" ht="105" outlineLevel="5">
      <c r="A159" s="1"/>
      <c r="B159" s="1">
        <v>873876</v>
      </c>
      <c r="C159" s="1" t="s">
        <v>543</v>
      </c>
      <c r="D159" s="1" t="s">
        <v>544</v>
      </c>
      <c r="E159" s="2" t="s">
        <v>545</v>
      </c>
      <c r="F159" s="2" t="s">
        <v>546</v>
      </c>
      <c r="G159" s="2">
        <v>0</v>
      </c>
      <c r="H159" s="2">
        <v>0</v>
      </c>
      <c r="I159" s="1">
        <v>0</v>
      </c>
      <c r="J159" s="3" t="s">
        <v>18</v>
      </c>
      <c r="K159" s="2" t="str">
        <f>J159*50960.89</f>
        <v>0</v>
      </c>
      <c r="L159" s="5"/>
    </row>
    <row r="160" spans="1:12" customHeight="1" ht="105" outlineLevel="5">
      <c r="A160" s="1"/>
      <c r="B160" s="1">
        <v>873877</v>
      </c>
      <c r="C160" s="1" t="s">
        <v>547</v>
      </c>
      <c r="D160" s="1" t="s">
        <v>548</v>
      </c>
      <c r="E160" s="2" t="s">
        <v>549</v>
      </c>
      <c r="F160" s="2" t="s">
        <v>550</v>
      </c>
      <c r="G160" s="2">
        <v>0</v>
      </c>
      <c r="H160" s="2">
        <v>0</v>
      </c>
      <c r="I160" s="1">
        <v>0</v>
      </c>
      <c r="J160" s="3" t="s">
        <v>18</v>
      </c>
      <c r="K160" s="2" t="str">
        <f>J160*52012.36</f>
        <v>0</v>
      </c>
      <c r="L160" s="5"/>
    </row>
    <row r="161" spans="1:12" customHeight="1" ht="105" outlineLevel="5">
      <c r="A161" s="1"/>
      <c r="B161" s="1">
        <v>873878</v>
      </c>
      <c r="C161" s="1" t="s">
        <v>551</v>
      </c>
      <c r="D161" s="1" t="s">
        <v>552</v>
      </c>
      <c r="E161" s="2" t="s">
        <v>553</v>
      </c>
      <c r="F161" s="2" t="s">
        <v>554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J161*55238.04</f>
        <v>0</v>
      </c>
      <c r="L161" s="5"/>
    </row>
    <row r="162" spans="1:12" outlineLevel="3">
      <c r="A162" s="9" t="s">
        <v>555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5"/>
    </row>
    <row r="163" spans="1:12" customHeight="1" ht="105" outlineLevel="5">
      <c r="A163" s="1"/>
      <c r="B163" s="1">
        <v>873840</v>
      </c>
      <c r="C163" s="1" t="s">
        <v>556</v>
      </c>
      <c r="D163" s="1" t="s">
        <v>557</v>
      </c>
      <c r="E163" s="2" t="s">
        <v>558</v>
      </c>
      <c r="F163" s="2" t="s">
        <v>559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J163*55213.09</f>
        <v>0</v>
      </c>
      <c r="L163" s="5"/>
    </row>
    <row r="164" spans="1:12" customHeight="1" ht="105" outlineLevel="5">
      <c r="A164" s="1"/>
      <c r="B164" s="1">
        <v>873841</v>
      </c>
      <c r="C164" s="1" t="s">
        <v>560</v>
      </c>
      <c r="D164" s="1" t="s">
        <v>561</v>
      </c>
      <c r="E164" s="2" t="s">
        <v>562</v>
      </c>
      <c r="F164" s="2" t="s">
        <v>563</v>
      </c>
      <c r="G164" s="2">
        <v>0</v>
      </c>
      <c r="H164" s="2">
        <v>0</v>
      </c>
      <c r="I164" s="1">
        <v>0</v>
      </c>
      <c r="J164" s="3" t="s">
        <v>18</v>
      </c>
      <c r="K164" s="2" t="str">
        <f>J164*58750.76</f>
        <v>0</v>
      </c>
      <c r="L164" s="5"/>
    </row>
    <row r="165" spans="1:12" customHeight="1" ht="105" outlineLevel="5">
      <c r="A165" s="1"/>
      <c r="B165" s="1">
        <v>873842</v>
      </c>
      <c r="C165" s="1" t="s">
        <v>564</v>
      </c>
      <c r="D165" s="1" t="s">
        <v>565</v>
      </c>
      <c r="E165" s="2" t="s">
        <v>566</v>
      </c>
      <c r="F165" s="2" t="s">
        <v>567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J165*60264.24</f>
        <v>0</v>
      </c>
      <c r="L165" s="5"/>
    </row>
    <row r="166" spans="1:12" customHeight="1" ht="105" outlineLevel="5">
      <c r="A166" s="1"/>
      <c r="B166" s="1">
        <v>873843</v>
      </c>
      <c r="C166" s="1" t="s">
        <v>568</v>
      </c>
      <c r="D166" s="1" t="s">
        <v>569</v>
      </c>
      <c r="E166" s="2" t="s">
        <v>570</v>
      </c>
      <c r="F166" s="2" t="s">
        <v>571</v>
      </c>
      <c r="G166" s="2">
        <v>0</v>
      </c>
      <c r="H166" s="2">
        <v>0</v>
      </c>
      <c r="I166" s="1">
        <v>0</v>
      </c>
      <c r="J166" s="3" t="s">
        <v>18</v>
      </c>
      <c r="K166" s="2" t="str">
        <f>J166*77878.49</f>
        <v>0</v>
      </c>
      <c r="L166" s="5"/>
    </row>
    <row r="167" spans="1:12" customHeight="1" ht="105" outlineLevel="5">
      <c r="A167" s="1"/>
      <c r="B167" s="1">
        <v>873844</v>
      </c>
      <c r="C167" s="1" t="s">
        <v>572</v>
      </c>
      <c r="D167" s="1" t="s">
        <v>573</v>
      </c>
      <c r="E167" s="2" t="s">
        <v>574</v>
      </c>
      <c r="F167" s="2" t="s">
        <v>575</v>
      </c>
      <c r="G167" s="2">
        <v>0</v>
      </c>
      <c r="H167" s="2">
        <v>0</v>
      </c>
      <c r="I167" s="1">
        <v>0</v>
      </c>
      <c r="J167" s="3" t="s">
        <v>18</v>
      </c>
      <c r="K167" s="2" t="str">
        <f>J167*59062.83</f>
        <v>0</v>
      </c>
      <c r="L167" s="5"/>
    </row>
    <row r="168" spans="1:12" customHeight="1" ht="105" outlineLevel="5">
      <c r="A168" s="1"/>
      <c r="B168" s="1">
        <v>873845</v>
      </c>
      <c r="C168" s="1" t="s">
        <v>576</v>
      </c>
      <c r="D168" s="1" t="s">
        <v>577</v>
      </c>
      <c r="E168" s="2" t="s">
        <v>578</v>
      </c>
      <c r="F168" s="2" t="s">
        <v>579</v>
      </c>
      <c r="G168" s="2">
        <v>0</v>
      </c>
      <c r="H168" s="2">
        <v>0</v>
      </c>
      <c r="I168" s="1">
        <v>0</v>
      </c>
      <c r="J168" s="3" t="s">
        <v>18</v>
      </c>
      <c r="K168" s="2" t="str">
        <f>J168*72623.53</f>
        <v>0</v>
      </c>
      <c r="L168" s="5"/>
    </row>
    <row r="169" spans="1:12" outlineLevel="3">
      <c r="A169" s="9" t="s">
        <v>580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5"/>
    </row>
    <row r="170" spans="1:12" customHeight="1" ht="105" outlineLevel="5">
      <c r="A170" s="1"/>
      <c r="B170" s="1">
        <v>874764</v>
      </c>
      <c r="C170" s="1" t="s">
        <v>581</v>
      </c>
      <c r="D170" s="1">
        <v>3301679</v>
      </c>
      <c r="E170" s="2" t="s">
        <v>582</v>
      </c>
      <c r="F170" s="2" t="s">
        <v>583</v>
      </c>
      <c r="G170" s="2">
        <v>-1</v>
      </c>
      <c r="H170" s="2">
        <v>0</v>
      </c>
      <c r="I170" s="1">
        <v>0</v>
      </c>
      <c r="J170" s="3" t="s">
        <v>18</v>
      </c>
      <c r="K170" s="2" t="str">
        <f>J170*71117.51</f>
        <v>0</v>
      </c>
      <c r="L170" s="5"/>
    </row>
    <row r="171" spans="1:12" customHeight="1" ht="105" outlineLevel="5">
      <c r="A171" s="1"/>
      <c r="B171" s="1">
        <v>874765</v>
      </c>
      <c r="C171" s="1" t="s">
        <v>584</v>
      </c>
      <c r="D171" s="1">
        <v>3301680</v>
      </c>
      <c r="E171" s="2" t="s">
        <v>585</v>
      </c>
      <c r="F171" s="2" t="s">
        <v>586</v>
      </c>
      <c r="G171" s="2">
        <v>0</v>
      </c>
      <c r="H171" s="2">
        <v>0</v>
      </c>
      <c r="I171" s="1">
        <v>0</v>
      </c>
      <c r="J171" s="3" t="s">
        <v>18</v>
      </c>
      <c r="K171" s="2" t="str">
        <f>J171*78710.70</f>
        <v>0</v>
      </c>
      <c r="L171" s="5"/>
    </row>
    <row r="172" spans="1:12" customHeight="1" ht="105" outlineLevel="5">
      <c r="A172" s="1"/>
      <c r="B172" s="1">
        <v>874766</v>
      </c>
      <c r="C172" s="1" t="s">
        <v>587</v>
      </c>
      <c r="D172" s="1">
        <v>3301681</v>
      </c>
      <c r="E172" s="2" t="s">
        <v>588</v>
      </c>
      <c r="F172" s="2" t="s">
        <v>589</v>
      </c>
      <c r="G172" s="2">
        <v>0</v>
      </c>
      <c r="H172" s="2">
        <v>0</v>
      </c>
      <c r="I172" s="1">
        <v>0</v>
      </c>
      <c r="J172" s="3" t="s">
        <v>18</v>
      </c>
      <c r="K172" s="2" t="str">
        <f>J172*83095.39</f>
        <v>0</v>
      </c>
      <c r="L172" s="5"/>
    </row>
    <row r="173" spans="1:12" customHeight="1" ht="105" outlineLevel="5">
      <c r="A173" s="1"/>
      <c r="B173" s="1">
        <v>874767</v>
      </c>
      <c r="C173" s="1" t="s">
        <v>590</v>
      </c>
      <c r="D173" s="1">
        <v>3301039</v>
      </c>
      <c r="E173" s="2" t="s">
        <v>591</v>
      </c>
      <c r="F173" s="2" t="s">
        <v>592</v>
      </c>
      <c r="G173" s="2">
        <v>0</v>
      </c>
      <c r="H173" s="2">
        <v>0</v>
      </c>
      <c r="I173" s="1">
        <v>0</v>
      </c>
      <c r="J173" s="3" t="s">
        <v>18</v>
      </c>
      <c r="K173" s="2" t="str">
        <f>J173*89726.13</f>
        <v>0</v>
      </c>
      <c r="L173" s="5"/>
    </row>
    <row r="174" spans="1:12" customHeight="1" ht="105" outlineLevel="5">
      <c r="A174" s="1"/>
      <c r="B174" s="1">
        <v>874768</v>
      </c>
      <c r="C174" s="1" t="s">
        <v>593</v>
      </c>
      <c r="D174" s="1">
        <v>3301040</v>
      </c>
      <c r="E174" s="2" t="s">
        <v>594</v>
      </c>
      <c r="F174" s="2" t="s">
        <v>148</v>
      </c>
      <c r="G174" s="2">
        <v>0</v>
      </c>
      <c r="H174" s="2">
        <v>0</v>
      </c>
      <c r="I174" s="1">
        <v>0</v>
      </c>
      <c r="J174" s="3" t="s">
        <v>18</v>
      </c>
      <c r="K174" s="2" t="str">
        <f>J174*0.00</f>
        <v>0</v>
      </c>
      <c r="L174" s="5"/>
    </row>
    <row r="175" spans="1:12" customHeight="1" ht="105" outlineLevel="5">
      <c r="A175" s="1"/>
      <c r="B175" s="1">
        <v>874769</v>
      </c>
      <c r="C175" s="1" t="s">
        <v>595</v>
      </c>
      <c r="D175" s="1">
        <v>3301041</v>
      </c>
      <c r="E175" s="2" t="s">
        <v>596</v>
      </c>
      <c r="F175" s="2" t="s">
        <v>597</v>
      </c>
      <c r="G175" s="2">
        <v>0</v>
      </c>
      <c r="H175" s="2">
        <v>0</v>
      </c>
      <c r="I175" s="1">
        <v>0</v>
      </c>
      <c r="J175" s="3" t="s">
        <v>18</v>
      </c>
      <c r="K175" s="2" t="str">
        <f>J175*98731.39</f>
        <v>0</v>
      </c>
      <c r="L175" s="5"/>
    </row>
    <row r="176" spans="1:12" customHeight="1" ht="105" outlineLevel="5">
      <c r="A176" s="1"/>
      <c r="B176" s="1">
        <v>874770</v>
      </c>
      <c r="C176" s="1" t="s">
        <v>598</v>
      </c>
      <c r="D176" s="1">
        <v>3301027</v>
      </c>
      <c r="E176" s="2" t="s">
        <v>599</v>
      </c>
      <c r="F176" s="2" t="s">
        <v>600</v>
      </c>
      <c r="G176" s="2">
        <v>0</v>
      </c>
      <c r="H176" s="2">
        <v>0</v>
      </c>
      <c r="I176" s="1">
        <v>0</v>
      </c>
      <c r="J176" s="3" t="s">
        <v>18</v>
      </c>
      <c r="K176" s="2" t="str">
        <f>J176*97777.37</f>
        <v>0</v>
      </c>
      <c r="L176" s="5"/>
    </row>
    <row r="177" spans="1:12" customHeight="1" ht="105" outlineLevel="5">
      <c r="A177" s="1"/>
      <c r="B177" s="1">
        <v>874771</v>
      </c>
      <c r="C177" s="1" t="s">
        <v>601</v>
      </c>
      <c r="D177" s="1">
        <v>3301028</v>
      </c>
      <c r="E177" s="2" t="s">
        <v>602</v>
      </c>
      <c r="F177" s="2" t="s">
        <v>603</v>
      </c>
      <c r="G177" s="2">
        <v>0</v>
      </c>
      <c r="H177" s="2">
        <v>0</v>
      </c>
      <c r="I177" s="1">
        <v>0</v>
      </c>
      <c r="J177" s="3" t="s">
        <v>18</v>
      </c>
      <c r="K177" s="2" t="str">
        <f>J177*102650.65</f>
        <v>0</v>
      </c>
      <c r="L177" s="5"/>
    </row>
    <row r="178" spans="1:12" customHeight="1" ht="105" outlineLevel="5">
      <c r="A178" s="1"/>
      <c r="B178" s="1">
        <v>874772</v>
      </c>
      <c r="C178" s="1" t="s">
        <v>604</v>
      </c>
      <c r="D178" s="1">
        <v>3301029</v>
      </c>
      <c r="E178" s="2" t="s">
        <v>605</v>
      </c>
      <c r="F178" s="2" t="s">
        <v>606</v>
      </c>
      <c r="G178" s="2">
        <v>0</v>
      </c>
      <c r="H178" s="2">
        <v>0</v>
      </c>
      <c r="I178" s="1">
        <v>0</v>
      </c>
      <c r="J178" s="3" t="s">
        <v>18</v>
      </c>
      <c r="K178" s="2" t="str">
        <f>J178*107523.94</f>
        <v>0</v>
      </c>
      <c r="L178" s="5"/>
    </row>
    <row r="179" spans="1:12" customHeight="1" ht="105" outlineLevel="5">
      <c r="A179" s="1"/>
      <c r="B179" s="1">
        <v>874773</v>
      </c>
      <c r="C179" s="1" t="s">
        <v>607</v>
      </c>
      <c r="D179" s="1">
        <v>3301684</v>
      </c>
      <c r="E179" s="2" t="s">
        <v>608</v>
      </c>
      <c r="F179" s="2" t="s">
        <v>609</v>
      </c>
      <c r="G179" s="2">
        <v>0</v>
      </c>
      <c r="H179" s="2">
        <v>0</v>
      </c>
      <c r="I179" s="1">
        <v>0</v>
      </c>
      <c r="J179" s="3" t="s">
        <v>18</v>
      </c>
      <c r="K179" s="2" t="str">
        <f>J179*58070.84</f>
        <v>0</v>
      </c>
      <c r="L179" s="5"/>
    </row>
    <row r="180" spans="1:12" customHeight="1" ht="105" outlineLevel="5">
      <c r="A180" s="1"/>
      <c r="B180" s="1">
        <v>874774</v>
      </c>
      <c r="C180" s="1" t="s">
        <v>610</v>
      </c>
      <c r="D180" s="1">
        <v>3301682</v>
      </c>
      <c r="E180" s="2" t="s">
        <v>611</v>
      </c>
      <c r="F180" s="2" t="s">
        <v>612</v>
      </c>
      <c r="G180" s="2">
        <v>0</v>
      </c>
      <c r="H180" s="2">
        <v>0</v>
      </c>
      <c r="I180" s="1">
        <v>0</v>
      </c>
      <c r="J180" s="3" t="s">
        <v>18</v>
      </c>
      <c r="K180" s="2" t="str">
        <f>J180*58319.35</f>
        <v>0</v>
      </c>
      <c r="L180" s="5"/>
    </row>
    <row r="181" spans="1:12" customHeight="1" ht="105" outlineLevel="5">
      <c r="A181" s="1"/>
      <c r="B181" s="1">
        <v>874775</v>
      </c>
      <c r="C181" s="1" t="s">
        <v>613</v>
      </c>
      <c r="D181" s="1">
        <v>3301670</v>
      </c>
      <c r="E181" s="2" t="s">
        <v>614</v>
      </c>
      <c r="F181" s="2" t="s">
        <v>615</v>
      </c>
      <c r="G181" s="2">
        <v>0</v>
      </c>
      <c r="H181" s="2">
        <v>0</v>
      </c>
      <c r="I181" s="1">
        <v>0</v>
      </c>
      <c r="J181" s="3" t="s">
        <v>18</v>
      </c>
      <c r="K181" s="2" t="str">
        <f>J181*100420.40</f>
        <v>0</v>
      </c>
      <c r="L181" s="5"/>
    </row>
    <row r="182" spans="1:12" customHeight="1" ht="105" outlineLevel="5">
      <c r="A182" s="1"/>
      <c r="B182" s="1">
        <v>874776</v>
      </c>
      <c r="C182" s="1" t="s">
        <v>616</v>
      </c>
      <c r="D182" s="1">
        <v>3301671</v>
      </c>
      <c r="E182" s="2" t="s">
        <v>617</v>
      </c>
      <c r="F182" s="2" t="s">
        <v>618</v>
      </c>
      <c r="G182" s="2">
        <v>0</v>
      </c>
      <c r="H182" s="2">
        <v>0</v>
      </c>
      <c r="I182" s="1">
        <v>0</v>
      </c>
      <c r="J182" s="3" t="s">
        <v>18</v>
      </c>
      <c r="K182" s="2" t="str">
        <f>J182*111007.26</f>
        <v>0</v>
      </c>
      <c r="L182" s="5"/>
    </row>
    <row r="183" spans="1:12" customHeight="1" ht="105" outlineLevel="5">
      <c r="A183" s="1"/>
      <c r="B183" s="1">
        <v>874777</v>
      </c>
      <c r="C183" s="1" t="s">
        <v>619</v>
      </c>
      <c r="D183" s="1">
        <v>3301672</v>
      </c>
      <c r="E183" s="2" t="s">
        <v>620</v>
      </c>
      <c r="F183" s="2" t="s">
        <v>621</v>
      </c>
      <c r="G183" s="2">
        <v>0</v>
      </c>
      <c r="H183" s="2">
        <v>0</v>
      </c>
      <c r="I183" s="1">
        <v>0</v>
      </c>
      <c r="J183" s="3" t="s">
        <v>18</v>
      </c>
      <c r="K183" s="2" t="str">
        <f>J183*120739.09</f>
        <v>0</v>
      </c>
      <c r="L183" s="5"/>
    </row>
    <row r="184" spans="1:12" outlineLevel="3">
      <c r="A184" s="9" t="s">
        <v>622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5"/>
    </row>
    <row r="185" spans="1:12" customHeight="1" ht="105" outlineLevel="5">
      <c r="A185" s="1"/>
      <c r="B185" s="1">
        <v>885079</v>
      </c>
      <c r="C185" s="1" t="s">
        <v>623</v>
      </c>
      <c r="D185" s="1" t="s">
        <v>624</v>
      </c>
      <c r="E185" s="2" t="s">
        <v>625</v>
      </c>
      <c r="F185" s="2" t="s">
        <v>626</v>
      </c>
      <c r="G185" s="2">
        <v>0</v>
      </c>
      <c r="H185" s="2">
        <v>0</v>
      </c>
      <c r="I185" s="1">
        <v>0</v>
      </c>
      <c r="J185" s="3" t="s">
        <v>18</v>
      </c>
      <c r="K185" s="2" t="str">
        <f>J185*59934.71</f>
        <v>0</v>
      </c>
      <c r="L185" s="5"/>
    </row>
    <row r="186" spans="1:12" customHeight="1" ht="105" outlineLevel="5">
      <c r="A186" s="1"/>
      <c r="B186" s="1">
        <v>885080</v>
      </c>
      <c r="C186" s="1" t="s">
        <v>627</v>
      </c>
      <c r="D186" s="1" t="s">
        <v>628</v>
      </c>
      <c r="E186" s="2" t="s">
        <v>629</v>
      </c>
      <c r="F186" s="2" t="s">
        <v>626</v>
      </c>
      <c r="G186" s="2">
        <v>0</v>
      </c>
      <c r="H186" s="2">
        <v>0</v>
      </c>
      <c r="I186" s="1">
        <v>0</v>
      </c>
      <c r="J186" s="3" t="s">
        <v>18</v>
      </c>
      <c r="K186" s="2" t="str">
        <f>J186*59934.71</f>
        <v>0</v>
      </c>
      <c r="L186" s="5"/>
    </row>
    <row r="187" spans="1:12" customHeight="1" ht="105" outlineLevel="5">
      <c r="A187" s="1"/>
      <c r="B187" s="1">
        <v>885081</v>
      </c>
      <c r="C187" s="1" t="s">
        <v>630</v>
      </c>
      <c r="D187" s="1" t="s">
        <v>631</v>
      </c>
      <c r="E187" s="2" t="s">
        <v>632</v>
      </c>
      <c r="F187" s="2" t="s">
        <v>633</v>
      </c>
      <c r="G187" s="2">
        <v>0</v>
      </c>
      <c r="H187" s="2">
        <v>0</v>
      </c>
      <c r="I187" s="1">
        <v>0</v>
      </c>
      <c r="J187" s="3" t="s">
        <v>18</v>
      </c>
      <c r="K187" s="2" t="str">
        <f>J187*59677.71</f>
        <v>0</v>
      </c>
      <c r="L187" s="5"/>
    </row>
    <row r="188" spans="1:12" customHeight="1" ht="105" outlineLevel="5">
      <c r="A188" s="1"/>
      <c r="B188" s="1">
        <v>885082</v>
      </c>
      <c r="C188" s="1" t="s">
        <v>634</v>
      </c>
      <c r="D188" s="1" t="s">
        <v>635</v>
      </c>
      <c r="E188" s="2" t="s">
        <v>636</v>
      </c>
      <c r="F188" s="2" t="s">
        <v>637</v>
      </c>
      <c r="G188" s="2">
        <v>0</v>
      </c>
      <c r="H188" s="2">
        <v>0</v>
      </c>
      <c r="I188" s="1">
        <v>0</v>
      </c>
      <c r="J188" s="3" t="s">
        <v>18</v>
      </c>
      <c r="K188" s="2" t="str">
        <f>J188*66324.22</f>
        <v>0</v>
      </c>
      <c r="L188" s="5"/>
    </row>
    <row r="189" spans="1:12" customHeight="1" ht="105" outlineLevel="5">
      <c r="A189" s="1"/>
      <c r="B189" s="1">
        <v>885083</v>
      </c>
      <c r="C189" s="1" t="s">
        <v>638</v>
      </c>
      <c r="D189" s="1" t="s">
        <v>639</v>
      </c>
      <c r="E189" s="2" t="s">
        <v>640</v>
      </c>
      <c r="F189" s="2" t="s">
        <v>641</v>
      </c>
      <c r="G189" s="2">
        <v>0</v>
      </c>
      <c r="H189" s="2">
        <v>0</v>
      </c>
      <c r="I189" s="1">
        <v>0</v>
      </c>
      <c r="J189" s="3" t="s">
        <v>18</v>
      </c>
      <c r="K189" s="2" t="str">
        <f>J189*68740.99</f>
        <v>0</v>
      </c>
      <c r="L189" s="5"/>
    </row>
    <row r="190" spans="1:12" outlineLevel="2">
      <c r="A190" s="8" t="s">
        <v>642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5"/>
    </row>
    <row r="191" spans="1:12" outlineLevel="3">
      <c r="A191" s="9" t="s">
        <v>643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5"/>
    </row>
    <row r="192" spans="1:12" customHeight="1" ht="105" outlineLevel="5">
      <c r="A192" s="1"/>
      <c r="B192" s="1">
        <v>873860</v>
      </c>
      <c r="C192" s="1" t="s">
        <v>644</v>
      </c>
      <c r="D192" s="1" t="s">
        <v>645</v>
      </c>
      <c r="E192" s="2" t="s">
        <v>646</v>
      </c>
      <c r="F192" s="2" t="s">
        <v>647</v>
      </c>
      <c r="G192" s="2">
        <v>0</v>
      </c>
      <c r="H192" s="2">
        <v>0</v>
      </c>
      <c r="I192" s="1">
        <v>0</v>
      </c>
      <c r="J192" s="3" t="s">
        <v>18</v>
      </c>
      <c r="K192" s="2" t="str">
        <f>J192*42130.85</f>
        <v>0</v>
      </c>
      <c r="L192" s="5"/>
    </row>
    <row r="193" spans="1:12" customHeight="1" ht="105" outlineLevel="5">
      <c r="A193" s="1"/>
      <c r="B193" s="1">
        <v>873861</v>
      </c>
      <c r="C193" s="1" t="s">
        <v>648</v>
      </c>
      <c r="D193" s="1" t="s">
        <v>649</v>
      </c>
      <c r="E193" s="2" t="s">
        <v>650</v>
      </c>
      <c r="F193" s="2" t="s">
        <v>651</v>
      </c>
      <c r="G193" s="2">
        <v>0</v>
      </c>
      <c r="H193" s="2">
        <v>0</v>
      </c>
      <c r="I193" s="1">
        <v>0</v>
      </c>
      <c r="J193" s="3" t="s">
        <v>18</v>
      </c>
      <c r="K193" s="2" t="str">
        <f>J193*43624.43</f>
        <v>0</v>
      </c>
      <c r="L193" s="5"/>
    </row>
    <row r="194" spans="1:12" customHeight="1" ht="105" outlineLevel="5">
      <c r="A194" s="1"/>
      <c r="B194" s="1">
        <v>873862</v>
      </c>
      <c r="C194" s="1" t="s">
        <v>652</v>
      </c>
      <c r="D194" s="1" t="s">
        <v>653</v>
      </c>
      <c r="E194" s="2" t="s">
        <v>654</v>
      </c>
      <c r="F194" s="2" t="s">
        <v>655</v>
      </c>
      <c r="G194" s="2">
        <v>-1</v>
      </c>
      <c r="H194" s="2">
        <v>0</v>
      </c>
      <c r="I194" s="1">
        <v>0</v>
      </c>
      <c r="J194" s="3" t="s">
        <v>18</v>
      </c>
      <c r="K194" s="2" t="str">
        <f>J194*45034.37</f>
        <v>0</v>
      </c>
      <c r="L194" s="5"/>
    </row>
    <row r="195" spans="1:12" customHeight="1" ht="105" outlineLevel="5">
      <c r="A195" s="1"/>
      <c r="B195" s="1">
        <v>873863</v>
      </c>
      <c r="C195" s="1" t="s">
        <v>656</v>
      </c>
      <c r="D195" s="1" t="s">
        <v>657</v>
      </c>
      <c r="E195" s="2" t="s">
        <v>658</v>
      </c>
      <c r="F195" s="2" t="s">
        <v>659</v>
      </c>
      <c r="G195" s="2">
        <v>0</v>
      </c>
      <c r="H195" s="2">
        <v>0</v>
      </c>
      <c r="I195" s="1">
        <v>0</v>
      </c>
      <c r="J195" s="3" t="s">
        <v>18</v>
      </c>
      <c r="K195" s="2" t="str">
        <f>J195*46527.95</f>
        <v>0</v>
      </c>
      <c r="L195" s="5"/>
    </row>
    <row r="196" spans="1:12" customHeight="1" ht="105" outlineLevel="5">
      <c r="A196" s="1"/>
      <c r="B196" s="1">
        <v>873864</v>
      </c>
      <c r="C196" s="1" t="s">
        <v>660</v>
      </c>
      <c r="D196" s="1" t="s">
        <v>661</v>
      </c>
      <c r="E196" s="2" t="s">
        <v>662</v>
      </c>
      <c r="F196" s="2" t="s">
        <v>663</v>
      </c>
      <c r="G196" s="2">
        <v>0</v>
      </c>
      <c r="H196" s="2">
        <v>0</v>
      </c>
      <c r="I196" s="1">
        <v>0</v>
      </c>
      <c r="J196" s="3" t="s">
        <v>18</v>
      </c>
      <c r="K196" s="2" t="str">
        <f>J196*48021.52</f>
        <v>0</v>
      </c>
      <c r="L196" s="5"/>
    </row>
    <row r="197" spans="1:12" customHeight="1" ht="105" outlineLevel="5">
      <c r="A197" s="1"/>
      <c r="B197" s="1">
        <v>873865</v>
      </c>
      <c r="C197" s="1" t="s">
        <v>664</v>
      </c>
      <c r="D197" s="1" t="s">
        <v>665</v>
      </c>
      <c r="E197" s="2" t="s">
        <v>666</v>
      </c>
      <c r="F197" s="2" t="s">
        <v>667</v>
      </c>
      <c r="G197" s="2">
        <v>0</v>
      </c>
      <c r="H197" s="2">
        <v>0</v>
      </c>
      <c r="I197" s="1">
        <v>0</v>
      </c>
      <c r="J197" s="3" t="s">
        <v>18</v>
      </c>
      <c r="K197" s="2" t="str">
        <f>J197*49311.98</f>
        <v>0</v>
      </c>
      <c r="L197" s="5"/>
    </row>
    <row r="198" spans="1:12" customHeight="1" ht="105" outlineLevel="5">
      <c r="A198" s="1"/>
      <c r="B198" s="1">
        <v>873866</v>
      </c>
      <c r="C198" s="1" t="s">
        <v>668</v>
      </c>
      <c r="D198" s="1" t="s">
        <v>669</v>
      </c>
      <c r="E198" s="2" t="s">
        <v>670</v>
      </c>
      <c r="F198" s="2" t="s">
        <v>671</v>
      </c>
      <c r="G198" s="2">
        <v>0</v>
      </c>
      <c r="H198" s="2">
        <v>0</v>
      </c>
      <c r="I198" s="1">
        <v>0</v>
      </c>
      <c r="J198" s="3" t="s">
        <v>18</v>
      </c>
      <c r="K198" s="2" t="str">
        <f>J198*51032.58</f>
        <v>0</v>
      </c>
      <c r="L198" s="5"/>
    </row>
    <row r="199" spans="1:12" outlineLevel="3">
      <c r="A199" s="9" t="s">
        <v>672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5"/>
    </row>
    <row r="200" spans="1:12" customHeight="1" ht="105" outlineLevel="5">
      <c r="A200" s="1"/>
      <c r="B200" s="1">
        <v>873846</v>
      </c>
      <c r="C200" s="1" t="s">
        <v>673</v>
      </c>
      <c r="D200" s="1" t="s">
        <v>674</v>
      </c>
      <c r="E200" s="2" t="s">
        <v>675</v>
      </c>
      <c r="F200" s="2" t="s">
        <v>676</v>
      </c>
      <c r="G200" s="2">
        <v>0</v>
      </c>
      <c r="H200" s="2">
        <v>0</v>
      </c>
      <c r="I200" s="1">
        <v>0</v>
      </c>
      <c r="J200" s="3" t="s">
        <v>18</v>
      </c>
      <c r="K200" s="2" t="str">
        <f>J200*48345.40</f>
        <v>0</v>
      </c>
      <c r="L200" s="5"/>
    </row>
    <row r="201" spans="1:12" customHeight="1" ht="105" outlineLevel="5">
      <c r="A201" s="1"/>
      <c r="B201" s="1">
        <v>873847</v>
      </c>
      <c r="C201" s="1" t="s">
        <v>677</v>
      </c>
      <c r="D201" s="1" t="s">
        <v>678</v>
      </c>
      <c r="E201" s="2" t="s">
        <v>679</v>
      </c>
      <c r="F201" s="2" t="s">
        <v>680</v>
      </c>
      <c r="G201" s="2">
        <v>0</v>
      </c>
      <c r="H201" s="2">
        <v>0</v>
      </c>
      <c r="I201" s="1">
        <v>0</v>
      </c>
      <c r="J201" s="3" t="s">
        <v>18</v>
      </c>
      <c r="K201" s="2" t="str">
        <f>J201*49829.30</f>
        <v>0</v>
      </c>
      <c r="L201" s="5"/>
    </row>
    <row r="202" spans="1:12" customHeight="1" ht="105" outlineLevel="5">
      <c r="A202" s="1"/>
      <c r="B202" s="1">
        <v>873848</v>
      </c>
      <c r="C202" s="1" t="s">
        <v>681</v>
      </c>
      <c r="D202" s="1" t="s">
        <v>682</v>
      </c>
      <c r="E202" s="2" t="s">
        <v>683</v>
      </c>
      <c r="F202" s="2" t="s">
        <v>684</v>
      </c>
      <c r="G202" s="2">
        <v>0</v>
      </c>
      <c r="H202" s="2">
        <v>0</v>
      </c>
      <c r="I202" s="1">
        <v>0</v>
      </c>
      <c r="J202" s="3" t="s">
        <v>18</v>
      </c>
      <c r="K202" s="2" t="str">
        <f>J202*50108.91</f>
        <v>0</v>
      </c>
      <c r="L202" s="5"/>
    </row>
    <row r="203" spans="1:12" customHeight="1" ht="105" outlineLevel="5">
      <c r="A203" s="1"/>
      <c r="B203" s="1">
        <v>873849</v>
      </c>
      <c r="C203" s="1" t="s">
        <v>685</v>
      </c>
      <c r="D203" s="1" t="s">
        <v>686</v>
      </c>
      <c r="E203" s="2" t="s">
        <v>687</v>
      </c>
      <c r="F203" s="2" t="s">
        <v>688</v>
      </c>
      <c r="G203" s="2">
        <v>0</v>
      </c>
      <c r="H203" s="2">
        <v>0</v>
      </c>
      <c r="I203" s="1">
        <v>0</v>
      </c>
      <c r="J203" s="3" t="s">
        <v>18</v>
      </c>
      <c r="K203" s="2" t="str">
        <f>J203*55506.34</f>
        <v>0</v>
      </c>
      <c r="L203" s="5"/>
    </row>
    <row r="204" spans="1:12" customHeight="1" ht="105" outlineLevel="5">
      <c r="A204" s="1"/>
      <c r="B204" s="1">
        <v>873850</v>
      </c>
      <c r="C204" s="1" t="s">
        <v>689</v>
      </c>
      <c r="D204" s="1" t="s">
        <v>690</v>
      </c>
      <c r="E204" s="2" t="s">
        <v>691</v>
      </c>
      <c r="F204" s="2" t="s">
        <v>692</v>
      </c>
      <c r="G204" s="2">
        <v>0</v>
      </c>
      <c r="H204" s="2">
        <v>0</v>
      </c>
      <c r="I204" s="1">
        <v>0</v>
      </c>
      <c r="J204" s="3" t="s">
        <v>18</v>
      </c>
      <c r="K204" s="2" t="str">
        <f>J204*55721.48</f>
        <v>0</v>
      </c>
      <c r="L204" s="5"/>
    </row>
    <row r="205" spans="1:12" customHeight="1" ht="105" outlineLevel="5">
      <c r="A205" s="1"/>
      <c r="B205" s="1">
        <v>873851</v>
      </c>
      <c r="C205" s="1" t="s">
        <v>693</v>
      </c>
      <c r="D205" s="1" t="s">
        <v>694</v>
      </c>
      <c r="E205" s="2" t="s">
        <v>695</v>
      </c>
      <c r="F205" s="2" t="s">
        <v>692</v>
      </c>
      <c r="G205" s="2">
        <v>0</v>
      </c>
      <c r="H205" s="2">
        <v>0</v>
      </c>
      <c r="I205" s="1">
        <v>0</v>
      </c>
      <c r="J205" s="3" t="s">
        <v>18</v>
      </c>
      <c r="K205" s="2" t="str">
        <f>J205*55721.48</f>
        <v>0</v>
      </c>
      <c r="L205" s="5"/>
    </row>
    <row r="206" spans="1:12" customHeight="1" ht="105" outlineLevel="5">
      <c r="A206" s="1"/>
      <c r="B206" s="1">
        <v>873852</v>
      </c>
      <c r="C206" s="1" t="s">
        <v>696</v>
      </c>
      <c r="D206" s="1" t="s">
        <v>697</v>
      </c>
      <c r="E206" s="2" t="s">
        <v>698</v>
      </c>
      <c r="F206" s="2" t="s">
        <v>699</v>
      </c>
      <c r="G206" s="2">
        <v>0</v>
      </c>
      <c r="H206" s="2">
        <v>0</v>
      </c>
      <c r="I206" s="1">
        <v>0</v>
      </c>
      <c r="J206" s="3" t="s">
        <v>18</v>
      </c>
      <c r="K206" s="2" t="str">
        <f>J206*58753.41</f>
        <v>0</v>
      </c>
      <c r="L206" s="5"/>
    </row>
    <row r="207" spans="1:12" outlineLevel="3">
      <c r="A207" s="9" t="s">
        <v>700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5"/>
    </row>
    <row r="208" spans="1:12" customHeight="1" ht="105" outlineLevel="5">
      <c r="A208" s="1"/>
      <c r="B208" s="1">
        <v>873797</v>
      </c>
      <c r="C208" s="1" t="s">
        <v>701</v>
      </c>
      <c r="D208" s="1" t="s">
        <v>702</v>
      </c>
      <c r="E208" s="2" t="s">
        <v>703</v>
      </c>
      <c r="F208" s="2" t="s">
        <v>704</v>
      </c>
      <c r="G208" s="2">
        <v>2</v>
      </c>
      <c r="H208" s="2">
        <v>0</v>
      </c>
      <c r="I208" s="1">
        <v>0</v>
      </c>
      <c r="J208" s="3" t="s">
        <v>18</v>
      </c>
      <c r="K208" s="2" t="str">
        <f>J208*42818.04</f>
        <v>0</v>
      </c>
      <c r="L208" s="5"/>
    </row>
    <row r="209" spans="1:12" customHeight="1" ht="105" outlineLevel="5">
      <c r="A209" s="1"/>
      <c r="B209" s="1">
        <v>873799</v>
      </c>
      <c r="C209" s="1" t="s">
        <v>705</v>
      </c>
      <c r="D209" s="1" t="s">
        <v>706</v>
      </c>
      <c r="E209" s="2" t="s">
        <v>707</v>
      </c>
      <c r="F209" s="2" t="s">
        <v>708</v>
      </c>
      <c r="G209" s="2">
        <v>0</v>
      </c>
      <c r="H209" s="2">
        <v>0</v>
      </c>
      <c r="I209" s="1">
        <v>0</v>
      </c>
      <c r="J209" s="3" t="s">
        <v>18</v>
      </c>
      <c r="K209" s="2" t="str">
        <f>J209*38834.04</f>
        <v>0</v>
      </c>
      <c r="L209" s="5"/>
    </row>
    <row r="210" spans="1:12" customHeight="1" ht="105" outlineLevel="5">
      <c r="A210" s="1"/>
      <c r="B210" s="1">
        <v>873801</v>
      </c>
      <c r="C210" s="1" t="s">
        <v>709</v>
      </c>
      <c r="D210" s="1" t="s">
        <v>710</v>
      </c>
      <c r="E210" s="2" t="s">
        <v>711</v>
      </c>
      <c r="F210" s="2" t="s">
        <v>712</v>
      </c>
      <c r="G210" s="2">
        <v>1</v>
      </c>
      <c r="H210" s="2">
        <v>0</v>
      </c>
      <c r="I210" s="1">
        <v>0</v>
      </c>
      <c r="J210" s="3" t="s">
        <v>18</v>
      </c>
      <c r="K210" s="2" t="str">
        <f>J210*2081.64</f>
        <v>0</v>
      </c>
      <c r="L210" s="5"/>
    </row>
    <row r="211" spans="1:12" customHeight="1" ht="105" outlineLevel="5">
      <c r="A211" s="1"/>
      <c r="B211" s="1">
        <v>954231</v>
      </c>
      <c r="C211" s="1" t="s">
        <v>713</v>
      </c>
      <c r="D211" s="1" t="s">
        <v>714</v>
      </c>
      <c r="E211" s="2" t="s">
        <v>715</v>
      </c>
      <c r="F211" s="2"/>
      <c r="G211" s="2">
        <v>0</v>
      </c>
      <c r="H211" s="2">
        <v>0</v>
      </c>
      <c r="I211" s="1">
        <v>0</v>
      </c>
      <c r="J211" s="3" t="s">
        <v>18</v>
      </c>
      <c r="K211" s="2" t="str">
        <f>J211*0</f>
        <v>0</v>
      </c>
      <c r="L211" s="5"/>
    </row>
    <row r="212" spans="1:12" outlineLevel="3">
      <c r="A212" s="9" t="s">
        <v>716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5"/>
    </row>
    <row r="213" spans="1:12" customHeight="1" ht="105" outlineLevel="5">
      <c r="A213" s="1"/>
      <c r="B213" s="1">
        <v>874778</v>
      </c>
      <c r="C213" s="1" t="s">
        <v>717</v>
      </c>
      <c r="D213" s="1">
        <v>10023646</v>
      </c>
      <c r="E213" s="2" t="s">
        <v>718</v>
      </c>
      <c r="F213" s="2" t="s">
        <v>719</v>
      </c>
      <c r="G213" s="2">
        <v>0</v>
      </c>
      <c r="H213" s="2">
        <v>0</v>
      </c>
      <c r="I213" s="1">
        <v>0</v>
      </c>
      <c r="J213" s="3" t="s">
        <v>18</v>
      </c>
      <c r="K213" s="2" t="str">
        <f>J213*82246.40</f>
        <v>0</v>
      </c>
      <c r="L213" s="5"/>
    </row>
    <row r="214" spans="1:12" customHeight="1" ht="105" outlineLevel="5">
      <c r="A214" s="1"/>
      <c r="B214" s="1">
        <v>874779</v>
      </c>
      <c r="C214" s="1" t="s">
        <v>720</v>
      </c>
      <c r="D214" s="1">
        <v>10023647</v>
      </c>
      <c r="E214" s="2" t="s">
        <v>721</v>
      </c>
      <c r="F214" s="2" t="s">
        <v>722</v>
      </c>
      <c r="G214" s="2">
        <v>0</v>
      </c>
      <c r="H214" s="2">
        <v>0</v>
      </c>
      <c r="I214" s="1">
        <v>0</v>
      </c>
      <c r="J214" s="3" t="s">
        <v>18</v>
      </c>
      <c r="K214" s="2" t="str">
        <f>J214*83072.00</f>
        <v>0</v>
      </c>
      <c r="L214" s="5"/>
    </row>
    <row r="215" spans="1:12" customHeight="1" ht="105" outlineLevel="5">
      <c r="A215" s="1"/>
      <c r="B215" s="1">
        <v>874780</v>
      </c>
      <c r="C215" s="1" t="s">
        <v>723</v>
      </c>
      <c r="D215" s="1">
        <v>10023648</v>
      </c>
      <c r="E215" s="2" t="s">
        <v>724</v>
      </c>
      <c r="F215" s="2" t="s">
        <v>725</v>
      </c>
      <c r="G215" s="2">
        <v>0</v>
      </c>
      <c r="H215" s="2">
        <v>0</v>
      </c>
      <c r="I215" s="1">
        <v>0</v>
      </c>
      <c r="J215" s="3" t="s">
        <v>18</v>
      </c>
      <c r="K215" s="2" t="str">
        <f>J215*84352.00</f>
        <v>0</v>
      </c>
      <c r="L215" s="5"/>
    </row>
    <row r="216" spans="1:12" customHeight="1" ht="105" outlineLevel="5">
      <c r="A216" s="1"/>
      <c r="B216" s="1">
        <v>874781</v>
      </c>
      <c r="C216" s="1" t="s">
        <v>726</v>
      </c>
      <c r="D216" s="1">
        <v>10023649</v>
      </c>
      <c r="E216" s="2" t="s">
        <v>727</v>
      </c>
      <c r="F216" s="2" t="s">
        <v>728</v>
      </c>
      <c r="G216" s="2">
        <v>0</v>
      </c>
      <c r="H216" s="2">
        <v>0</v>
      </c>
      <c r="I216" s="1">
        <v>0</v>
      </c>
      <c r="J216" s="3" t="s">
        <v>18</v>
      </c>
      <c r="K216" s="2" t="str">
        <f>J216*89280.00</f>
        <v>0</v>
      </c>
      <c r="L216" s="5"/>
    </row>
    <row r="217" spans="1:12" customHeight="1" ht="105" outlineLevel="5">
      <c r="A217" s="1"/>
      <c r="B217" s="1">
        <v>874782</v>
      </c>
      <c r="C217" s="1" t="s">
        <v>729</v>
      </c>
      <c r="D217" s="1">
        <v>10023650</v>
      </c>
      <c r="E217" s="2" t="s">
        <v>730</v>
      </c>
      <c r="F217" s="2" t="s">
        <v>731</v>
      </c>
      <c r="G217" s="2">
        <v>0</v>
      </c>
      <c r="H217" s="2">
        <v>0</v>
      </c>
      <c r="I217" s="1">
        <v>0</v>
      </c>
      <c r="J217" s="3" t="s">
        <v>18</v>
      </c>
      <c r="K217" s="2" t="str">
        <f>J217*95040.00</f>
        <v>0</v>
      </c>
      <c r="L217" s="5"/>
    </row>
    <row r="218" spans="1:12" outlineLevel="3">
      <c r="A218" s="9" t="s">
        <v>732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5"/>
    </row>
    <row r="219" spans="1:12" customHeight="1" ht="105" outlineLevel="5">
      <c r="A219" s="1"/>
      <c r="B219" s="1">
        <v>874783</v>
      </c>
      <c r="C219" s="1" t="s">
        <v>733</v>
      </c>
      <c r="D219" s="1">
        <v>14375</v>
      </c>
      <c r="E219" s="2" t="s">
        <v>734</v>
      </c>
      <c r="F219" s="2" t="s">
        <v>735</v>
      </c>
      <c r="G219" s="2">
        <v>0</v>
      </c>
      <c r="H219" s="2">
        <v>0</v>
      </c>
      <c r="I219" s="1">
        <v>0</v>
      </c>
      <c r="J219" s="3" t="s">
        <v>18</v>
      </c>
      <c r="K219" s="2" t="str">
        <f>J219*91520.48</f>
        <v>0</v>
      </c>
      <c r="L219" s="5"/>
    </row>
    <row r="220" spans="1:12" customHeight="1" ht="105" outlineLevel="5">
      <c r="A220" s="1"/>
      <c r="B220" s="1">
        <v>874784</v>
      </c>
      <c r="C220" s="1" t="s">
        <v>736</v>
      </c>
      <c r="D220" s="1">
        <v>14385</v>
      </c>
      <c r="E220" s="2" t="s">
        <v>737</v>
      </c>
      <c r="F220" s="2" t="s">
        <v>738</v>
      </c>
      <c r="G220" s="2">
        <v>0</v>
      </c>
      <c r="H220" s="2">
        <v>0</v>
      </c>
      <c r="I220" s="1">
        <v>0</v>
      </c>
      <c r="J220" s="3" t="s">
        <v>18</v>
      </c>
      <c r="K220" s="2" t="str">
        <f>J220*95664.24</f>
        <v>0</v>
      </c>
      <c r="L220" s="5"/>
    </row>
    <row r="221" spans="1:12" customHeight="1" ht="105" outlineLevel="5">
      <c r="A221" s="1"/>
      <c r="B221" s="1">
        <v>874785</v>
      </c>
      <c r="C221" s="1" t="s">
        <v>739</v>
      </c>
      <c r="D221" s="1">
        <v>14506</v>
      </c>
      <c r="E221" s="2" t="s">
        <v>740</v>
      </c>
      <c r="F221" s="2" t="s">
        <v>741</v>
      </c>
      <c r="G221" s="2">
        <v>0</v>
      </c>
      <c r="H221" s="2">
        <v>0</v>
      </c>
      <c r="I221" s="1">
        <v>0</v>
      </c>
      <c r="J221" s="3" t="s">
        <v>18</v>
      </c>
      <c r="K221" s="2" t="str">
        <f>J221*72711.34</f>
        <v>0</v>
      </c>
      <c r="L221" s="5"/>
    </row>
    <row r="222" spans="1:12" customHeight="1" ht="105" outlineLevel="5">
      <c r="A222" s="1"/>
      <c r="B222" s="1">
        <v>874786</v>
      </c>
      <c r="C222" s="1" t="s">
        <v>742</v>
      </c>
      <c r="D222" s="1">
        <v>14509</v>
      </c>
      <c r="E222" s="2" t="s">
        <v>743</v>
      </c>
      <c r="F222" s="2" t="s">
        <v>744</v>
      </c>
      <c r="G222" s="2">
        <v>0</v>
      </c>
      <c r="H222" s="2">
        <v>0</v>
      </c>
      <c r="I222" s="1">
        <v>0</v>
      </c>
      <c r="J222" s="3" t="s">
        <v>18</v>
      </c>
      <c r="K222" s="2" t="str">
        <f>J222*76526.78</f>
        <v>0</v>
      </c>
      <c r="L222" s="5"/>
    </row>
    <row r="223" spans="1:12" customHeight="1" ht="105" outlineLevel="5">
      <c r="A223" s="1"/>
      <c r="B223" s="1">
        <v>874787</v>
      </c>
      <c r="C223" s="1" t="s">
        <v>745</v>
      </c>
      <c r="D223" s="1">
        <v>14512</v>
      </c>
      <c r="E223" s="2" t="s">
        <v>746</v>
      </c>
      <c r="F223" s="2" t="s">
        <v>747</v>
      </c>
      <c r="G223" s="2">
        <v>0</v>
      </c>
      <c r="H223" s="2">
        <v>0</v>
      </c>
      <c r="I223" s="1">
        <v>0</v>
      </c>
      <c r="J223" s="3" t="s">
        <v>18</v>
      </c>
      <c r="K223" s="2" t="str">
        <f>J223*77943.94</f>
        <v>0</v>
      </c>
      <c r="L223" s="5"/>
    </row>
    <row r="224" spans="1:12" customHeight="1" ht="105" outlineLevel="5">
      <c r="A224" s="1"/>
      <c r="B224" s="1">
        <v>874788</v>
      </c>
      <c r="C224" s="1" t="s">
        <v>748</v>
      </c>
      <c r="D224" s="1">
        <v>14514</v>
      </c>
      <c r="E224" s="2" t="s">
        <v>749</v>
      </c>
      <c r="F224" s="2" t="s">
        <v>750</v>
      </c>
      <c r="G224" s="2">
        <v>0</v>
      </c>
      <c r="H224" s="2">
        <v>0</v>
      </c>
      <c r="I224" s="1">
        <v>0</v>
      </c>
      <c r="J224" s="3" t="s">
        <v>18</v>
      </c>
      <c r="K224" s="2" t="str">
        <f>J224*81105.30</f>
        <v>0</v>
      </c>
      <c r="L224" s="5"/>
    </row>
    <row r="225" spans="1:12" customHeight="1" ht="105" outlineLevel="5">
      <c r="A225" s="1"/>
      <c r="B225" s="1">
        <v>874789</v>
      </c>
      <c r="C225" s="1" t="s">
        <v>751</v>
      </c>
      <c r="D225" s="1">
        <v>14508</v>
      </c>
      <c r="E225" s="2" t="s">
        <v>752</v>
      </c>
      <c r="F225" s="2" t="s">
        <v>753</v>
      </c>
      <c r="G225" s="2">
        <v>0</v>
      </c>
      <c r="H225" s="2">
        <v>0</v>
      </c>
      <c r="I225" s="1">
        <v>0</v>
      </c>
      <c r="J225" s="3" t="s">
        <v>18</v>
      </c>
      <c r="K225" s="2" t="str">
        <f>J225*75654.68</f>
        <v>0</v>
      </c>
      <c r="L225" s="5"/>
    </row>
    <row r="226" spans="1:12" customHeight="1" ht="105" outlineLevel="5">
      <c r="A226" s="1"/>
      <c r="B226" s="1">
        <v>874790</v>
      </c>
      <c r="C226" s="1" t="s">
        <v>754</v>
      </c>
      <c r="D226" s="1">
        <v>14518</v>
      </c>
      <c r="E226" s="2" t="s">
        <v>755</v>
      </c>
      <c r="F226" s="2" t="s">
        <v>756</v>
      </c>
      <c r="G226" s="2">
        <v>0</v>
      </c>
      <c r="H226" s="2">
        <v>0</v>
      </c>
      <c r="I226" s="1">
        <v>0</v>
      </c>
      <c r="J226" s="3" t="s">
        <v>18</v>
      </c>
      <c r="K226" s="2" t="str">
        <f>J226*86010.86</f>
        <v>0</v>
      </c>
      <c r="L226" s="5"/>
    </row>
    <row r="227" spans="1:12" customHeight="1" ht="105" outlineLevel="5">
      <c r="A227" s="1"/>
      <c r="B227" s="1">
        <v>874791</v>
      </c>
      <c r="C227" s="1" t="s">
        <v>757</v>
      </c>
      <c r="D227" s="1">
        <v>14521</v>
      </c>
      <c r="E227" s="2" t="s">
        <v>758</v>
      </c>
      <c r="F227" s="2" t="s">
        <v>759</v>
      </c>
      <c r="G227" s="2">
        <v>0</v>
      </c>
      <c r="H227" s="2">
        <v>0</v>
      </c>
      <c r="I227" s="1">
        <v>0</v>
      </c>
      <c r="J227" s="3" t="s">
        <v>18</v>
      </c>
      <c r="K227" s="2" t="str">
        <f>J227*87646.05</f>
        <v>0</v>
      </c>
      <c r="L227" s="5"/>
    </row>
    <row r="228" spans="1:12" customHeight="1" ht="105" outlineLevel="5">
      <c r="A228" s="1"/>
      <c r="B228" s="1">
        <v>874792</v>
      </c>
      <c r="C228" s="1" t="s">
        <v>760</v>
      </c>
      <c r="D228" s="1">
        <v>14524</v>
      </c>
      <c r="E228" s="2" t="s">
        <v>761</v>
      </c>
      <c r="F228" s="2" t="s">
        <v>762</v>
      </c>
      <c r="G228" s="2">
        <v>0</v>
      </c>
      <c r="H228" s="2">
        <v>0</v>
      </c>
      <c r="I228" s="1">
        <v>0</v>
      </c>
      <c r="J228" s="3" t="s">
        <v>18</v>
      </c>
      <c r="K228" s="2" t="str">
        <f>J228*90153.34</f>
        <v>0</v>
      </c>
      <c r="L228" s="5"/>
    </row>
    <row r="229" spans="1:12" customHeight="1" ht="105" outlineLevel="5">
      <c r="A229" s="1"/>
      <c r="B229" s="1">
        <v>874793</v>
      </c>
      <c r="C229" s="1" t="s">
        <v>763</v>
      </c>
      <c r="D229" s="1">
        <v>12903</v>
      </c>
      <c r="E229" s="2" t="s">
        <v>764</v>
      </c>
      <c r="F229" s="2" t="s">
        <v>765</v>
      </c>
      <c r="G229" s="2">
        <v>0</v>
      </c>
      <c r="H229" s="2">
        <v>0</v>
      </c>
      <c r="I229" s="1">
        <v>0</v>
      </c>
      <c r="J229" s="3" t="s">
        <v>18</v>
      </c>
      <c r="K229" s="2" t="str">
        <f>J229*15935.33</f>
        <v>0</v>
      </c>
      <c r="L229" s="5"/>
    </row>
    <row r="230" spans="1:12" customHeight="1" ht="105" outlineLevel="5">
      <c r="A230" s="1"/>
      <c r="B230" s="1">
        <v>874794</v>
      </c>
      <c r="C230" s="1" t="s">
        <v>766</v>
      </c>
      <c r="D230" s="1">
        <v>12905</v>
      </c>
      <c r="E230" s="2" t="s">
        <v>767</v>
      </c>
      <c r="F230" s="2" t="s">
        <v>768</v>
      </c>
      <c r="G230" s="2">
        <v>1</v>
      </c>
      <c r="H230" s="2">
        <v>0</v>
      </c>
      <c r="I230" s="1">
        <v>0</v>
      </c>
      <c r="J230" s="3" t="s">
        <v>18</v>
      </c>
      <c r="K230" s="2" t="str">
        <f>J230*18351.97</f>
        <v>0</v>
      </c>
      <c r="L230" s="5"/>
    </row>
    <row r="231" spans="1:12" customHeight="1" ht="105" outlineLevel="5">
      <c r="A231" s="1"/>
      <c r="B231" s="1">
        <v>874795</v>
      </c>
      <c r="C231" s="1" t="s">
        <v>769</v>
      </c>
      <c r="D231" s="1">
        <v>12907</v>
      </c>
      <c r="E231" s="2" t="s">
        <v>770</v>
      </c>
      <c r="F231" s="2" t="s">
        <v>771</v>
      </c>
      <c r="G231" s="2">
        <v>0</v>
      </c>
      <c r="H231" s="2">
        <v>0</v>
      </c>
      <c r="I231" s="1">
        <v>0</v>
      </c>
      <c r="J231" s="3" t="s">
        <v>18</v>
      </c>
      <c r="K231" s="2" t="str">
        <f>J231*19271.12</f>
        <v>0</v>
      </c>
      <c r="L231" s="5"/>
    </row>
    <row r="232" spans="1:12" customHeight="1" ht="105" outlineLevel="5">
      <c r="A232" s="1"/>
      <c r="B232" s="1">
        <v>874796</v>
      </c>
      <c r="C232" s="1" t="s">
        <v>772</v>
      </c>
      <c r="D232" s="1">
        <v>12909</v>
      </c>
      <c r="E232" s="2" t="s">
        <v>773</v>
      </c>
      <c r="F232" s="2" t="s">
        <v>774</v>
      </c>
      <c r="G232" s="2">
        <v>0</v>
      </c>
      <c r="H232" s="2">
        <v>0</v>
      </c>
      <c r="I232" s="1">
        <v>0</v>
      </c>
      <c r="J232" s="3" t="s">
        <v>18</v>
      </c>
      <c r="K232" s="2" t="str">
        <f>J232*20551.73</f>
        <v>0</v>
      </c>
      <c r="L232" s="5"/>
    </row>
    <row r="233" spans="1:12" customHeight="1" ht="105" outlineLevel="5">
      <c r="A233" s="1"/>
      <c r="B233" s="1">
        <v>874797</v>
      </c>
      <c r="C233" s="1" t="s">
        <v>775</v>
      </c>
      <c r="D233" s="1">
        <v>12912</v>
      </c>
      <c r="E233" s="2" t="s">
        <v>776</v>
      </c>
      <c r="F233" s="2" t="s">
        <v>777</v>
      </c>
      <c r="G233" s="2">
        <v>0</v>
      </c>
      <c r="H233" s="2">
        <v>0</v>
      </c>
      <c r="I233" s="1">
        <v>0</v>
      </c>
      <c r="J233" s="3" t="s">
        <v>18</v>
      </c>
      <c r="K233" s="2" t="str">
        <f>J233*21894.30</f>
        <v>0</v>
      </c>
      <c r="L233" s="5"/>
    </row>
    <row r="234" spans="1:12" customHeight="1" ht="105" outlineLevel="5">
      <c r="A234" s="1"/>
      <c r="B234" s="1">
        <v>874798</v>
      </c>
      <c r="C234" s="1" t="s">
        <v>778</v>
      </c>
      <c r="D234" s="1">
        <v>12914</v>
      </c>
      <c r="E234" s="2" t="s">
        <v>779</v>
      </c>
      <c r="F234" s="2" t="s">
        <v>780</v>
      </c>
      <c r="G234" s="2">
        <v>1</v>
      </c>
      <c r="H234" s="2">
        <v>0</v>
      </c>
      <c r="I234" s="1">
        <v>0</v>
      </c>
      <c r="J234" s="3" t="s">
        <v>18</v>
      </c>
      <c r="K234" s="2" t="str">
        <f>J234*23526.05</f>
        <v>0</v>
      </c>
      <c r="L234" s="5"/>
    </row>
    <row r="235" spans="1:12" customHeight="1" ht="105" outlineLevel="5">
      <c r="A235" s="1"/>
      <c r="B235" s="1">
        <v>874799</v>
      </c>
      <c r="C235" s="1" t="s">
        <v>781</v>
      </c>
      <c r="D235" s="1">
        <v>12943</v>
      </c>
      <c r="E235" s="2" t="s">
        <v>782</v>
      </c>
      <c r="F235" s="2" t="s">
        <v>783</v>
      </c>
      <c r="G235" s="2">
        <v>0</v>
      </c>
      <c r="H235" s="2">
        <v>0</v>
      </c>
      <c r="I235" s="1">
        <v>0</v>
      </c>
      <c r="J235" s="3" t="s">
        <v>18</v>
      </c>
      <c r="K235" s="2" t="str">
        <f>J235*10497.90</f>
        <v>0</v>
      </c>
      <c r="L235" s="5"/>
    </row>
    <row r="236" spans="1:12" customHeight="1" ht="105" outlineLevel="5">
      <c r="A236" s="1"/>
      <c r="B236" s="1">
        <v>874800</v>
      </c>
      <c r="C236" s="1" t="s">
        <v>784</v>
      </c>
      <c r="D236" s="1">
        <v>12945</v>
      </c>
      <c r="E236" s="2" t="s">
        <v>785</v>
      </c>
      <c r="F236" s="2" t="s">
        <v>786</v>
      </c>
      <c r="G236" s="2">
        <v>0</v>
      </c>
      <c r="H236" s="2">
        <v>0</v>
      </c>
      <c r="I236" s="1">
        <v>0</v>
      </c>
      <c r="J236" s="3" t="s">
        <v>18</v>
      </c>
      <c r="K236" s="2" t="str">
        <f>J236*10966.66</f>
        <v>0</v>
      </c>
      <c r="L236" s="5"/>
    </row>
    <row r="237" spans="1:12" customHeight="1" ht="105" outlineLevel="5">
      <c r="A237" s="1"/>
      <c r="B237" s="1">
        <v>874801</v>
      </c>
      <c r="C237" s="1" t="s">
        <v>787</v>
      </c>
      <c r="D237" s="1">
        <v>12947</v>
      </c>
      <c r="E237" s="2" t="s">
        <v>788</v>
      </c>
      <c r="F237" s="2" t="s">
        <v>789</v>
      </c>
      <c r="G237" s="2">
        <v>0</v>
      </c>
      <c r="H237" s="2">
        <v>0</v>
      </c>
      <c r="I237" s="1">
        <v>0</v>
      </c>
      <c r="J237" s="3" t="s">
        <v>18</v>
      </c>
      <c r="K237" s="2" t="str">
        <f>J237*11424.51</f>
        <v>0</v>
      </c>
      <c r="L237" s="5"/>
    </row>
    <row r="238" spans="1:12" customHeight="1" ht="105" outlineLevel="5">
      <c r="A238" s="1"/>
      <c r="B238" s="1">
        <v>874802</v>
      </c>
      <c r="C238" s="1" t="s">
        <v>790</v>
      </c>
      <c r="D238" s="1">
        <v>12949</v>
      </c>
      <c r="E238" s="2" t="s">
        <v>791</v>
      </c>
      <c r="F238" s="2" t="s">
        <v>792</v>
      </c>
      <c r="G238" s="2">
        <v>0</v>
      </c>
      <c r="H238" s="2">
        <v>0</v>
      </c>
      <c r="I238" s="1">
        <v>0</v>
      </c>
      <c r="J238" s="3" t="s">
        <v>18</v>
      </c>
      <c r="K238" s="2" t="str">
        <f>J238*12198.50</f>
        <v>0</v>
      </c>
      <c r="L238" s="5"/>
    </row>
    <row r="239" spans="1:12" customHeight="1" ht="105" outlineLevel="5">
      <c r="A239" s="1"/>
      <c r="B239" s="1">
        <v>874803</v>
      </c>
      <c r="C239" s="1" t="s">
        <v>793</v>
      </c>
      <c r="D239" s="1">
        <v>12952</v>
      </c>
      <c r="E239" s="2" t="s">
        <v>794</v>
      </c>
      <c r="F239" s="2" t="s">
        <v>795</v>
      </c>
      <c r="G239" s="2">
        <v>0</v>
      </c>
      <c r="H239" s="2">
        <v>0</v>
      </c>
      <c r="I239" s="1">
        <v>0</v>
      </c>
      <c r="J239" s="3" t="s">
        <v>18</v>
      </c>
      <c r="K239" s="2" t="str">
        <f>J239*12656.35</f>
        <v>0</v>
      </c>
      <c r="L239" s="5"/>
    </row>
    <row r="240" spans="1:12" customHeight="1" ht="105" outlineLevel="5">
      <c r="A240" s="1"/>
      <c r="B240" s="1">
        <v>874804</v>
      </c>
      <c r="C240" s="1" t="s">
        <v>796</v>
      </c>
      <c r="D240" s="1">
        <v>12954</v>
      </c>
      <c r="E240" s="2" t="s">
        <v>797</v>
      </c>
      <c r="F240" s="2" t="s">
        <v>798</v>
      </c>
      <c r="G240" s="2">
        <v>0</v>
      </c>
      <c r="H240" s="2">
        <v>0</v>
      </c>
      <c r="I240" s="1">
        <v>0</v>
      </c>
      <c r="J240" s="3" t="s">
        <v>18</v>
      </c>
      <c r="K240" s="2" t="str">
        <f>J240*13277.72</f>
        <v>0</v>
      </c>
      <c r="L240" s="5"/>
    </row>
    <row r="241" spans="1:12" customHeight="1" ht="105" outlineLevel="5">
      <c r="A241" s="1"/>
      <c r="B241" s="1">
        <v>874805</v>
      </c>
      <c r="C241" s="1" t="s">
        <v>799</v>
      </c>
      <c r="D241" s="1">
        <v>14403</v>
      </c>
      <c r="E241" s="2" t="s">
        <v>800</v>
      </c>
      <c r="F241" s="2" t="s">
        <v>801</v>
      </c>
      <c r="G241" s="2">
        <v>0</v>
      </c>
      <c r="H241" s="2">
        <v>0</v>
      </c>
      <c r="I241" s="1">
        <v>0</v>
      </c>
      <c r="J241" s="3" t="s">
        <v>18</v>
      </c>
      <c r="K241" s="2" t="str">
        <f>J241*37870.94</f>
        <v>0</v>
      </c>
      <c r="L241" s="5"/>
    </row>
    <row r="242" spans="1:12" customHeight="1" ht="105" outlineLevel="5">
      <c r="A242" s="1"/>
      <c r="B242" s="1">
        <v>874806</v>
      </c>
      <c r="C242" s="1" t="s">
        <v>802</v>
      </c>
      <c r="D242" s="1">
        <v>14405</v>
      </c>
      <c r="E242" s="2" t="s">
        <v>803</v>
      </c>
      <c r="F242" s="2" t="s">
        <v>804</v>
      </c>
      <c r="G242" s="2">
        <v>0</v>
      </c>
      <c r="H242" s="2">
        <v>0</v>
      </c>
      <c r="I242" s="1">
        <v>0</v>
      </c>
      <c r="J242" s="3" t="s">
        <v>18</v>
      </c>
      <c r="K242" s="2" t="str">
        <f>J242*40215.29</f>
        <v>0</v>
      </c>
      <c r="L242" s="5"/>
    </row>
    <row r="243" spans="1:12" customHeight="1" ht="105" outlineLevel="5">
      <c r="A243" s="1"/>
      <c r="B243" s="1">
        <v>874807</v>
      </c>
      <c r="C243" s="1" t="s">
        <v>805</v>
      </c>
      <c r="D243" s="1">
        <v>14406</v>
      </c>
      <c r="E243" s="2" t="s">
        <v>806</v>
      </c>
      <c r="F243" s="2" t="s">
        <v>807</v>
      </c>
      <c r="G243" s="2">
        <v>0</v>
      </c>
      <c r="H243" s="2">
        <v>0</v>
      </c>
      <c r="I243" s="1">
        <v>0</v>
      </c>
      <c r="J243" s="3" t="s">
        <v>18</v>
      </c>
      <c r="K243" s="2" t="str">
        <f>J243*41382.29</f>
        <v>0</v>
      </c>
      <c r="L243" s="5"/>
    </row>
    <row r="244" spans="1:12" customHeight="1" ht="105" outlineLevel="5">
      <c r="A244" s="1"/>
      <c r="B244" s="1">
        <v>874808</v>
      </c>
      <c r="C244" s="1" t="s">
        <v>808</v>
      </c>
      <c r="D244" s="1">
        <v>14407</v>
      </c>
      <c r="E244" s="2" t="s">
        <v>809</v>
      </c>
      <c r="F244" s="2" t="s">
        <v>810</v>
      </c>
      <c r="G244" s="2">
        <v>0</v>
      </c>
      <c r="H244" s="2">
        <v>0</v>
      </c>
      <c r="I244" s="1">
        <v>0</v>
      </c>
      <c r="J244" s="3" t="s">
        <v>18</v>
      </c>
      <c r="K244" s="2" t="str">
        <f>J244*43427.14</f>
        <v>0</v>
      </c>
      <c r="L244" s="5"/>
    </row>
    <row r="245" spans="1:12" customHeight="1" ht="105" outlineLevel="5">
      <c r="A245" s="1"/>
      <c r="B245" s="1">
        <v>874809</v>
      </c>
      <c r="C245" s="1" t="s">
        <v>811</v>
      </c>
      <c r="D245" s="1">
        <v>14409</v>
      </c>
      <c r="E245" s="2" t="s">
        <v>812</v>
      </c>
      <c r="F245" s="2" t="s">
        <v>813</v>
      </c>
      <c r="G245" s="2">
        <v>0</v>
      </c>
      <c r="H245" s="2">
        <v>0</v>
      </c>
      <c r="I245" s="1">
        <v>0</v>
      </c>
      <c r="J245" s="3" t="s">
        <v>18</v>
      </c>
      <c r="K245" s="2" t="str">
        <f>J245*44893.64</f>
        <v>0</v>
      </c>
      <c r="L245" s="5"/>
    </row>
    <row r="246" spans="1:12" customHeight="1" ht="105" outlineLevel="5">
      <c r="A246" s="1"/>
      <c r="B246" s="1">
        <v>874810</v>
      </c>
      <c r="C246" s="1" t="s">
        <v>814</v>
      </c>
      <c r="D246" s="1">
        <v>14412</v>
      </c>
      <c r="E246" s="2" t="s">
        <v>815</v>
      </c>
      <c r="F246" s="2" t="s">
        <v>816</v>
      </c>
      <c r="G246" s="2">
        <v>0</v>
      </c>
      <c r="H246" s="2">
        <v>0</v>
      </c>
      <c r="I246" s="1">
        <v>0</v>
      </c>
      <c r="J246" s="3" t="s">
        <v>18</v>
      </c>
      <c r="K246" s="2" t="str">
        <f>J246*48694.16</f>
        <v>0</v>
      </c>
      <c r="L246" s="5"/>
    </row>
    <row r="247" spans="1:12" customHeight="1" ht="105" outlineLevel="5">
      <c r="A247" s="1"/>
      <c r="B247" s="1">
        <v>874811</v>
      </c>
      <c r="C247" s="1" t="s">
        <v>817</v>
      </c>
      <c r="D247" s="1">
        <v>14414</v>
      </c>
      <c r="E247" s="2" t="s">
        <v>818</v>
      </c>
      <c r="F247" s="2" t="s">
        <v>819</v>
      </c>
      <c r="G247" s="2">
        <v>0</v>
      </c>
      <c r="H247" s="2">
        <v>0</v>
      </c>
      <c r="I247" s="1">
        <v>0</v>
      </c>
      <c r="J247" s="3" t="s">
        <v>18</v>
      </c>
      <c r="K247" s="2" t="str">
        <f>J247*52494.68</f>
        <v>0</v>
      </c>
      <c r="L247" s="5"/>
    </row>
    <row r="248" spans="1:12" customHeight="1" ht="105" outlineLevel="5">
      <c r="A248" s="1"/>
      <c r="B248" s="1">
        <v>874812</v>
      </c>
      <c r="C248" s="1" t="s">
        <v>820</v>
      </c>
      <c r="D248" s="1">
        <v>14418</v>
      </c>
      <c r="E248" s="2" t="s">
        <v>821</v>
      </c>
      <c r="F248" s="2" t="s">
        <v>822</v>
      </c>
      <c r="G248" s="2">
        <v>0</v>
      </c>
      <c r="H248" s="2">
        <v>0</v>
      </c>
      <c r="I248" s="1">
        <v>0</v>
      </c>
      <c r="J248" s="3" t="s">
        <v>18</v>
      </c>
      <c r="K248" s="2" t="str">
        <f>J248*60828.98</f>
        <v>0</v>
      </c>
      <c r="L248" s="5"/>
    </row>
    <row r="249" spans="1:12" customHeight="1" ht="105" outlineLevel="5">
      <c r="A249" s="1"/>
      <c r="B249" s="1">
        <v>874813</v>
      </c>
      <c r="C249" s="1" t="s">
        <v>823</v>
      </c>
      <c r="D249" s="1">
        <v>14421</v>
      </c>
      <c r="E249" s="2" t="s">
        <v>824</v>
      </c>
      <c r="F249" s="2" t="s">
        <v>825</v>
      </c>
      <c r="G249" s="2">
        <v>0</v>
      </c>
      <c r="H249" s="2">
        <v>0</v>
      </c>
      <c r="I249" s="1">
        <v>0</v>
      </c>
      <c r="J249" s="3" t="s">
        <v>18</v>
      </c>
      <c r="K249" s="2" t="str">
        <f>J249*64185.41</f>
        <v>0</v>
      </c>
      <c r="L249" s="5"/>
    </row>
    <row r="250" spans="1:12" customHeight="1" ht="105" outlineLevel="5">
      <c r="A250" s="1"/>
      <c r="B250" s="1">
        <v>874814</v>
      </c>
      <c r="C250" s="1" t="s">
        <v>826</v>
      </c>
      <c r="D250" s="1">
        <v>14424</v>
      </c>
      <c r="E250" s="2" t="s">
        <v>827</v>
      </c>
      <c r="F250" s="2" t="s">
        <v>828</v>
      </c>
      <c r="G250" s="2">
        <v>0</v>
      </c>
      <c r="H250" s="2">
        <v>0</v>
      </c>
      <c r="I250" s="1">
        <v>0</v>
      </c>
      <c r="J250" s="3" t="s">
        <v>18</v>
      </c>
      <c r="K250" s="2" t="str">
        <f>J250*67407.59</f>
        <v>0</v>
      </c>
      <c r="L250" s="5"/>
    </row>
    <row r="251" spans="1:12" outlineLevel="3">
      <c r="A251" s="9" t="s">
        <v>829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5"/>
    </row>
    <row r="252" spans="1:12" customHeight="1" ht="105" outlineLevel="5">
      <c r="A252" s="1"/>
      <c r="B252" s="1">
        <v>878100</v>
      </c>
      <c r="C252" s="1" t="s">
        <v>830</v>
      </c>
      <c r="D252" s="1" t="s">
        <v>831</v>
      </c>
      <c r="E252" s="2" t="s">
        <v>832</v>
      </c>
      <c r="F252" s="2" t="s">
        <v>833</v>
      </c>
      <c r="G252" s="2">
        <v>1</v>
      </c>
      <c r="H252" s="2">
        <v>0</v>
      </c>
      <c r="I252" s="1">
        <v>0</v>
      </c>
      <c r="J252" s="3" t="s">
        <v>18</v>
      </c>
      <c r="K252" s="2" t="str">
        <f>J252*54204.75</f>
        <v>0</v>
      </c>
      <c r="L252" s="5"/>
    </row>
    <row r="253" spans="1:12" customHeight="1" ht="105" outlineLevel="5">
      <c r="A253" s="1"/>
      <c r="B253" s="1">
        <v>878101</v>
      </c>
      <c r="C253" s="1" t="s">
        <v>834</v>
      </c>
      <c r="D253" s="1" t="s">
        <v>835</v>
      </c>
      <c r="E253" s="2" t="s">
        <v>832</v>
      </c>
      <c r="F253" s="2" t="s">
        <v>836</v>
      </c>
      <c r="G253" s="2">
        <v>0</v>
      </c>
      <c r="H253" s="2">
        <v>0</v>
      </c>
      <c r="I253" s="1">
        <v>0</v>
      </c>
      <c r="J253" s="3" t="s">
        <v>18</v>
      </c>
      <c r="K253" s="2" t="str">
        <f>J253*55861.35</f>
        <v>0</v>
      </c>
      <c r="L253" s="5"/>
    </row>
    <row r="254" spans="1:12" customHeight="1" ht="105" outlineLevel="5">
      <c r="A254" s="1"/>
      <c r="B254" s="1">
        <v>878102</v>
      </c>
      <c r="C254" s="1" t="s">
        <v>837</v>
      </c>
      <c r="D254" s="1" t="s">
        <v>838</v>
      </c>
      <c r="E254" s="2" t="s">
        <v>832</v>
      </c>
      <c r="F254" s="2" t="s">
        <v>839</v>
      </c>
      <c r="G254" s="2">
        <v>0</v>
      </c>
      <c r="H254" s="2">
        <v>0</v>
      </c>
      <c r="I254" s="1">
        <v>0</v>
      </c>
      <c r="J254" s="3" t="s">
        <v>18</v>
      </c>
      <c r="K254" s="2" t="str">
        <f>J254*57404.92</f>
        <v>0</v>
      </c>
      <c r="L254" s="5"/>
    </row>
    <row r="255" spans="1:12" customHeight="1" ht="105" outlineLevel="5">
      <c r="A255" s="1"/>
      <c r="B255" s="1">
        <v>878103</v>
      </c>
      <c r="C255" s="1" t="s">
        <v>840</v>
      </c>
      <c r="D255" s="1" t="s">
        <v>841</v>
      </c>
      <c r="E255" s="2" t="s">
        <v>832</v>
      </c>
      <c r="F255" s="2" t="s">
        <v>842</v>
      </c>
      <c r="G255" s="2">
        <v>0</v>
      </c>
      <c r="H255" s="2">
        <v>0</v>
      </c>
      <c r="I255" s="1">
        <v>0</v>
      </c>
      <c r="J255" s="3" t="s">
        <v>18</v>
      </c>
      <c r="K255" s="2" t="str">
        <f>J255*57655.73</f>
        <v>0</v>
      </c>
      <c r="L255" s="5"/>
    </row>
    <row r="256" spans="1:12" customHeight="1" ht="105" outlineLevel="5">
      <c r="A256" s="1"/>
      <c r="B256" s="1">
        <v>878104</v>
      </c>
      <c r="C256" s="1" t="s">
        <v>843</v>
      </c>
      <c r="D256" s="1" t="s">
        <v>844</v>
      </c>
      <c r="E256" s="2" t="s">
        <v>832</v>
      </c>
      <c r="F256" s="2" t="s">
        <v>845</v>
      </c>
      <c r="G256" s="2">
        <v>0</v>
      </c>
      <c r="H256" s="2">
        <v>0</v>
      </c>
      <c r="I256" s="1">
        <v>0</v>
      </c>
      <c r="J256" s="3" t="s">
        <v>18</v>
      </c>
      <c r="K256" s="2" t="str">
        <f>J256*58168.19</f>
        <v>0</v>
      </c>
      <c r="L256" s="5"/>
    </row>
    <row r="257" spans="1:12" outlineLevel="1">
      <c r="A257" s="7" t="s">
        <v>846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5"/>
    </row>
    <row r="258" spans="1:12" outlineLevel="2">
      <c r="A258" s="8" t="s">
        <v>847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5"/>
    </row>
    <row r="259" spans="1:12" customHeight="1" ht="105" outlineLevel="4">
      <c r="A259" s="1"/>
      <c r="B259" s="1">
        <v>873855</v>
      </c>
      <c r="C259" s="1" t="s">
        <v>848</v>
      </c>
      <c r="D259" s="1" t="s">
        <v>849</v>
      </c>
      <c r="E259" s="2" t="s">
        <v>850</v>
      </c>
      <c r="F259" s="2" t="s">
        <v>851</v>
      </c>
      <c r="G259" s="2">
        <v>0</v>
      </c>
      <c r="H259" s="2">
        <v>0</v>
      </c>
      <c r="I259" s="1">
        <v>0</v>
      </c>
      <c r="J259" s="3" t="s">
        <v>18</v>
      </c>
      <c r="K259" s="2" t="str">
        <f>J259*44049.63</f>
        <v>0</v>
      </c>
      <c r="L259" s="5"/>
    </row>
    <row r="260" spans="1:12" customHeight="1" ht="105" outlineLevel="4">
      <c r="A260" s="1"/>
      <c r="B260" s="1">
        <v>873856</v>
      </c>
      <c r="C260" s="1" t="s">
        <v>852</v>
      </c>
      <c r="D260" s="1" t="s">
        <v>853</v>
      </c>
      <c r="E260" s="2" t="s">
        <v>854</v>
      </c>
      <c r="F260" s="2" t="s">
        <v>855</v>
      </c>
      <c r="G260" s="2">
        <v>0</v>
      </c>
      <c r="H260" s="2">
        <v>0</v>
      </c>
      <c r="I260" s="1">
        <v>0</v>
      </c>
      <c r="J260" s="3" t="s">
        <v>18</v>
      </c>
      <c r="K260" s="2" t="str">
        <f>J260*53478.81</f>
        <v>0</v>
      </c>
      <c r="L260" s="5"/>
    </row>
    <row r="261" spans="1:12" customHeight="1" ht="105" outlineLevel="4">
      <c r="A261" s="1"/>
      <c r="B261" s="1">
        <v>873857</v>
      </c>
      <c r="C261" s="1" t="s">
        <v>856</v>
      </c>
      <c r="D261" s="1" t="s">
        <v>857</v>
      </c>
      <c r="E261" s="2" t="s">
        <v>858</v>
      </c>
      <c r="F261" s="2" t="s">
        <v>859</v>
      </c>
      <c r="G261" s="2">
        <v>3</v>
      </c>
      <c r="H261" s="2">
        <v>0</v>
      </c>
      <c r="I261" s="1">
        <v>0</v>
      </c>
      <c r="J261" s="3" t="s">
        <v>18</v>
      </c>
      <c r="K261" s="2" t="str">
        <f>J261*60943.85</f>
        <v>0</v>
      </c>
      <c r="L261" s="5"/>
    </row>
    <row r="262" spans="1:12" customHeight="1" ht="105" outlineLevel="4">
      <c r="A262" s="1"/>
      <c r="B262" s="1">
        <v>873858</v>
      </c>
      <c r="C262" s="1" t="s">
        <v>860</v>
      </c>
      <c r="D262" s="1" t="s">
        <v>861</v>
      </c>
      <c r="E262" s="2" t="s">
        <v>862</v>
      </c>
      <c r="F262" s="2" t="s">
        <v>863</v>
      </c>
      <c r="G262" s="2">
        <v>0</v>
      </c>
      <c r="H262" s="2">
        <v>0</v>
      </c>
      <c r="I262" s="1">
        <v>0</v>
      </c>
      <c r="J262" s="3" t="s">
        <v>18</v>
      </c>
      <c r="K262" s="2" t="str">
        <f>J262*33602.65</f>
        <v>0</v>
      </c>
      <c r="L262" s="5"/>
    </row>
    <row r="263" spans="1:12" customHeight="1" ht="105" outlineLevel="4">
      <c r="A263" s="1"/>
      <c r="B263" s="1">
        <v>873859</v>
      </c>
      <c r="C263" s="1" t="s">
        <v>864</v>
      </c>
      <c r="D263" s="1" t="s">
        <v>865</v>
      </c>
      <c r="E263" s="2" t="s">
        <v>866</v>
      </c>
      <c r="F263" s="2" t="s">
        <v>867</v>
      </c>
      <c r="G263" s="2">
        <v>0</v>
      </c>
      <c r="H263" s="2">
        <v>0</v>
      </c>
      <c r="I263" s="1">
        <v>0</v>
      </c>
      <c r="J263" s="3" t="s">
        <v>18</v>
      </c>
      <c r="K263" s="2" t="str">
        <f>J263*43253.14</f>
        <v>0</v>
      </c>
      <c r="L263" s="5"/>
    </row>
    <row r="264" spans="1:12" customHeight="1" ht="105" outlineLevel="4">
      <c r="A264" s="1"/>
      <c r="B264" s="1">
        <v>879343</v>
      </c>
      <c r="C264" s="1" t="s">
        <v>868</v>
      </c>
      <c r="D264" s="1" t="s">
        <v>869</v>
      </c>
      <c r="E264" s="2" t="s">
        <v>870</v>
      </c>
      <c r="F264" s="2" t="s">
        <v>871</v>
      </c>
      <c r="G264" s="2">
        <v>0</v>
      </c>
      <c r="H264" s="2">
        <v>0</v>
      </c>
      <c r="I264" s="1">
        <v>0</v>
      </c>
      <c r="J264" s="3" t="s">
        <v>18</v>
      </c>
      <c r="K264" s="2" t="str">
        <f>J264*53412.37</f>
        <v>0</v>
      </c>
      <c r="L264" s="5"/>
    </row>
    <row r="265" spans="1:12" customHeight="1" ht="105" outlineLevel="4">
      <c r="A265" s="1"/>
      <c r="B265" s="1">
        <v>879344</v>
      </c>
      <c r="C265" s="1" t="s">
        <v>872</v>
      </c>
      <c r="D265" s="1" t="s">
        <v>873</v>
      </c>
      <c r="E265" s="2" t="s">
        <v>874</v>
      </c>
      <c r="F265" s="2" t="s">
        <v>875</v>
      </c>
      <c r="G265" s="2">
        <v>0</v>
      </c>
      <c r="H265" s="2">
        <v>0</v>
      </c>
      <c r="I265" s="1">
        <v>0</v>
      </c>
      <c r="J265" s="3" t="s">
        <v>18</v>
      </c>
      <c r="K265" s="2" t="str">
        <f>J265*61637.57</f>
        <v>0</v>
      </c>
      <c r="L265" s="5"/>
    </row>
    <row r="266" spans="1:12" customHeight="1" ht="105" outlineLevel="4">
      <c r="A266" s="1"/>
      <c r="B266" s="1">
        <v>879345</v>
      </c>
      <c r="C266" s="1" t="s">
        <v>876</v>
      </c>
      <c r="D266" s="1" t="s">
        <v>877</v>
      </c>
      <c r="E266" s="2" t="s">
        <v>878</v>
      </c>
      <c r="F266" s="2" t="s">
        <v>879</v>
      </c>
      <c r="G266" s="2">
        <v>0</v>
      </c>
      <c r="H266" s="2">
        <v>0</v>
      </c>
      <c r="I266" s="1">
        <v>0</v>
      </c>
      <c r="J266" s="3" t="s">
        <v>18</v>
      </c>
      <c r="K266" s="2" t="str">
        <f>J266*87746.46</f>
        <v>0</v>
      </c>
      <c r="L266" s="5"/>
    </row>
    <row r="267" spans="1:12" customHeight="1" ht="105" outlineLevel="4">
      <c r="A267" s="1"/>
      <c r="B267" s="1">
        <v>879346</v>
      </c>
      <c r="C267" s="1" t="s">
        <v>880</v>
      </c>
      <c r="D267" s="1" t="s">
        <v>881</v>
      </c>
      <c r="E267" s="2" t="s">
        <v>882</v>
      </c>
      <c r="F267" s="2" t="s">
        <v>883</v>
      </c>
      <c r="G267" s="2">
        <v>0</v>
      </c>
      <c r="H267" s="2">
        <v>0</v>
      </c>
      <c r="I267" s="1">
        <v>0</v>
      </c>
      <c r="J267" s="3" t="s">
        <v>18</v>
      </c>
      <c r="K267" s="2" t="str">
        <f>J267*108565.27</f>
        <v>0</v>
      </c>
      <c r="L267" s="5"/>
    </row>
    <row r="268" spans="1:12" customHeight="1" ht="105" outlineLevel="4">
      <c r="A268" s="1"/>
      <c r="B268" s="1">
        <v>879347</v>
      </c>
      <c r="C268" s="1" t="s">
        <v>884</v>
      </c>
      <c r="D268" s="1" t="s">
        <v>885</v>
      </c>
      <c r="E268" s="2" t="s">
        <v>886</v>
      </c>
      <c r="F268" s="2" t="s">
        <v>887</v>
      </c>
      <c r="G268" s="2">
        <v>0</v>
      </c>
      <c r="H268" s="2">
        <v>0</v>
      </c>
      <c r="I268" s="1">
        <v>0</v>
      </c>
      <c r="J268" s="3" t="s">
        <v>18</v>
      </c>
      <c r="K268" s="2" t="str">
        <f>J268*121568.59</f>
        <v>0</v>
      </c>
      <c r="L268" s="5"/>
    </row>
    <row r="269" spans="1:12" customHeight="1" ht="105" outlineLevel="4">
      <c r="A269" s="1"/>
      <c r="B269" s="1">
        <v>880014</v>
      </c>
      <c r="C269" s="1" t="s">
        <v>888</v>
      </c>
      <c r="D269" s="1" t="s">
        <v>889</v>
      </c>
      <c r="E269" s="2" t="s">
        <v>890</v>
      </c>
      <c r="F269" s="2" t="s">
        <v>891</v>
      </c>
      <c r="G269" s="2">
        <v>0</v>
      </c>
      <c r="H269" s="2">
        <v>0</v>
      </c>
      <c r="I269" s="1">
        <v>0</v>
      </c>
      <c r="J269" s="3" t="s">
        <v>18</v>
      </c>
      <c r="K269" s="2" t="str">
        <f>J269*75142.07</f>
        <v>0</v>
      </c>
      <c r="L269" s="5"/>
    </row>
    <row r="270" spans="1:12" customHeight="1" ht="105" outlineLevel="4">
      <c r="A270" s="1"/>
      <c r="B270" s="1">
        <v>880015</v>
      </c>
      <c r="C270" s="1" t="s">
        <v>892</v>
      </c>
      <c r="D270" s="1" t="s">
        <v>893</v>
      </c>
      <c r="E270" s="2" t="s">
        <v>894</v>
      </c>
      <c r="F270" s="2" t="s">
        <v>895</v>
      </c>
      <c r="G270" s="2">
        <v>0</v>
      </c>
      <c r="H270" s="2">
        <v>0</v>
      </c>
      <c r="I270" s="1">
        <v>0</v>
      </c>
      <c r="J270" s="3" t="s">
        <v>18</v>
      </c>
      <c r="K270" s="2" t="str">
        <f>J270*86799.68</f>
        <v>0</v>
      </c>
      <c r="L270" s="5"/>
    </row>
    <row r="271" spans="1:12" customHeight="1" ht="105" outlineLevel="4">
      <c r="A271" s="1"/>
      <c r="B271" s="1">
        <v>880016</v>
      </c>
      <c r="C271" s="1" t="s">
        <v>896</v>
      </c>
      <c r="D271" s="1" t="s">
        <v>897</v>
      </c>
      <c r="E271" s="2" t="s">
        <v>898</v>
      </c>
      <c r="F271" s="2" t="s">
        <v>899</v>
      </c>
      <c r="G271" s="2">
        <v>0</v>
      </c>
      <c r="H271" s="2">
        <v>0</v>
      </c>
      <c r="I271" s="1">
        <v>0</v>
      </c>
      <c r="J271" s="3" t="s">
        <v>18</v>
      </c>
      <c r="K271" s="2" t="str">
        <f>J271*128281.61</f>
        <v>0</v>
      </c>
      <c r="L271" s="5"/>
    </row>
    <row r="272" spans="1:12" customHeight="1" ht="105" outlineLevel="4">
      <c r="A272" s="1"/>
      <c r="B272" s="1">
        <v>880017</v>
      </c>
      <c r="C272" s="1" t="s">
        <v>900</v>
      </c>
      <c r="D272" s="1" t="s">
        <v>901</v>
      </c>
      <c r="E272" s="2" t="s">
        <v>902</v>
      </c>
      <c r="F272" s="2" t="s">
        <v>903</v>
      </c>
      <c r="G272" s="2">
        <v>0</v>
      </c>
      <c r="H272" s="2">
        <v>0</v>
      </c>
      <c r="I272" s="1">
        <v>0</v>
      </c>
      <c r="J272" s="3" t="s">
        <v>18</v>
      </c>
      <c r="K272" s="2" t="str">
        <f>J272*150290.74</f>
        <v>0</v>
      </c>
      <c r="L272" s="5"/>
    </row>
    <row r="273" spans="1:12" customHeight="1" ht="105" outlineLevel="4">
      <c r="A273" s="1"/>
      <c r="B273" s="1">
        <v>880013</v>
      </c>
      <c r="C273" s="1" t="s">
        <v>904</v>
      </c>
      <c r="D273" s="1" t="s">
        <v>905</v>
      </c>
      <c r="E273" s="2" t="s">
        <v>906</v>
      </c>
      <c r="F273" s="2" t="s">
        <v>907</v>
      </c>
      <c r="G273" s="2">
        <v>0</v>
      </c>
      <c r="H273" s="2">
        <v>0</v>
      </c>
      <c r="I273" s="1">
        <v>0</v>
      </c>
      <c r="J273" s="3" t="s">
        <v>18</v>
      </c>
      <c r="K273" s="2" t="str">
        <f>J273*52025.33</f>
        <v>0</v>
      </c>
      <c r="L273" s="5"/>
    </row>
    <row r="274" spans="1:12" outlineLevel="2">
      <c r="A274" s="8" t="s">
        <v>908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5"/>
    </row>
    <row r="275" spans="1:12" customHeight="1" ht="105" outlineLevel="4">
      <c r="A275" s="1"/>
      <c r="B275" s="1">
        <v>873802</v>
      </c>
      <c r="C275" s="1" t="s">
        <v>909</v>
      </c>
      <c r="D275" s="1" t="s">
        <v>910</v>
      </c>
      <c r="E275" s="2" t="s">
        <v>911</v>
      </c>
      <c r="F275" s="2" t="s">
        <v>912</v>
      </c>
      <c r="G275" s="2">
        <v>0</v>
      </c>
      <c r="H275" s="2">
        <v>0</v>
      </c>
      <c r="I275" s="1">
        <v>0</v>
      </c>
      <c r="J275" s="3" t="s">
        <v>18</v>
      </c>
      <c r="K275" s="2" t="str">
        <f>J275*65626.44</f>
        <v>0</v>
      </c>
      <c r="L275" s="5"/>
    </row>
    <row r="276" spans="1:12" customHeight="1" ht="105" outlineLevel="4">
      <c r="A276" s="1"/>
      <c r="B276" s="1">
        <v>873803</v>
      </c>
      <c r="C276" s="1" t="s">
        <v>913</v>
      </c>
      <c r="D276" s="1" t="s">
        <v>914</v>
      </c>
      <c r="E276" s="2" t="s">
        <v>915</v>
      </c>
      <c r="F276" s="2" t="s">
        <v>916</v>
      </c>
      <c r="G276" s="2">
        <v>0</v>
      </c>
      <c r="H276" s="2">
        <v>0</v>
      </c>
      <c r="I276" s="1">
        <v>0</v>
      </c>
      <c r="J276" s="3" t="s">
        <v>18</v>
      </c>
      <c r="K276" s="2" t="str">
        <f>J276*69012.84</f>
        <v>0</v>
      </c>
      <c r="L276" s="5"/>
    </row>
    <row r="277" spans="1:12" customHeight="1" ht="105" outlineLevel="4">
      <c r="A277" s="1"/>
      <c r="B277" s="1">
        <v>873804</v>
      </c>
      <c r="C277" s="1" t="s">
        <v>917</v>
      </c>
      <c r="D277" s="1" t="s">
        <v>918</v>
      </c>
      <c r="E277" s="2" t="s">
        <v>919</v>
      </c>
      <c r="F277" s="2" t="s">
        <v>148</v>
      </c>
      <c r="G277" s="2">
        <v>0</v>
      </c>
      <c r="H277" s="2">
        <v>0</v>
      </c>
      <c r="I277" s="1">
        <v>0</v>
      </c>
      <c r="J277" s="3" t="s">
        <v>18</v>
      </c>
      <c r="K277" s="2" t="str">
        <f>J277*0.00</f>
        <v>0</v>
      </c>
      <c r="L277" s="5"/>
    </row>
    <row r="278" spans="1:12" customHeight="1" ht="105" outlineLevel="4">
      <c r="A278" s="1"/>
      <c r="B278" s="1">
        <v>873805</v>
      </c>
      <c r="C278" s="1" t="s">
        <v>920</v>
      </c>
      <c r="D278" s="1" t="s">
        <v>921</v>
      </c>
      <c r="E278" s="2" t="s">
        <v>922</v>
      </c>
      <c r="F278" s="2" t="s">
        <v>923</v>
      </c>
      <c r="G278" s="2">
        <v>0</v>
      </c>
      <c r="H278" s="2">
        <v>0</v>
      </c>
      <c r="I278" s="1">
        <v>0</v>
      </c>
      <c r="J278" s="3" t="s">
        <v>18</v>
      </c>
      <c r="K278" s="2" t="str">
        <f>J278*38634.84</f>
        <v>0</v>
      </c>
      <c r="L278" s="5"/>
    </row>
    <row r="279" spans="1:12" customHeight="1" ht="105" outlineLevel="4">
      <c r="A279" s="1"/>
      <c r="B279" s="1">
        <v>873806</v>
      </c>
      <c r="C279" s="1" t="s">
        <v>924</v>
      </c>
      <c r="D279" s="1" t="s">
        <v>925</v>
      </c>
      <c r="E279" s="2" t="s">
        <v>926</v>
      </c>
      <c r="F279" s="2" t="s">
        <v>927</v>
      </c>
      <c r="G279" s="2">
        <v>0</v>
      </c>
      <c r="H279" s="2">
        <v>0</v>
      </c>
      <c r="I279" s="1">
        <v>0</v>
      </c>
      <c r="J279" s="3" t="s">
        <v>18</v>
      </c>
      <c r="K279" s="2" t="str">
        <f>J279*40726.44</f>
        <v>0</v>
      </c>
      <c r="L279" s="5"/>
    </row>
    <row r="280" spans="1:12" customHeight="1" ht="105" outlineLevel="4">
      <c r="A280" s="1"/>
      <c r="B280" s="1">
        <v>873807</v>
      </c>
      <c r="C280" s="1" t="s">
        <v>928</v>
      </c>
      <c r="D280" s="1" t="s">
        <v>929</v>
      </c>
      <c r="E280" s="2" t="s">
        <v>930</v>
      </c>
      <c r="F280" s="2" t="s">
        <v>931</v>
      </c>
      <c r="G280" s="2">
        <v>0</v>
      </c>
      <c r="H280" s="2">
        <v>0</v>
      </c>
      <c r="I280" s="1">
        <v>0</v>
      </c>
      <c r="J280" s="3" t="s">
        <v>18</v>
      </c>
      <c r="K280" s="2" t="str">
        <f>J280*44411.64</f>
        <v>0</v>
      </c>
      <c r="L280" s="5"/>
    </row>
    <row r="281" spans="1:12" customHeight="1" ht="105" outlineLevel="4">
      <c r="A281" s="1"/>
      <c r="B281" s="1">
        <v>873808</v>
      </c>
      <c r="C281" s="1" t="s">
        <v>932</v>
      </c>
      <c r="D281" s="1" t="s">
        <v>933</v>
      </c>
      <c r="E281" s="2" t="s">
        <v>934</v>
      </c>
      <c r="F281" s="2" t="s">
        <v>935</v>
      </c>
      <c r="G281" s="2">
        <v>0</v>
      </c>
      <c r="H281" s="2">
        <v>0</v>
      </c>
      <c r="I281" s="1">
        <v>0</v>
      </c>
      <c r="J281" s="3" t="s">
        <v>18</v>
      </c>
      <c r="K281" s="2" t="str">
        <f>J281*51682.44</f>
        <v>0</v>
      </c>
      <c r="L281" s="5"/>
    </row>
    <row r="282" spans="1:12" customHeight="1" ht="105" outlineLevel="4">
      <c r="A282" s="1"/>
      <c r="B282" s="1">
        <v>873809</v>
      </c>
      <c r="C282" s="1" t="s">
        <v>936</v>
      </c>
      <c r="D282" s="1" t="s">
        <v>937</v>
      </c>
      <c r="E282" s="2" t="s">
        <v>938</v>
      </c>
      <c r="F282" s="2" t="s">
        <v>939</v>
      </c>
      <c r="G282" s="2">
        <v>0</v>
      </c>
      <c r="H282" s="2">
        <v>0</v>
      </c>
      <c r="I282" s="1">
        <v>0</v>
      </c>
      <c r="J282" s="3" t="s">
        <v>18</v>
      </c>
      <c r="K282" s="2" t="str">
        <f>J282*59550.84</f>
        <v>0</v>
      </c>
      <c r="L282" s="5"/>
    </row>
    <row r="283" spans="1:12" customHeight="1" ht="105" outlineLevel="4">
      <c r="A283" s="1"/>
      <c r="B283" s="1">
        <v>873810</v>
      </c>
      <c r="C283" s="1" t="s">
        <v>940</v>
      </c>
      <c r="D283" s="1" t="s">
        <v>941</v>
      </c>
      <c r="E283" s="2" t="s">
        <v>942</v>
      </c>
      <c r="F283" s="2" t="s">
        <v>943</v>
      </c>
      <c r="G283" s="2">
        <v>0</v>
      </c>
      <c r="H283" s="2">
        <v>0</v>
      </c>
      <c r="I283" s="1">
        <v>0</v>
      </c>
      <c r="J283" s="3" t="s">
        <v>18</v>
      </c>
      <c r="K283" s="2" t="str">
        <f>J283*79670.04</f>
        <v>0</v>
      </c>
      <c r="L283" s="5"/>
    </row>
    <row r="284" spans="1:12" customHeight="1" ht="105" outlineLevel="4">
      <c r="A284" s="1"/>
      <c r="B284" s="1">
        <v>873811</v>
      </c>
      <c r="C284" s="1" t="s">
        <v>944</v>
      </c>
      <c r="D284" s="1" t="s">
        <v>945</v>
      </c>
      <c r="E284" s="2" t="s">
        <v>946</v>
      </c>
      <c r="F284" s="2" t="s">
        <v>947</v>
      </c>
      <c r="G284" s="2">
        <v>0</v>
      </c>
      <c r="H284" s="2">
        <v>0</v>
      </c>
      <c r="I284" s="1">
        <v>0</v>
      </c>
      <c r="J284" s="3" t="s">
        <v>18</v>
      </c>
      <c r="K284" s="2" t="str">
        <f>J284*32260.44</f>
        <v>0</v>
      </c>
      <c r="L284" s="5"/>
    </row>
    <row r="285" spans="1:12" customHeight="1" ht="105" outlineLevel="4">
      <c r="A285" s="1"/>
      <c r="B285" s="1">
        <v>873812</v>
      </c>
      <c r="C285" s="1" t="s">
        <v>948</v>
      </c>
      <c r="D285" s="1" t="s">
        <v>949</v>
      </c>
      <c r="E285" s="2" t="s">
        <v>950</v>
      </c>
      <c r="F285" s="2" t="s">
        <v>951</v>
      </c>
      <c r="G285" s="2">
        <v>0</v>
      </c>
      <c r="H285" s="2">
        <v>0</v>
      </c>
      <c r="I285" s="1">
        <v>0</v>
      </c>
      <c r="J285" s="3" t="s">
        <v>18</v>
      </c>
      <c r="K285" s="2" t="str">
        <f>J285*35945.64</f>
        <v>0</v>
      </c>
      <c r="L285" s="5"/>
    </row>
    <row r="286" spans="1:12" customHeight="1" ht="105" outlineLevel="4">
      <c r="A286" s="1"/>
      <c r="B286" s="1">
        <v>874123</v>
      </c>
      <c r="C286" s="1" t="s">
        <v>952</v>
      </c>
      <c r="D286" s="1" t="s">
        <v>953</v>
      </c>
      <c r="E286" s="2" t="s">
        <v>954</v>
      </c>
      <c r="F286" s="2" t="s">
        <v>955</v>
      </c>
      <c r="G286" s="2">
        <v>0</v>
      </c>
      <c r="H286" s="2">
        <v>0</v>
      </c>
      <c r="I286" s="1">
        <v>0</v>
      </c>
      <c r="J286" s="3" t="s">
        <v>18</v>
      </c>
      <c r="K286" s="2" t="str">
        <f>J286*46304.04</f>
        <v>0</v>
      </c>
      <c r="L286" s="5"/>
    </row>
    <row r="287" spans="1:12" customHeight="1" ht="105" outlineLevel="4">
      <c r="A287" s="1"/>
      <c r="B287" s="1">
        <v>874124</v>
      </c>
      <c r="C287" s="1" t="s">
        <v>956</v>
      </c>
      <c r="D287" s="1" t="s">
        <v>957</v>
      </c>
      <c r="E287" s="2" t="s">
        <v>958</v>
      </c>
      <c r="F287" s="2" t="s">
        <v>959</v>
      </c>
      <c r="G287" s="2">
        <v>0</v>
      </c>
      <c r="H287" s="2">
        <v>0</v>
      </c>
      <c r="I287" s="1">
        <v>0</v>
      </c>
      <c r="J287" s="3" t="s">
        <v>18</v>
      </c>
      <c r="K287" s="2" t="str">
        <f>J287*50686.44</f>
        <v>0</v>
      </c>
      <c r="L287" s="5"/>
    </row>
    <row r="288" spans="1:12" customHeight="1" ht="105" outlineLevel="4">
      <c r="A288" s="1"/>
      <c r="B288" s="1">
        <v>874125</v>
      </c>
      <c r="C288" s="1" t="s">
        <v>960</v>
      </c>
      <c r="D288" s="1" t="s">
        <v>961</v>
      </c>
      <c r="E288" s="2" t="s">
        <v>962</v>
      </c>
      <c r="F288" s="2" t="s">
        <v>963</v>
      </c>
      <c r="G288" s="2">
        <v>0</v>
      </c>
      <c r="H288" s="2">
        <v>0</v>
      </c>
      <c r="I288" s="1">
        <v>0</v>
      </c>
      <c r="J288" s="3" t="s">
        <v>18</v>
      </c>
      <c r="K288" s="2" t="str">
        <f>J288*61443.24</f>
        <v>0</v>
      </c>
      <c r="L288" s="5"/>
    </row>
    <row r="289" spans="1:12" customHeight="1" ht="105" outlineLevel="4">
      <c r="A289" s="1"/>
      <c r="B289" s="1">
        <v>874126</v>
      </c>
      <c r="C289" s="1" t="s">
        <v>964</v>
      </c>
      <c r="D289" s="1" t="s">
        <v>965</v>
      </c>
      <c r="E289" s="2" t="s">
        <v>966</v>
      </c>
      <c r="F289" s="2" t="s">
        <v>967</v>
      </c>
      <c r="G289" s="2">
        <v>0</v>
      </c>
      <c r="H289" s="2">
        <v>0</v>
      </c>
      <c r="I289" s="1">
        <v>0</v>
      </c>
      <c r="J289" s="3" t="s">
        <v>18</v>
      </c>
      <c r="K289" s="2" t="str">
        <f>J289*64431.24</f>
        <v>0</v>
      </c>
      <c r="L289" s="5"/>
    </row>
    <row r="290" spans="1:12" outlineLevel="1">
      <c r="A290" s="7" t="s">
        <v>968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5"/>
    </row>
    <row r="291" spans="1:12" customHeight="1" ht="105" outlineLevel="3">
      <c r="A291" s="1"/>
      <c r="B291" s="1">
        <v>885818</v>
      </c>
      <c r="C291" s="1" t="s">
        <v>969</v>
      </c>
      <c r="D291" s="1" t="s">
        <v>970</v>
      </c>
      <c r="E291" s="2" t="s">
        <v>971</v>
      </c>
      <c r="F291" s="2" t="s">
        <v>972</v>
      </c>
      <c r="G291" s="2">
        <v>-1</v>
      </c>
      <c r="H291" s="2">
        <v>0</v>
      </c>
      <c r="I291" s="1">
        <v>0</v>
      </c>
      <c r="J291" s="3" t="s">
        <v>18</v>
      </c>
      <c r="K291" s="2" t="str">
        <f>J291*3036.06</f>
        <v>0</v>
      </c>
      <c r="L291" s="5"/>
    </row>
    <row r="292" spans="1:12" outlineLevel="2">
      <c r="A292" s="8" t="s">
        <v>973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5"/>
    </row>
    <row r="293" spans="1:12" customHeight="1" ht="105" outlineLevel="4">
      <c r="A293" s="1"/>
      <c r="B293" s="1">
        <v>873666</v>
      </c>
      <c r="C293" s="1" t="s">
        <v>974</v>
      </c>
      <c r="D293" s="1"/>
      <c r="E293" s="2" t="s">
        <v>975</v>
      </c>
      <c r="F293" s="2" t="s">
        <v>976</v>
      </c>
      <c r="G293" s="2">
        <v>2</v>
      </c>
      <c r="H293" s="2">
        <v>0</v>
      </c>
      <c r="I293" s="1">
        <v>0</v>
      </c>
      <c r="J293" s="3" t="s">
        <v>18</v>
      </c>
      <c r="K293" s="2" t="str">
        <f>J293*1100.80</f>
        <v>0</v>
      </c>
      <c r="L293" s="5"/>
    </row>
    <row r="294" spans="1:12" customHeight="1" ht="105" outlineLevel="4">
      <c r="A294" s="1"/>
      <c r="B294" s="1">
        <v>873667</v>
      </c>
      <c r="C294" s="1" t="s">
        <v>977</v>
      </c>
      <c r="D294" s="1"/>
      <c r="E294" s="2" t="s">
        <v>978</v>
      </c>
      <c r="F294" s="2" t="s">
        <v>979</v>
      </c>
      <c r="G294" s="2">
        <v>0</v>
      </c>
      <c r="H294" s="2">
        <v>0</v>
      </c>
      <c r="I294" s="1">
        <v>0</v>
      </c>
      <c r="J294" s="3" t="s">
        <v>18</v>
      </c>
      <c r="K294" s="2" t="str">
        <f>J294*1212.80</f>
        <v>0</v>
      </c>
      <c r="L294" s="5"/>
    </row>
    <row r="295" spans="1:12" customHeight="1" ht="105" outlineLevel="4">
      <c r="A295" s="1"/>
      <c r="B295" s="1">
        <v>873668</v>
      </c>
      <c r="C295" s="1" t="s">
        <v>980</v>
      </c>
      <c r="D295" s="1"/>
      <c r="E295" s="2" t="s">
        <v>981</v>
      </c>
      <c r="F295" s="2" t="s">
        <v>982</v>
      </c>
      <c r="G295" s="2">
        <v>0</v>
      </c>
      <c r="H295" s="2">
        <v>0</v>
      </c>
      <c r="I295" s="1">
        <v>0</v>
      </c>
      <c r="J295" s="3" t="s">
        <v>18</v>
      </c>
      <c r="K295" s="2" t="str">
        <f>J295*1084.80</f>
        <v>0</v>
      </c>
      <c r="L295" s="5"/>
    </row>
    <row r="296" spans="1:12" customHeight="1" ht="105" outlineLevel="4">
      <c r="A296" s="1"/>
      <c r="B296" s="1">
        <v>873791</v>
      </c>
      <c r="C296" s="1" t="s">
        <v>983</v>
      </c>
      <c r="D296" s="1"/>
      <c r="E296" s="2" t="s">
        <v>984</v>
      </c>
      <c r="F296" s="2" t="s">
        <v>985</v>
      </c>
      <c r="G296" s="2">
        <v>0</v>
      </c>
      <c r="H296" s="2">
        <v>0</v>
      </c>
      <c r="I296" s="1">
        <v>0</v>
      </c>
      <c r="J296" s="3" t="s">
        <v>18</v>
      </c>
      <c r="K296" s="2" t="str">
        <f>J296*2552.00</f>
        <v>0</v>
      </c>
      <c r="L296" s="5"/>
    </row>
    <row r="297" spans="1:12" customHeight="1" ht="105" outlineLevel="4">
      <c r="A297" s="1"/>
      <c r="B297" s="1">
        <v>873792</v>
      </c>
      <c r="C297" s="1" t="s">
        <v>986</v>
      </c>
      <c r="D297" s="1"/>
      <c r="E297" s="2" t="s">
        <v>987</v>
      </c>
      <c r="F297" s="2" t="s">
        <v>988</v>
      </c>
      <c r="G297" s="2">
        <v>0</v>
      </c>
      <c r="H297" s="2">
        <v>0</v>
      </c>
      <c r="I297" s="1">
        <v>0</v>
      </c>
      <c r="J297" s="3" t="s">
        <v>18</v>
      </c>
      <c r="K297" s="2" t="str">
        <f>J297*1390.40</f>
        <v>0</v>
      </c>
      <c r="L297" s="5"/>
    </row>
    <row r="298" spans="1:12" outlineLevel="2">
      <c r="A298" s="8" t="s">
        <v>989</v>
      </c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5"/>
    </row>
    <row r="299" spans="1:12" customHeight="1" ht="105" outlineLevel="4">
      <c r="A299" s="1"/>
      <c r="B299" s="1">
        <v>873881</v>
      </c>
      <c r="C299" s="1" t="s">
        <v>990</v>
      </c>
      <c r="D299" s="1"/>
      <c r="E299" s="2" t="s">
        <v>991</v>
      </c>
      <c r="F299" s="2" t="s">
        <v>992</v>
      </c>
      <c r="G299" s="2">
        <v>-3</v>
      </c>
      <c r="H299" s="2">
        <v>0</v>
      </c>
      <c r="I299" s="1">
        <v>0</v>
      </c>
      <c r="J299" s="3" t="s">
        <v>18</v>
      </c>
      <c r="K299" s="2" t="str">
        <f>J299*3088.26</f>
        <v>0</v>
      </c>
      <c r="L299" s="5"/>
    </row>
    <row r="300" spans="1:12" outlineLevel="1">
      <c r="A300" s="7" t="s">
        <v>993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5"/>
    </row>
    <row r="301" spans="1:12" customHeight="1" ht="105" outlineLevel="3">
      <c r="A301" s="1"/>
      <c r="B301" s="1">
        <v>883194</v>
      </c>
      <c r="C301" s="1" t="s">
        <v>994</v>
      </c>
      <c r="D301" s="1" t="s">
        <v>995</v>
      </c>
      <c r="E301" s="2" t="s">
        <v>996</v>
      </c>
      <c r="F301" s="2" t="s">
        <v>997</v>
      </c>
      <c r="G301" s="2">
        <v>0</v>
      </c>
      <c r="H301" s="2">
        <v>0</v>
      </c>
      <c r="I301" s="1">
        <v>0</v>
      </c>
      <c r="J301" s="3" t="s">
        <v>18</v>
      </c>
      <c r="K301" s="2" t="str">
        <f>J301*7550.55</f>
        <v>0</v>
      </c>
      <c r="L301" s="5"/>
    </row>
    <row r="302" spans="1:12" customHeight="1" ht="105" outlineLevel="3">
      <c r="A302" s="1"/>
      <c r="B302" s="1">
        <v>883195</v>
      </c>
      <c r="C302" s="1" t="s">
        <v>998</v>
      </c>
      <c r="D302" s="1" t="s">
        <v>999</v>
      </c>
      <c r="E302" s="2" t="s">
        <v>1000</v>
      </c>
      <c r="F302" s="2" t="s">
        <v>1001</v>
      </c>
      <c r="G302" s="2">
        <v>-2</v>
      </c>
      <c r="H302" s="2">
        <v>0</v>
      </c>
      <c r="I302" s="1">
        <v>0</v>
      </c>
      <c r="J302" s="3" t="s">
        <v>18</v>
      </c>
      <c r="K302" s="2" t="str">
        <f>J302*10281.60</f>
        <v>0</v>
      </c>
      <c r="L302" s="5"/>
    </row>
    <row r="303" spans="1:12" customHeight="1" ht="105" outlineLevel="3">
      <c r="A303" s="1"/>
      <c r="B303" s="1">
        <v>883196</v>
      </c>
      <c r="C303" s="1" t="s">
        <v>1002</v>
      </c>
      <c r="D303" s="1" t="s">
        <v>1003</v>
      </c>
      <c r="E303" s="2" t="s">
        <v>1004</v>
      </c>
      <c r="F303" s="2" t="s">
        <v>1005</v>
      </c>
      <c r="G303" s="2">
        <v>0</v>
      </c>
      <c r="H303" s="2">
        <v>0</v>
      </c>
      <c r="I303" s="1">
        <v>0</v>
      </c>
      <c r="J303" s="3" t="s">
        <v>18</v>
      </c>
      <c r="K303" s="2" t="str">
        <f>J303*11122.65</f>
        <v>0</v>
      </c>
      <c r="L303" s="5"/>
    </row>
    <row r="304" spans="1:12" customHeight="1" ht="105" outlineLevel="3">
      <c r="A304" s="1"/>
      <c r="B304" s="1">
        <v>883197</v>
      </c>
      <c r="C304" s="1" t="s">
        <v>1006</v>
      </c>
      <c r="D304" s="1" t="s">
        <v>1007</v>
      </c>
      <c r="E304" s="2" t="s">
        <v>1008</v>
      </c>
      <c r="F304" s="2" t="s">
        <v>1009</v>
      </c>
      <c r="G304" s="2">
        <v>0</v>
      </c>
      <c r="H304" s="2">
        <v>0</v>
      </c>
      <c r="I304" s="1">
        <v>0</v>
      </c>
      <c r="J304" s="3" t="s">
        <v>18</v>
      </c>
      <c r="K304" s="2" t="str">
        <f>J304*15072.75</f>
        <v>0</v>
      </c>
      <c r="L304" s="5"/>
    </row>
    <row r="305" spans="1:12" customHeight="1" ht="105" outlineLevel="3">
      <c r="A305" s="1"/>
      <c r="B305" s="1">
        <v>883198</v>
      </c>
      <c r="C305" s="1" t="s">
        <v>1010</v>
      </c>
      <c r="D305" s="1" t="s">
        <v>1011</v>
      </c>
      <c r="E305" s="2" t="s">
        <v>1012</v>
      </c>
      <c r="F305" s="2" t="s">
        <v>1013</v>
      </c>
      <c r="G305" s="2">
        <v>0</v>
      </c>
      <c r="H305" s="2">
        <v>0</v>
      </c>
      <c r="I305" s="1">
        <v>0</v>
      </c>
      <c r="J305" s="3" t="s">
        <v>18</v>
      </c>
      <c r="K305" s="2" t="str">
        <f>J305*15800.40</f>
        <v>0</v>
      </c>
      <c r="L305" s="5"/>
    </row>
    <row r="306" spans="1:12" customHeight="1" ht="105" outlineLevel="3">
      <c r="A306" s="1"/>
      <c r="B306" s="1">
        <v>883199</v>
      </c>
      <c r="C306" s="1" t="s">
        <v>1014</v>
      </c>
      <c r="D306" s="1" t="s">
        <v>1015</v>
      </c>
      <c r="E306" s="2" t="s">
        <v>1016</v>
      </c>
      <c r="F306" s="2" t="s">
        <v>1017</v>
      </c>
      <c r="G306" s="2">
        <v>0</v>
      </c>
      <c r="H306" s="2">
        <v>0</v>
      </c>
      <c r="I306" s="1">
        <v>0</v>
      </c>
      <c r="J306" s="3" t="s">
        <v>18</v>
      </c>
      <c r="K306" s="2" t="str">
        <f>J306*44037.00</f>
        <v>0</v>
      </c>
      <c r="L306" s="5"/>
    </row>
    <row r="307" spans="1:12" customHeight="1" ht="105" outlineLevel="3">
      <c r="A307" s="1"/>
      <c r="B307" s="1">
        <v>883200</v>
      </c>
      <c r="C307" s="1" t="s">
        <v>1018</v>
      </c>
      <c r="D307" s="1" t="s">
        <v>1019</v>
      </c>
      <c r="E307" s="2" t="s">
        <v>1020</v>
      </c>
      <c r="F307" s="2" t="s">
        <v>1021</v>
      </c>
      <c r="G307" s="2">
        <v>-1</v>
      </c>
      <c r="H307" s="2">
        <v>0</v>
      </c>
      <c r="I307" s="1">
        <v>0</v>
      </c>
      <c r="J307" s="3" t="s">
        <v>18</v>
      </c>
      <c r="K307" s="2" t="str">
        <f>J307*47769.75</f>
        <v>0</v>
      </c>
      <c r="L307" s="5"/>
    </row>
    <row r="308" spans="1:12" customHeight="1" ht="105" outlineLevel="3">
      <c r="A308" s="1"/>
      <c r="B308" s="1">
        <v>883201</v>
      </c>
      <c r="C308" s="1" t="s">
        <v>1022</v>
      </c>
      <c r="D308" s="1" t="s">
        <v>1023</v>
      </c>
      <c r="E308" s="2" t="s">
        <v>1024</v>
      </c>
      <c r="F308" s="2" t="s">
        <v>1025</v>
      </c>
      <c r="G308" s="2">
        <v>0</v>
      </c>
      <c r="H308" s="2">
        <v>0</v>
      </c>
      <c r="I308" s="1">
        <v>0</v>
      </c>
      <c r="J308" s="3" t="s">
        <v>18</v>
      </c>
      <c r="K308" s="2" t="str">
        <f>J308*52182.90</f>
        <v>0</v>
      </c>
      <c r="L308" s="5"/>
    </row>
    <row r="309" spans="1:12" customHeight="1" ht="105" outlineLevel="3">
      <c r="A309" s="1"/>
      <c r="B309" s="1">
        <v>883202</v>
      </c>
      <c r="C309" s="1" t="s">
        <v>1026</v>
      </c>
      <c r="D309" s="1" t="s">
        <v>1027</v>
      </c>
      <c r="E309" s="2" t="s">
        <v>1028</v>
      </c>
      <c r="F309" s="2" t="s">
        <v>1029</v>
      </c>
      <c r="G309" s="2">
        <v>0</v>
      </c>
      <c r="H309" s="2">
        <v>0</v>
      </c>
      <c r="I309" s="1">
        <v>0</v>
      </c>
      <c r="J309" s="3" t="s">
        <v>18</v>
      </c>
      <c r="K309" s="2" t="str">
        <f>J309*41013.00</f>
        <v>0</v>
      </c>
      <c r="L309" s="5"/>
    </row>
    <row r="310" spans="1:12" customHeight="1" ht="105" outlineLevel="3">
      <c r="A310" s="1"/>
      <c r="B310" s="1">
        <v>883203</v>
      </c>
      <c r="C310" s="1" t="s">
        <v>1030</v>
      </c>
      <c r="D310" s="1" t="s">
        <v>1031</v>
      </c>
      <c r="E310" s="2" t="s">
        <v>1032</v>
      </c>
      <c r="F310" s="2" t="s">
        <v>1033</v>
      </c>
      <c r="G310" s="2">
        <v>0</v>
      </c>
      <c r="H310" s="2">
        <v>0</v>
      </c>
      <c r="I310" s="1">
        <v>0</v>
      </c>
      <c r="J310" s="3" t="s">
        <v>18</v>
      </c>
      <c r="K310" s="2" t="str">
        <f>J310*20279.70</f>
        <v>0</v>
      </c>
      <c r="L310" s="5"/>
    </row>
    <row r="311" spans="1:12" customHeight="1" ht="105" outlineLevel="3">
      <c r="A311" s="1"/>
      <c r="B311" s="1">
        <v>883204</v>
      </c>
      <c r="C311" s="1" t="s">
        <v>1034</v>
      </c>
      <c r="D311" s="1" t="s">
        <v>1035</v>
      </c>
      <c r="E311" s="2" t="s">
        <v>1036</v>
      </c>
      <c r="F311" s="2" t="s">
        <v>1037</v>
      </c>
      <c r="G311" s="2">
        <v>0</v>
      </c>
      <c r="H311" s="2">
        <v>0</v>
      </c>
      <c r="I311" s="1">
        <v>0</v>
      </c>
      <c r="J311" s="3" t="s">
        <v>18</v>
      </c>
      <c r="K311" s="2" t="str">
        <f>J311*27216.00</f>
        <v>0</v>
      </c>
      <c r="L311" s="5"/>
    </row>
    <row r="312" spans="1:12" customHeight="1" ht="105" outlineLevel="3">
      <c r="A312" s="1"/>
      <c r="B312" s="1">
        <v>883205</v>
      </c>
      <c r="C312" s="1" t="s">
        <v>1038</v>
      </c>
      <c r="D312" s="1" t="s">
        <v>1039</v>
      </c>
      <c r="E312" s="2" t="s">
        <v>1040</v>
      </c>
      <c r="F312" s="2" t="s">
        <v>1041</v>
      </c>
      <c r="G312" s="2">
        <v>-1</v>
      </c>
      <c r="H312" s="2">
        <v>0</v>
      </c>
      <c r="I312" s="1">
        <v>0</v>
      </c>
      <c r="J312" s="3" t="s">
        <v>18</v>
      </c>
      <c r="K312" s="2" t="str">
        <f>J312*28066.50</f>
        <v>0</v>
      </c>
      <c r="L312" s="5"/>
    </row>
    <row r="313" spans="1:12" customHeight="1" ht="105" outlineLevel="3">
      <c r="A313" s="1"/>
      <c r="B313" s="1">
        <v>883206</v>
      </c>
      <c r="C313" s="1" t="s">
        <v>1042</v>
      </c>
      <c r="D313" s="1" t="s">
        <v>1043</v>
      </c>
      <c r="E313" s="2" t="s">
        <v>1044</v>
      </c>
      <c r="F313" s="2" t="s">
        <v>1045</v>
      </c>
      <c r="G313" s="2">
        <v>0</v>
      </c>
      <c r="H313" s="2">
        <v>0</v>
      </c>
      <c r="I313" s="1">
        <v>0</v>
      </c>
      <c r="J313" s="3" t="s">
        <v>18</v>
      </c>
      <c r="K313" s="2" t="str">
        <f>J313*43394.40</f>
        <v>0</v>
      </c>
      <c r="L313" s="5"/>
    </row>
    <row r="314" spans="1:12" customHeight="1" ht="105" outlineLevel="3">
      <c r="A314" s="1"/>
      <c r="B314" s="1">
        <v>883207</v>
      </c>
      <c r="C314" s="1" t="s">
        <v>1046</v>
      </c>
      <c r="D314" s="1" t="s">
        <v>1047</v>
      </c>
      <c r="E314" s="2" t="s">
        <v>1048</v>
      </c>
      <c r="F314" s="2" t="s">
        <v>1049</v>
      </c>
      <c r="G314" s="2">
        <v>0</v>
      </c>
      <c r="H314" s="2">
        <v>0</v>
      </c>
      <c r="I314" s="1">
        <v>0</v>
      </c>
      <c r="J314" s="3" t="s">
        <v>18</v>
      </c>
      <c r="K314" s="2" t="str">
        <f>J314*7635.60</f>
        <v>0</v>
      </c>
      <c r="L314" s="5"/>
    </row>
    <row r="315" spans="1:12" customHeight="1" ht="105" outlineLevel="3">
      <c r="A315" s="1"/>
      <c r="B315" s="1">
        <v>883208</v>
      </c>
      <c r="C315" s="1" t="s">
        <v>1050</v>
      </c>
      <c r="D315" s="1" t="s">
        <v>1051</v>
      </c>
      <c r="E315" s="2" t="s">
        <v>1052</v>
      </c>
      <c r="F315" s="2" t="s">
        <v>1049</v>
      </c>
      <c r="G315" s="2">
        <v>0</v>
      </c>
      <c r="H315" s="2">
        <v>0</v>
      </c>
      <c r="I315" s="1">
        <v>0</v>
      </c>
      <c r="J315" s="3" t="s">
        <v>18</v>
      </c>
      <c r="K315" s="2" t="str">
        <f>J315*7635.60</f>
        <v>0</v>
      </c>
      <c r="L315" s="5"/>
    </row>
    <row r="316" spans="1:12" customHeight="1" ht="105" outlineLevel="3">
      <c r="A316" s="1"/>
      <c r="B316" s="1">
        <v>883209</v>
      </c>
      <c r="C316" s="1" t="s">
        <v>1053</v>
      </c>
      <c r="D316" s="1" t="s">
        <v>1054</v>
      </c>
      <c r="E316" s="2" t="s">
        <v>1055</v>
      </c>
      <c r="F316" s="2" t="s">
        <v>1056</v>
      </c>
      <c r="G316" s="2">
        <v>0</v>
      </c>
      <c r="H316" s="2">
        <v>0</v>
      </c>
      <c r="I316" s="1">
        <v>0</v>
      </c>
      <c r="J316" s="3" t="s">
        <v>18</v>
      </c>
      <c r="K316" s="2" t="str">
        <f>J316*8089.20</f>
        <v>0</v>
      </c>
      <c r="L316" s="5"/>
    </row>
    <row r="317" spans="1:12" customHeight="1" ht="105" outlineLevel="3">
      <c r="A317" s="1"/>
      <c r="B317" s="1">
        <v>883210</v>
      </c>
      <c r="C317" s="1" t="s">
        <v>1057</v>
      </c>
      <c r="D317" s="1" t="s">
        <v>1058</v>
      </c>
      <c r="E317" s="2" t="s">
        <v>1059</v>
      </c>
      <c r="F317" s="2" t="s">
        <v>1060</v>
      </c>
      <c r="G317" s="2">
        <v>0</v>
      </c>
      <c r="H317" s="2">
        <v>0</v>
      </c>
      <c r="I317" s="1">
        <v>0</v>
      </c>
      <c r="J317" s="3" t="s">
        <v>18</v>
      </c>
      <c r="K317" s="2" t="str">
        <f>J317*9639.00</f>
        <v>0</v>
      </c>
      <c r="L317" s="5"/>
    </row>
    <row r="318" spans="1:12" customHeight="1" ht="105" outlineLevel="3">
      <c r="A318" s="1"/>
      <c r="B318" s="1">
        <v>883211</v>
      </c>
      <c r="C318" s="1" t="s">
        <v>1061</v>
      </c>
      <c r="D318" s="1" t="s">
        <v>1062</v>
      </c>
      <c r="E318" s="2" t="s">
        <v>1063</v>
      </c>
      <c r="F318" s="2" t="s">
        <v>1064</v>
      </c>
      <c r="G318" s="2">
        <v>0</v>
      </c>
      <c r="H318" s="2">
        <v>0</v>
      </c>
      <c r="I318" s="1">
        <v>0</v>
      </c>
      <c r="J318" s="3" t="s">
        <v>18</v>
      </c>
      <c r="K318" s="2" t="str">
        <f>J318*21168.00</f>
        <v>0</v>
      </c>
      <c r="L318" s="5"/>
    </row>
    <row r="319" spans="1:12" customHeight="1" ht="105" outlineLevel="3">
      <c r="A319" s="1"/>
      <c r="B319" s="1">
        <v>883212</v>
      </c>
      <c r="C319" s="1" t="s">
        <v>1065</v>
      </c>
      <c r="D319" s="1" t="s">
        <v>1066</v>
      </c>
      <c r="E319" s="2" t="s">
        <v>1067</v>
      </c>
      <c r="F319" s="2" t="s">
        <v>1068</v>
      </c>
      <c r="G319" s="2">
        <v>0</v>
      </c>
      <c r="H319" s="2">
        <v>0</v>
      </c>
      <c r="I319" s="1">
        <v>0</v>
      </c>
      <c r="J319" s="3" t="s">
        <v>18</v>
      </c>
      <c r="K319" s="2" t="str">
        <f>J319*22415.40</f>
        <v>0</v>
      </c>
      <c r="L319" s="5"/>
    </row>
    <row r="320" spans="1:12" customHeight="1" ht="105" outlineLevel="3">
      <c r="A320" s="1"/>
      <c r="B320" s="1">
        <v>883213</v>
      </c>
      <c r="C320" s="1" t="s">
        <v>1069</v>
      </c>
      <c r="D320" s="1" t="s">
        <v>1070</v>
      </c>
      <c r="E320" s="2" t="s">
        <v>1071</v>
      </c>
      <c r="F320" s="2" t="s">
        <v>1072</v>
      </c>
      <c r="G320" s="2">
        <v>-1</v>
      </c>
      <c r="H320" s="2">
        <v>0</v>
      </c>
      <c r="I320" s="1">
        <v>0</v>
      </c>
      <c r="J320" s="3" t="s">
        <v>18</v>
      </c>
      <c r="K320" s="2" t="str">
        <f>J320*23861.25</f>
        <v>0</v>
      </c>
      <c r="L320" s="5"/>
    </row>
    <row r="321" spans="1:12" customHeight="1" ht="105" outlineLevel="3">
      <c r="A321" s="1"/>
      <c r="B321" s="1">
        <v>883214</v>
      </c>
      <c r="C321" s="1" t="s">
        <v>1073</v>
      </c>
      <c r="D321" s="1" t="s">
        <v>1074</v>
      </c>
      <c r="E321" s="2" t="s">
        <v>1075</v>
      </c>
      <c r="F321" s="2" t="s">
        <v>1076</v>
      </c>
      <c r="G321" s="2">
        <v>0</v>
      </c>
      <c r="H321" s="2">
        <v>0</v>
      </c>
      <c r="I321" s="1">
        <v>0</v>
      </c>
      <c r="J321" s="3" t="s">
        <v>18</v>
      </c>
      <c r="K321" s="2" t="str">
        <f>J321*18786.60</f>
        <v>0</v>
      </c>
      <c r="L321" s="5"/>
    </row>
    <row r="322" spans="1:12" customHeight="1" ht="105" outlineLevel="3">
      <c r="A322" s="1"/>
      <c r="B322" s="1">
        <v>883215</v>
      </c>
      <c r="C322" s="1" t="s">
        <v>1077</v>
      </c>
      <c r="D322" s="1" t="s">
        <v>1078</v>
      </c>
      <c r="E322" s="2" t="s">
        <v>1079</v>
      </c>
      <c r="F322" s="2" t="s">
        <v>1080</v>
      </c>
      <c r="G322" s="2">
        <v>0</v>
      </c>
      <c r="H322" s="2">
        <v>0</v>
      </c>
      <c r="I322" s="1">
        <v>0</v>
      </c>
      <c r="J322" s="3" t="s">
        <v>18</v>
      </c>
      <c r="K322" s="2" t="str">
        <f>J322*13891.50</f>
        <v>0</v>
      </c>
      <c r="L322" s="5"/>
    </row>
    <row r="323" spans="1:12" customHeight="1" ht="105" outlineLevel="3">
      <c r="A323" s="1"/>
      <c r="B323" s="1">
        <v>883216</v>
      </c>
      <c r="C323" s="1" t="s">
        <v>1081</v>
      </c>
      <c r="D323" s="1" t="s">
        <v>1082</v>
      </c>
      <c r="E323" s="2" t="s">
        <v>1083</v>
      </c>
      <c r="F323" s="2" t="s">
        <v>1084</v>
      </c>
      <c r="G323" s="2">
        <v>0</v>
      </c>
      <c r="H323" s="2">
        <v>0</v>
      </c>
      <c r="I323" s="1">
        <v>0</v>
      </c>
      <c r="J323" s="3" t="s">
        <v>18</v>
      </c>
      <c r="K323" s="2" t="str">
        <f>J323*17775.45</f>
        <v>0</v>
      </c>
      <c r="L323" s="5"/>
    </row>
    <row r="324" spans="1:12" customHeight="1" ht="105" outlineLevel="3">
      <c r="A324" s="1"/>
      <c r="B324" s="1">
        <v>883217</v>
      </c>
      <c r="C324" s="1" t="s">
        <v>1085</v>
      </c>
      <c r="D324" s="1" t="s">
        <v>1086</v>
      </c>
      <c r="E324" s="2" t="s">
        <v>1087</v>
      </c>
      <c r="F324" s="2" t="s">
        <v>1088</v>
      </c>
      <c r="G324" s="2">
        <v>0</v>
      </c>
      <c r="H324" s="2">
        <v>0</v>
      </c>
      <c r="I324" s="1">
        <v>0</v>
      </c>
      <c r="J324" s="3" t="s">
        <v>18</v>
      </c>
      <c r="K324" s="2" t="str">
        <f>J324*14742.00</f>
        <v>0</v>
      </c>
      <c r="L324" s="5"/>
    </row>
    <row r="325" spans="1:12" customHeight="1" ht="105" outlineLevel="3">
      <c r="A325" s="1"/>
      <c r="B325" s="1">
        <v>883218</v>
      </c>
      <c r="C325" s="1" t="s">
        <v>1089</v>
      </c>
      <c r="D325" s="1" t="s">
        <v>1090</v>
      </c>
      <c r="E325" s="2" t="s">
        <v>1091</v>
      </c>
      <c r="F325" s="2" t="s">
        <v>1092</v>
      </c>
      <c r="G325" s="2">
        <v>-3</v>
      </c>
      <c r="H325" s="2">
        <v>0</v>
      </c>
      <c r="I325" s="1">
        <v>0</v>
      </c>
      <c r="J325" s="3" t="s">
        <v>18</v>
      </c>
      <c r="K325" s="2" t="str">
        <f>J325*3685.50</f>
        <v>0</v>
      </c>
      <c r="L325" s="5"/>
    </row>
    <row r="326" spans="1:12" customHeight="1" ht="105" outlineLevel="3">
      <c r="A326" s="1"/>
      <c r="B326" s="1">
        <v>883219</v>
      </c>
      <c r="C326" s="1" t="s">
        <v>1093</v>
      </c>
      <c r="D326" s="1" t="s">
        <v>1094</v>
      </c>
      <c r="E326" s="2" t="s">
        <v>1095</v>
      </c>
      <c r="F326" s="2" t="s">
        <v>1092</v>
      </c>
      <c r="G326" s="2">
        <v>-3</v>
      </c>
      <c r="H326" s="2">
        <v>0</v>
      </c>
      <c r="I326" s="1">
        <v>0</v>
      </c>
      <c r="J326" s="3" t="s">
        <v>18</v>
      </c>
      <c r="K326" s="2" t="str">
        <f>J326*3685.50</f>
        <v>0</v>
      </c>
      <c r="L326" s="5"/>
    </row>
    <row r="327" spans="1:12" customHeight="1" ht="105" outlineLevel="3">
      <c r="A327" s="1"/>
      <c r="B327" s="1">
        <v>883220</v>
      </c>
      <c r="C327" s="1" t="s">
        <v>1096</v>
      </c>
      <c r="D327" s="1" t="s">
        <v>1097</v>
      </c>
      <c r="E327" s="2" t="s">
        <v>1098</v>
      </c>
      <c r="F327" s="2" t="s">
        <v>1099</v>
      </c>
      <c r="G327" s="2">
        <v>0</v>
      </c>
      <c r="H327" s="2">
        <v>0</v>
      </c>
      <c r="I327" s="1">
        <v>0</v>
      </c>
      <c r="J327" s="3" t="s">
        <v>18</v>
      </c>
      <c r="K327" s="2" t="str">
        <f>J327*3024.00</f>
        <v>0</v>
      </c>
      <c r="L327" s="5"/>
    </row>
    <row r="328" spans="1:12" customHeight="1" ht="105" outlineLevel="3">
      <c r="A328" s="1"/>
      <c r="B328" s="1">
        <v>883221</v>
      </c>
      <c r="C328" s="1" t="s">
        <v>1100</v>
      </c>
      <c r="D328" s="1" t="s">
        <v>1101</v>
      </c>
      <c r="E328" s="2" t="s">
        <v>1102</v>
      </c>
      <c r="F328" s="2" t="s">
        <v>1103</v>
      </c>
      <c r="G328" s="2">
        <v>0</v>
      </c>
      <c r="H328" s="2">
        <v>0</v>
      </c>
      <c r="I328" s="1">
        <v>0</v>
      </c>
      <c r="J328" s="3" t="s">
        <v>18</v>
      </c>
      <c r="K328" s="2" t="str">
        <f>J328*4158.00</f>
        <v>0</v>
      </c>
      <c r="L328" s="5"/>
    </row>
    <row r="329" spans="1:12" customHeight="1" ht="105" outlineLevel="3">
      <c r="A329" s="1"/>
      <c r="B329" s="1">
        <v>883222</v>
      </c>
      <c r="C329" s="1" t="s">
        <v>1104</v>
      </c>
      <c r="D329" s="1" t="s">
        <v>1105</v>
      </c>
      <c r="E329" s="2" t="s">
        <v>1106</v>
      </c>
      <c r="F329" s="2" t="s">
        <v>1107</v>
      </c>
      <c r="G329" s="2">
        <v>0</v>
      </c>
      <c r="H329" s="2">
        <v>0</v>
      </c>
      <c r="I329" s="1">
        <v>0</v>
      </c>
      <c r="J329" s="3" t="s">
        <v>18</v>
      </c>
      <c r="K329" s="2" t="str">
        <f>J329*8249.85</f>
        <v>0</v>
      </c>
      <c r="L329" s="5"/>
    </row>
    <row r="330" spans="1:12" customHeight="1" ht="105" outlineLevel="3">
      <c r="A330" s="1"/>
      <c r="B330" s="1">
        <v>883223</v>
      </c>
      <c r="C330" s="1" t="s">
        <v>1108</v>
      </c>
      <c r="D330" s="1" t="s">
        <v>1109</v>
      </c>
      <c r="E330" s="2" t="s">
        <v>1110</v>
      </c>
      <c r="F330" s="2" t="s">
        <v>1103</v>
      </c>
      <c r="G330" s="2">
        <v>0</v>
      </c>
      <c r="H330" s="2">
        <v>0</v>
      </c>
      <c r="I330" s="1">
        <v>0</v>
      </c>
      <c r="J330" s="3" t="s">
        <v>18</v>
      </c>
      <c r="K330" s="2" t="str">
        <f>J330*4158.00</f>
        <v>0</v>
      </c>
      <c r="L330" s="5"/>
    </row>
    <row r="331" spans="1:12" customHeight="1" ht="105" outlineLevel="3">
      <c r="A331" s="1"/>
      <c r="B331" s="1">
        <v>883224</v>
      </c>
      <c r="C331" s="1" t="s">
        <v>1111</v>
      </c>
      <c r="D331" s="1" t="s">
        <v>1112</v>
      </c>
      <c r="E331" s="2" t="s">
        <v>1113</v>
      </c>
      <c r="F331" s="2" t="s">
        <v>1114</v>
      </c>
      <c r="G331" s="2">
        <v>0</v>
      </c>
      <c r="H331" s="2">
        <v>0</v>
      </c>
      <c r="I331" s="1">
        <v>0</v>
      </c>
      <c r="J331" s="3" t="s">
        <v>18</v>
      </c>
      <c r="K331" s="2" t="str">
        <f>J331*841.05</f>
        <v>0</v>
      </c>
      <c r="L331" s="5"/>
    </row>
    <row r="332" spans="1:12" customHeight="1" ht="105" outlineLevel="3">
      <c r="A332" s="1"/>
      <c r="B332" s="1">
        <v>883225</v>
      </c>
      <c r="C332" s="1" t="s">
        <v>1115</v>
      </c>
      <c r="D332" s="1" t="s">
        <v>1116</v>
      </c>
      <c r="E332" s="2" t="s">
        <v>1117</v>
      </c>
      <c r="F332" s="2" t="s">
        <v>1118</v>
      </c>
      <c r="G332" s="2">
        <v>0</v>
      </c>
      <c r="H332" s="2">
        <v>0</v>
      </c>
      <c r="I332" s="1">
        <v>0</v>
      </c>
      <c r="J332" s="3" t="s">
        <v>18</v>
      </c>
      <c r="K332" s="2" t="str">
        <f>J332*850.50</f>
        <v>0</v>
      </c>
      <c r="L332" s="5"/>
    </row>
    <row r="333" spans="1:12" customHeight="1" ht="105" outlineLevel="3">
      <c r="A333" s="1"/>
      <c r="B333" s="1">
        <v>883226</v>
      </c>
      <c r="C333" s="1" t="s">
        <v>1119</v>
      </c>
      <c r="D333" s="1" t="s">
        <v>1120</v>
      </c>
      <c r="E333" s="2" t="s">
        <v>1121</v>
      </c>
      <c r="F333" s="2" t="s">
        <v>1118</v>
      </c>
      <c r="G333" s="2">
        <v>0</v>
      </c>
      <c r="H333" s="2">
        <v>0</v>
      </c>
      <c r="I333" s="1">
        <v>0</v>
      </c>
      <c r="J333" s="3" t="s">
        <v>18</v>
      </c>
      <c r="K333" s="2" t="str">
        <f>J333*850.50</f>
        <v>0</v>
      </c>
      <c r="L333" s="5"/>
    </row>
    <row r="334" spans="1:12" customHeight="1" ht="105" outlineLevel="3">
      <c r="A334" s="1"/>
      <c r="B334" s="1">
        <v>883227</v>
      </c>
      <c r="C334" s="1" t="s">
        <v>1122</v>
      </c>
      <c r="D334" s="1" t="s">
        <v>1123</v>
      </c>
      <c r="E334" s="2" t="s">
        <v>1124</v>
      </c>
      <c r="F334" s="2" t="s">
        <v>1125</v>
      </c>
      <c r="G334" s="2">
        <v>-8</v>
      </c>
      <c r="H334" s="2">
        <v>0</v>
      </c>
      <c r="I334" s="1">
        <v>0</v>
      </c>
      <c r="J334" s="3" t="s">
        <v>18</v>
      </c>
      <c r="K334" s="2" t="str">
        <f>J334*444.15</f>
        <v>0</v>
      </c>
      <c r="L334" s="5"/>
    </row>
    <row r="335" spans="1:12" customHeight="1" ht="105" outlineLevel="3">
      <c r="A335" s="1"/>
      <c r="B335" s="1">
        <v>883228</v>
      </c>
      <c r="C335" s="1" t="s">
        <v>1126</v>
      </c>
      <c r="D335" s="1" t="s">
        <v>1127</v>
      </c>
      <c r="E335" s="2" t="s">
        <v>1128</v>
      </c>
      <c r="F335" s="2" t="s">
        <v>1129</v>
      </c>
      <c r="G335" s="2">
        <v>0</v>
      </c>
      <c r="H335" s="2">
        <v>0</v>
      </c>
      <c r="I335" s="1">
        <v>0</v>
      </c>
      <c r="J335" s="3" t="s">
        <v>18</v>
      </c>
      <c r="K335" s="2" t="str">
        <f>J335*519.75</f>
        <v>0</v>
      </c>
      <c r="L335" s="5"/>
    </row>
    <row r="336" spans="1:12" customHeight="1" ht="105" outlineLevel="3">
      <c r="A336" s="1"/>
      <c r="B336" s="1">
        <v>883229</v>
      </c>
      <c r="C336" s="1" t="s">
        <v>1130</v>
      </c>
      <c r="D336" s="1" t="s">
        <v>1131</v>
      </c>
      <c r="E336" s="2" t="s">
        <v>1132</v>
      </c>
      <c r="F336" s="2" t="s">
        <v>1118</v>
      </c>
      <c r="G336" s="2">
        <v>0</v>
      </c>
      <c r="H336" s="2">
        <v>0</v>
      </c>
      <c r="I336" s="1">
        <v>0</v>
      </c>
      <c r="J336" s="3" t="s">
        <v>18</v>
      </c>
      <c r="K336" s="2" t="str">
        <f>J336*850.50</f>
        <v>0</v>
      </c>
      <c r="L336" s="5"/>
    </row>
    <row r="337" spans="1:12" customHeight="1" ht="105" outlineLevel="3">
      <c r="A337" s="1"/>
      <c r="B337" s="1">
        <v>883230</v>
      </c>
      <c r="C337" s="1" t="s">
        <v>1133</v>
      </c>
      <c r="D337" s="1" t="s">
        <v>1134</v>
      </c>
      <c r="E337" s="2" t="s">
        <v>1135</v>
      </c>
      <c r="F337" s="2" t="s">
        <v>1118</v>
      </c>
      <c r="G337" s="2">
        <v>0</v>
      </c>
      <c r="H337" s="2">
        <v>0</v>
      </c>
      <c r="I337" s="1">
        <v>0</v>
      </c>
      <c r="J337" s="3" t="s">
        <v>18</v>
      </c>
      <c r="K337" s="2" t="str">
        <f>J337*850.50</f>
        <v>0</v>
      </c>
      <c r="L337" s="5"/>
    </row>
    <row r="338" spans="1:12" customHeight="1" ht="105" outlineLevel="3">
      <c r="A338" s="1"/>
      <c r="B338" s="1">
        <v>883231</v>
      </c>
      <c r="C338" s="1" t="s">
        <v>1136</v>
      </c>
      <c r="D338" s="1" t="s">
        <v>1137</v>
      </c>
      <c r="E338" s="2" t="s">
        <v>1138</v>
      </c>
      <c r="F338" s="2" t="s">
        <v>1118</v>
      </c>
      <c r="G338" s="2">
        <v>0</v>
      </c>
      <c r="H338" s="2">
        <v>0</v>
      </c>
      <c r="I338" s="1">
        <v>0</v>
      </c>
      <c r="J338" s="3" t="s">
        <v>18</v>
      </c>
      <c r="K338" s="2" t="str">
        <f>J338*850.50</f>
        <v>0</v>
      </c>
      <c r="L338" s="5"/>
    </row>
    <row r="339" spans="1:12" customHeight="1" ht="105" outlineLevel="3">
      <c r="A339" s="1"/>
      <c r="B339" s="1">
        <v>883232</v>
      </c>
      <c r="C339" s="1" t="s">
        <v>1139</v>
      </c>
      <c r="D339" s="1" t="s">
        <v>1140</v>
      </c>
      <c r="E339" s="2" t="s">
        <v>1141</v>
      </c>
      <c r="F339" s="2" t="s">
        <v>1118</v>
      </c>
      <c r="G339" s="2">
        <v>0</v>
      </c>
      <c r="H339" s="2">
        <v>0</v>
      </c>
      <c r="I339" s="1">
        <v>0</v>
      </c>
      <c r="J339" s="3" t="s">
        <v>18</v>
      </c>
      <c r="K339" s="2" t="str">
        <f>J339*850.50</f>
        <v>0</v>
      </c>
      <c r="L339" s="5"/>
    </row>
    <row r="340" spans="1:12" customHeight="1" ht="105" outlineLevel="3">
      <c r="A340" s="1"/>
      <c r="B340" s="1">
        <v>883233</v>
      </c>
      <c r="C340" s="1" t="s">
        <v>1142</v>
      </c>
      <c r="D340" s="1" t="s">
        <v>1143</v>
      </c>
      <c r="E340" s="2" t="s">
        <v>1144</v>
      </c>
      <c r="F340" s="2" t="s">
        <v>1145</v>
      </c>
      <c r="G340" s="2">
        <v>0</v>
      </c>
      <c r="H340" s="2">
        <v>0</v>
      </c>
      <c r="I340" s="1">
        <v>0</v>
      </c>
      <c r="J340" s="3" t="s">
        <v>18</v>
      </c>
      <c r="K340" s="2" t="str">
        <f>J340*2835.00</f>
        <v>0</v>
      </c>
      <c r="L340" s="5"/>
    </row>
    <row r="341" spans="1:12" customHeight="1" ht="105" outlineLevel="3">
      <c r="A341" s="1"/>
      <c r="B341" s="1">
        <v>883234</v>
      </c>
      <c r="C341" s="1" t="s">
        <v>1146</v>
      </c>
      <c r="D341" s="1" t="s">
        <v>1147</v>
      </c>
      <c r="E341" s="2" t="s">
        <v>1148</v>
      </c>
      <c r="F341" s="2" t="s">
        <v>1149</v>
      </c>
      <c r="G341" s="2">
        <v>0</v>
      </c>
      <c r="H341" s="2">
        <v>0</v>
      </c>
      <c r="I341" s="1">
        <v>0</v>
      </c>
      <c r="J341" s="3" t="s">
        <v>18</v>
      </c>
      <c r="K341" s="2" t="str">
        <f>J341*3118.50</f>
        <v>0</v>
      </c>
      <c r="L341" s="5"/>
    </row>
    <row r="342" spans="1:12" customHeight="1" ht="105" outlineLevel="3">
      <c r="A342" s="1"/>
      <c r="B342" s="1">
        <v>883235</v>
      </c>
      <c r="C342" s="1" t="s">
        <v>1150</v>
      </c>
      <c r="D342" s="1" t="s">
        <v>1151</v>
      </c>
      <c r="E342" s="2" t="s">
        <v>1152</v>
      </c>
      <c r="F342" s="2" t="s">
        <v>1153</v>
      </c>
      <c r="G342" s="2">
        <v>0</v>
      </c>
      <c r="H342" s="2">
        <v>0</v>
      </c>
      <c r="I342" s="1">
        <v>0</v>
      </c>
      <c r="J342" s="3" t="s">
        <v>18</v>
      </c>
      <c r="K342" s="2" t="str">
        <f>J342*1549.80</f>
        <v>0</v>
      </c>
      <c r="L342" s="5"/>
    </row>
    <row r="343" spans="1:12" customHeight="1" ht="105" outlineLevel="3">
      <c r="A343" s="1"/>
      <c r="B343" s="1">
        <v>883236</v>
      </c>
      <c r="C343" s="1" t="s">
        <v>1154</v>
      </c>
      <c r="D343" s="1" t="s">
        <v>1155</v>
      </c>
      <c r="E343" s="2" t="s">
        <v>1156</v>
      </c>
      <c r="F343" s="2" t="s">
        <v>1157</v>
      </c>
      <c r="G343" s="2">
        <v>0</v>
      </c>
      <c r="H343" s="2">
        <v>0</v>
      </c>
      <c r="I343" s="1">
        <v>0</v>
      </c>
      <c r="J343" s="3" t="s">
        <v>18</v>
      </c>
      <c r="K343" s="2" t="str">
        <f>J343*2173.50</f>
        <v>0</v>
      </c>
      <c r="L343" s="5"/>
    </row>
    <row r="344" spans="1:12" customHeight="1" ht="105" outlineLevel="3">
      <c r="A344" s="1"/>
      <c r="B344" s="1">
        <v>883237</v>
      </c>
      <c r="C344" s="1" t="s">
        <v>1158</v>
      </c>
      <c r="D344" s="1" t="s">
        <v>1159</v>
      </c>
      <c r="E344" s="2" t="s">
        <v>1160</v>
      </c>
      <c r="F344" s="2" t="s">
        <v>1161</v>
      </c>
      <c r="G344" s="2">
        <v>0</v>
      </c>
      <c r="H344" s="2">
        <v>0</v>
      </c>
      <c r="I344" s="1">
        <v>0</v>
      </c>
      <c r="J344" s="3" t="s">
        <v>18</v>
      </c>
      <c r="K344" s="2" t="str">
        <f>J344*1871.10</f>
        <v>0</v>
      </c>
      <c r="L344" s="5"/>
    </row>
    <row r="345" spans="1:12" customHeight="1" ht="105" outlineLevel="3">
      <c r="A345" s="1"/>
      <c r="B345" s="1">
        <v>883238</v>
      </c>
      <c r="C345" s="1" t="s">
        <v>1162</v>
      </c>
      <c r="D345" s="1" t="s">
        <v>1163</v>
      </c>
      <c r="E345" s="2" t="s">
        <v>1164</v>
      </c>
      <c r="F345" s="2" t="s">
        <v>1165</v>
      </c>
      <c r="G345" s="2">
        <v>0</v>
      </c>
      <c r="H345" s="2">
        <v>0</v>
      </c>
      <c r="I345" s="1">
        <v>0</v>
      </c>
      <c r="J345" s="3" t="s">
        <v>18</v>
      </c>
      <c r="K345" s="2" t="str">
        <f>J345*1030.05</f>
        <v>0</v>
      </c>
      <c r="L345" s="5"/>
    </row>
    <row r="346" spans="1:12" customHeight="1" ht="105" outlineLevel="3">
      <c r="A346" s="1"/>
      <c r="B346" s="1">
        <v>883239</v>
      </c>
      <c r="C346" s="1" t="s">
        <v>1166</v>
      </c>
      <c r="D346" s="1" t="s">
        <v>1167</v>
      </c>
      <c r="E346" s="2" t="s">
        <v>1168</v>
      </c>
      <c r="F346" s="2" t="s">
        <v>1169</v>
      </c>
      <c r="G346" s="2">
        <v>0</v>
      </c>
      <c r="H346" s="2">
        <v>0</v>
      </c>
      <c r="I346" s="1">
        <v>0</v>
      </c>
      <c r="J346" s="3" t="s">
        <v>18</v>
      </c>
      <c r="K346" s="2" t="str">
        <f>J346*151.20</f>
        <v>0</v>
      </c>
      <c r="L346" s="5"/>
    </row>
    <row r="347" spans="1:12" customHeight="1" ht="105" outlineLevel="3">
      <c r="A347" s="1"/>
      <c r="B347" s="1">
        <v>883240</v>
      </c>
      <c r="C347" s="1" t="s">
        <v>1170</v>
      </c>
      <c r="D347" s="1" t="s">
        <v>1171</v>
      </c>
      <c r="E347" s="2" t="s">
        <v>1172</v>
      </c>
      <c r="F347" s="2" t="s">
        <v>1161</v>
      </c>
      <c r="G347" s="2">
        <v>0</v>
      </c>
      <c r="H347" s="2">
        <v>0</v>
      </c>
      <c r="I347" s="1">
        <v>0</v>
      </c>
      <c r="J347" s="3" t="s">
        <v>18</v>
      </c>
      <c r="K347" s="2" t="str">
        <f>J347*1871.10</f>
        <v>0</v>
      </c>
      <c r="L347" s="5"/>
    </row>
    <row r="348" spans="1:12" customHeight="1" ht="105" outlineLevel="3">
      <c r="A348" s="1"/>
      <c r="B348" s="1">
        <v>883241</v>
      </c>
      <c r="C348" s="1" t="s">
        <v>1173</v>
      </c>
      <c r="D348" s="1" t="s">
        <v>1174</v>
      </c>
      <c r="E348" s="2" t="s">
        <v>1175</v>
      </c>
      <c r="F348" s="2" t="s">
        <v>1176</v>
      </c>
      <c r="G348" s="2">
        <v>-4</v>
      </c>
      <c r="H348" s="2">
        <v>0</v>
      </c>
      <c r="I348" s="1">
        <v>0</v>
      </c>
      <c r="J348" s="3" t="s">
        <v>18</v>
      </c>
      <c r="K348" s="2" t="str">
        <f>J348*3402.00</f>
        <v>0</v>
      </c>
      <c r="L348" s="5"/>
    </row>
    <row r="349" spans="1:12" customHeight="1" ht="105" outlineLevel="3">
      <c r="A349" s="1"/>
      <c r="B349" s="1">
        <v>883242</v>
      </c>
      <c r="C349" s="1" t="s">
        <v>1177</v>
      </c>
      <c r="D349" s="1" t="s">
        <v>1178</v>
      </c>
      <c r="E349" s="2" t="s">
        <v>1179</v>
      </c>
      <c r="F349" s="2" t="s">
        <v>1180</v>
      </c>
      <c r="G349" s="2">
        <v>-1</v>
      </c>
      <c r="H349" s="2">
        <v>0</v>
      </c>
      <c r="I349" s="1">
        <v>0</v>
      </c>
      <c r="J349" s="3" t="s">
        <v>18</v>
      </c>
      <c r="K349" s="2" t="str">
        <f>J349*3165.75</f>
        <v>0</v>
      </c>
      <c r="L349" s="5"/>
    </row>
    <row r="350" spans="1:12" customHeight="1" ht="105" outlineLevel="3">
      <c r="A350" s="1"/>
      <c r="B350" s="1">
        <v>883243</v>
      </c>
      <c r="C350" s="1" t="s">
        <v>1181</v>
      </c>
      <c r="D350" s="1" t="s">
        <v>1182</v>
      </c>
      <c r="E350" s="2" t="s">
        <v>1183</v>
      </c>
      <c r="F350" s="2" t="s">
        <v>1184</v>
      </c>
      <c r="G350" s="2">
        <v>0</v>
      </c>
      <c r="H350" s="2">
        <v>0</v>
      </c>
      <c r="I350" s="1">
        <v>0</v>
      </c>
      <c r="J350" s="3" t="s">
        <v>18</v>
      </c>
      <c r="K350" s="2" t="str">
        <f>J350*3515.40</f>
        <v>0</v>
      </c>
      <c r="L350" s="5"/>
    </row>
    <row r="351" spans="1:12" customHeight="1" ht="105" outlineLevel="3">
      <c r="A351" s="1"/>
      <c r="B351" s="1">
        <v>883244</v>
      </c>
      <c r="C351" s="1" t="s">
        <v>1185</v>
      </c>
      <c r="D351" s="1" t="s">
        <v>1186</v>
      </c>
      <c r="E351" s="2" t="s">
        <v>1187</v>
      </c>
      <c r="F351" s="2" t="s">
        <v>1188</v>
      </c>
      <c r="G351" s="2">
        <v>-1</v>
      </c>
      <c r="H351" s="2">
        <v>0</v>
      </c>
      <c r="I351" s="1">
        <v>0</v>
      </c>
      <c r="J351" s="3" t="s">
        <v>18</v>
      </c>
      <c r="K351" s="2" t="str">
        <f>J351*3213.00</f>
        <v>0</v>
      </c>
      <c r="L351" s="5"/>
    </row>
    <row r="352" spans="1:12" customHeight="1" ht="105" outlineLevel="3">
      <c r="A352" s="1"/>
      <c r="B352" s="1">
        <v>883245</v>
      </c>
      <c r="C352" s="1" t="s">
        <v>1189</v>
      </c>
      <c r="D352" s="1" t="s">
        <v>1190</v>
      </c>
      <c r="E352" s="2" t="s">
        <v>1191</v>
      </c>
      <c r="F352" s="2" t="s">
        <v>1192</v>
      </c>
      <c r="G352" s="2">
        <v>-2</v>
      </c>
      <c r="H352" s="2">
        <v>0</v>
      </c>
      <c r="I352" s="1">
        <v>0</v>
      </c>
      <c r="J352" s="3" t="s">
        <v>18</v>
      </c>
      <c r="K352" s="2" t="str">
        <f>J352*4063.50</f>
        <v>0</v>
      </c>
      <c r="L352" s="5"/>
    </row>
    <row r="353" spans="1:12" customHeight="1" ht="105" outlineLevel="3">
      <c r="A353" s="1"/>
      <c r="B353" s="1">
        <v>883246</v>
      </c>
      <c r="C353" s="1" t="s">
        <v>1193</v>
      </c>
      <c r="D353" s="1" t="s">
        <v>1194</v>
      </c>
      <c r="E353" s="2" t="s">
        <v>1195</v>
      </c>
      <c r="F353" s="2" t="s">
        <v>1196</v>
      </c>
      <c r="G353" s="2">
        <v>-5</v>
      </c>
      <c r="H353" s="2">
        <v>0</v>
      </c>
      <c r="I353" s="1">
        <v>0</v>
      </c>
      <c r="J353" s="3" t="s">
        <v>18</v>
      </c>
      <c r="K353" s="2" t="str">
        <f>J353*4252.50</f>
        <v>0</v>
      </c>
      <c r="L353" s="5"/>
    </row>
    <row r="354" spans="1:12" customHeight="1" ht="105" outlineLevel="3">
      <c r="A354" s="1"/>
      <c r="B354" s="1">
        <v>883247</v>
      </c>
      <c r="C354" s="1" t="s">
        <v>1197</v>
      </c>
      <c r="D354" s="1" t="s">
        <v>1198</v>
      </c>
      <c r="E354" s="2" t="s">
        <v>1199</v>
      </c>
      <c r="F354" s="2" t="s">
        <v>1200</v>
      </c>
      <c r="G354" s="2">
        <v>0</v>
      </c>
      <c r="H354" s="2">
        <v>0</v>
      </c>
      <c r="I354" s="1">
        <v>0</v>
      </c>
      <c r="J354" s="3" t="s">
        <v>18</v>
      </c>
      <c r="K354" s="2" t="str">
        <f>J354*5197.50</f>
        <v>0</v>
      </c>
      <c r="L354" s="5"/>
    </row>
    <row r="355" spans="1:12" customHeight="1" ht="105" outlineLevel="3">
      <c r="A355" s="1"/>
      <c r="B355" s="1">
        <v>883248</v>
      </c>
      <c r="C355" s="1" t="s">
        <v>1201</v>
      </c>
      <c r="D355" s="1" t="s">
        <v>1202</v>
      </c>
      <c r="E355" s="2" t="s">
        <v>1203</v>
      </c>
      <c r="F355" s="2" t="s">
        <v>1204</v>
      </c>
      <c r="G355" s="2">
        <v>0</v>
      </c>
      <c r="H355" s="2">
        <v>0</v>
      </c>
      <c r="I355" s="1">
        <v>0</v>
      </c>
      <c r="J355" s="3" t="s">
        <v>18</v>
      </c>
      <c r="K355" s="2" t="str">
        <f>J355*2598.75</f>
        <v>0</v>
      </c>
      <c r="L355" s="5"/>
    </row>
    <row r="356" spans="1:12" customHeight="1" ht="105" outlineLevel="3">
      <c r="A356" s="1"/>
      <c r="B356" s="1">
        <v>883249</v>
      </c>
      <c r="C356" s="1" t="s">
        <v>1205</v>
      </c>
      <c r="D356" s="1" t="s">
        <v>1206</v>
      </c>
      <c r="E356" s="2" t="s">
        <v>1207</v>
      </c>
      <c r="F356" s="2" t="s">
        <v>1208</v>
      </c>
      <c r="G356" s="2">
        <v>0</v>
      </c>
      <c r="H356" s="2">
        <v>0</v>
      </c>
      <c r="I356" s="1">
        <v>0</v>
      </c>
      <c r="J356" s="3" t="s">
        <v>18</v>
      </c>
      <c r="K356" s="2" t="str">
        <f>J356*1134.00</f>
        <v>0</v>
      </c>
      <c r="L356" s="5"/>
    </row>
    <row r="357" spans="1:12" customHeight="1" ht="105" outlineLevel="3">
      <c r="A357" s="1"/>
      <c r="B357" s="1">
        <v>883250</v>
      </c>
      <c r="C357" s="1" t="s">
        <v>1209</v>
      </c>
      <c r="D357" s="1" t="s">
        <v>1210</v>
      </c>
      <c r="E357" s="2" t="s">
        <v>1211</v>
      </c>
      <c r="F357" s="2" t="s">
        <v>1212</v>
      </c>
      <c r="G357" s="2">
        <v>-1</v>
      </c>
      <c r="H357" s="2">
        <v>0</v>
      </c>
      <c r="I357" s="1">
        <v>0</v>
      </c>
      <c r="J357" s="3" t="s">
        <v>18</v>
      </c>
      <c r="K357" s="2" t="str">
        <f>J357*2551.50</f>
        <v>0</v>
      </c>
      <c r="L357" s="5"/>
    </row>
    <row r="358" spans="1:12" customHeight="1" ht="105" outlineLevel="3">
      <c r="A358" s="1"/>
      <c r="B358" s="1">
        <v>883251</v>
      </c>
      <c r="C358" s="1" t="s">
        <v>1213</v>
      </c>
      <c r="D358" s="1" t="s">
        <v>1214</v>
      </c>
      <c r="E358" s="2" t="s">
        <v>1215</v>
      </c>
      <c r="F358" s="2" t="s">
        <v>1216</v>
      </c>
      <c r="G358" s="2">
        <v>0</v>
      </c>
      <c r="H358" s="2">
        <v>0</v>
      </c>
      <c r="I358" s="1">
        <v>0</v>
      </c>
      <c r="J358" s="3" t="s">
        <v>18</v>
      </c>
      <c r="K358" s="2" t="str">
        <f>J358*1417.50</f>
        <v>0</v>
      </c>
      <c r="L358" s="5"/>
    </row>
    <row r="359" spans="1:12" customHeight="1" ht="105" outlineLevel="3">
      <c r="A359" s="1"/>
      <c r="B359" s="1">
        <v>883252</v>
      </c>
      <c r="C359" s="1" t="s">
        <v>1217</v>
      </c>
      <c r="D359" s="1" t="s">
        <v>1218</v>
      </c>
      <c r="E359" s="2" t="s">
        <v>1219</v>
      </c>
      <c r="F359" s="2" t="s">
        <v>1220</v>
      </c>
      <c r="G359" s="2">
        <v>0</v>
      </c>
      <c r="H359" s="2">
        <v>0</v>
      </c>
      <c r="I359" s="1">
        <v>0</v>
      </c>
      <c r="J359" s="3" t="s">
        <v>18</v>
      </c>
      <c r="K359" s="2" t="str">
        <f>J359*1323.00</f>
        <v>0</v>
      </c>
      <c r="L359" s="5"/>
    </row>
    <row r="360" spans="1:12" customHeight="1" ht="105" outlineLevel="3">
      <c r="A360" s="1"/>
      <c r="B360" s="1">
        <v>883253</v>
      </c>
      <c r="C360" s="1" t="s">
        <v>1221</v>
      </c>
      <c r="D360" s="1" t="s">
        <v>1222</v>
      </c>
      <c r="E360" s="2" t="s">
        <v>1223</v>
      </c>
      <c r="F360" s="2" t="s">
        <v>1224</v>
      </c>
      <c r="G360" s="2">
        <v>0</v>
      </c>
      <c r="H360" s="2">
        <v>0</v>
      </c>
      <c r="I360" s="1">
        <v>0</v>
      </c>
      <c r="J360" s="3" t="s">
        <v>18</v>
      </c>
      <c r="K360" s="2" t="str">
        <f>J360*1228.50</f>
        <v>0</v>
      </c>
      <c r="L360" s="5"/>
    </row>
    <row r="361" spans="1:12" customHeight="1" ht="105" outlineLevel="3">
      <c r="A361" s="1"/>
      <c r="B361" s="1">
        <v>883254</v>
      </c>
      <c r="C361" s="1" t="s">
        <v>1225</v>
      </c>
      <c r="D361" s="1" t="s">
        <v>1226</v>
      </c>
      <c r="E361" s="2" t="s">
        <v>1227</v>
      </c>
      <c r="F361" s="2" t="s">
        <v>1228</v>
      </c>
      <c r="G361" s="2">
        <v>0</v>
      </c>
      <c r="H361" s="2">
        <v>0</v>
      </c>
      <c r="I361" s="1">
        <v>0</v>
      </c>
      <c r="J361" s="3" t="s">
        <v>18</v>
      </c>
      <c r="K361" s="2" t="str">
        <f>J361*472.50</f>
        <v>0</v>
      </c>
      <c r="L361" s="5"/>
    </row>
    <row r="362" spans="1:12" customHeight="1" ht="105" outlineLevel="3">
      <c r="A362" s="1"/>
      <c r="B362" s="1">
        <v>883255</v>
      </c>
      <c r="C362" s="1" t="s">
        <v>1229</v>
      </c>
      <c r="D362" s="1" t="s">
        <v>1230</v>
      </c>
      <c r="E362" s="2" t="s">
        <v>1231</v>
      </c>
      <c r="F362" s="2" t="s">
        <v>1232</v>
      </c>
      <c r="G362" s="2">
        <v>0</v>
      </c>
      <c r="H362" s="2">
        <v>0</v>
      </c>
      <c r="I362" s="1">
        <v>0</v>
      </c>
      <c r="J362" s="3" t="s">
        <v>18</v>
      </c>
      <c r="K362" s="2" t="str">
        <f>J362*737.10</f>
        <v>0</v>
      </c>
      <c r="L362" s="5"/>
    </row>
    <row r="363" spans="1:12" customHeight="1" ht="105" outlineLevel="3">
      <c r="A363" s="1"/>
      <c r="B363" s="1">
        <v>883256</v>
      </c>
      <c r="C363" s="1" t="s">
        <v>1233</v>
      </c>
      <c r="D363" s="1" t="s">
        <v>1234</v>
      </c>
      <c r="E363" s="2" t="s">
        <v>1235</v>
      </c>
      <c r="F363" s="2" t="s">
        <v>1224</v>
      </c>
      <c r="G363" s="2">
        <v>0</v>
      </c>
      <c r="H363" s="2">
        <v>0</v>
      </c>
      <c r="I363" s="1">
        <v>0</v>
      </c>
      <c r="J363" s="3" t="s">
        <v>18</v>
      </c>
      <c r="K363" s="2" t="str">
        <f>J363*1228.50</f>
        <v>0</v>
      </c>
      <c r="L363" s="5"/>
    </row>
    <row r="364" spans="1:12" customHeight="1" ht="105" outlineLevel="3">
      <c r="A364" s="1"/>
      <c r="B364" s="1">
        <v>883257</v>
      </c>
      <c r="C364" s="1" t="s">
        <v>1236</v>
      </c>
      <c r="D364" s="1" t="s">
        <v>1237</v>
      </c>
      <c r="E364" s="2" t="s">
        <v>1238</v>
      </c>
      <c r="F364" s="2" t="s">
        <v>1224</v>
      </c>
      <c r="G364" s="2">
        <v>0</v>
      </c>
      <c r="H364" s="2">
        <v>0</v>
      </c>
      <c r="I364" s="1">
        <v>0</v>
      </c>
      <c r="J364" s="3" t="s">
        <v>18</v>
      </c>
      <c r="K364" s="2" t="str">
        <f>J364*1228.50</f>
        <v>0</v>
      </c>
      <c r="L364" s="5"/>
    </row>
    <row r="365" spans="1:12" customHeight="1" ht="105" outlineLevel="3">
      <c r="A365" s="1"/>
      <c r="B365" s="1">
        <v>883258</v>
      </c>
      <c r="C365" s="1" t="s">
        <v>1239</v>
      </c>
      <c r="D365" s="1" t="s">
        <v>1240</v>
      </c>
      <c r="E365" s="2" t="s">
        <v>1241</v>
      </c>
      <c r="F365" s="2" t="s">
        <v>1242</v>
      </c>
      <c r="G365" s="2">
        <v>0</v>
      </c>
      <c r="H365" s="2">
        <v>0</v>
      </c>
      <c r="I365" s="1">
        <v>0</v>
      </c>
      <c r="J365" s="3" t="s">
        <v>18</v>
      </c>
      <c r="K365" s="2" t="str">
        <f>J365*727.65</f>
        <v>0</v>
      </c>
      <c r="L365" s="5"/>
    </row>
    <row r="366" spans="1:12" customHeight="1" ht="105" outlineLevel="3">
      <c r="A366" s="1"/>
      <c r="B366" s="1">
        <v>883259</v>
      </c>
      <c r="C366" s="1" t="s">
        <v>1243</v>
      </c>
      <c r="D366" s="1" t="s">
        <v>1244</v>
      </c>
      <c r="E366" s="2" t="s">
        <v>1245</v>
      </c>
      <c r="F366" s="2" t="s">
        <v>1246</v>
      </c>
      <c r="G366" s="2">
        <v>0</v>
      </c>
      <c r="H366" s="2">
        <v>0</v>
      </c>
      <c r="I366" s="1">
        <v>0</v>
      </c>
      <c r="J366" s="3" t="s">
        <v>18</v>
      </c>
      <c r="K366" s="2" t="str">
        <f>J366*113.40</f>
        <v>0</v>
      </c>
      <c r="L366" s="5"/>
    </row>
    <row r="367" spans="1:12" customHeight="1" ht="105" outlineLevel="3">
      <c r="A367" s="1"/>
      <c r="B367" s="1">
        <v>883260</v>
      </c>
      <c r="C367" s="1" t="s">
        <v>1247</v>
      </c>
      <c r="D367" s="1" t="s">
        <v>1248</v>
      </c>
      <c r="E367" s="2" t="s">
        <v>1249</v>
      </c>
      <c r="F367" s="2" t="s">
        <v>1250</v>
      </c>
      <c r="G367" s="2">
        <v>0</v>
      </c>
      <c r="H367" s="2">
        <v>0</v>
      </c>
      <c r="I367" s="1">
        <v>0</v>
      </c>
      <c r="J367" s="3" t="s">
        <v>18</v>
      </c>
      <c r="K367" s="2" t="str">
        <f>J367*623.70</f>
        <v>0</v>
      </c>
      <c r="L367" s="5"/>
    </row>
    <row r="368" spans="1:12" customHeight="1" ht="105" outlineLevel="3">
      <c r="A368" s="1"/>
      <c r="B368" s="1">
        <v>883261</v>
      </c>
      <c r="C368" s="1" t="s">
        <v>1251</v>
      </c>
      <c r="D368" s="1" t="s">
        <v>1252</v>
      </c>
      <c r="E368" s="2" t="s">
        <v>1253</v>
      </c>
      <c r="F368" s="2" t="s">
        <v>1254</v>
      </c>
      <c r="G368" s="2">
        <v>0</v>
      </c>
      <c r="H368" s="2">
        <v>0</v>
      </c>
      <c r="I368" s="1">
        <v>0</v>
      </c>
      <c r="J368" s="3" t="s">
        <v>18</v>
      </c>
      <c r="K368" s="2" t="str">
        <f>J368*245.70</f>
        <v>0</v>
      </c>
      <c r="L368" s="5"/>
    </row>
    <row r="369" spans="1:12" customHeight="1" ht="105" outlineLevel="3">
      <c r="A369" s="1"/>
      <c r="B369" s="1">
        <v>883267</v>
      </c>
      <c r="C369" s="1" t="s">
        <v>1255</v>
      </c>
      <c r="D369" s="1" t="s">
        <v>1256</v>
      </c>
      <c r="E369" s="2" t="s">
        <v>1257</v>
      </c>
      <c r="F369" s="2" t="s">
        <v>1258</v>
      </c>
      <c r="G369" s="2">
        <v>-1</v>
      </c>
      <c r="H369" s="2">
        <v>0</v>
      </c>
      <c r="I369" s="1">
        <v>0</v>
      </c>
      <c r="J369" s="3" t="s">
        <v>18</v>
      </c>
      <c r="K369" s="2" t="str">
        <f>J369*41150.00</f>
        <v>0</v>
      </c>
      <c r="L369" s="5"/>
    </row>
    <row r="370" spans="1:12" outlineLevel="1">
      <c r="A370" s="7" t="s">
        <v>1259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5"/>
    </row>
    <row r="371" spans="1:12" outlineLevel="2">
      <c r="A371" s="8" t="s">
        <v>1260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5"/>
    </row>
    <row r="372" spans="1:12" customHeight="1" ht="105" outlineLevel="4">
      <c r="A372" s="1"/>
      <c r="B372" s="1">
        <v>885034</v>
      </c>
      <c r="C372" s="1" t="s">
        <v>1261</v>
      </c>
      <c r="D372" s="1" t="s">
        <v>1262</v>
      </c>
      <c r="E372" s="2" t="s">
        <v>1263</v>
      </c>
      <c r="F372" s="2" t="s">
        <v>1264</v>
      </c>
      <c r="G372" s="2">
        <v>1</v>
      </c>
      <c r="H372" s="2">
        <v>0</v>
      </c>
      <c r="I372" s="1">
        <v>0</v>
      </c>
      <c r="J372" s="3" t="s">
        <v>18</v>
      </c>
      <c r="K372" s="2" t="str">
        <f>J372*4469.71</f>
        <v>0</v>
      </c>
      <c r="L372" s="5"/>
    </row>
    <row r="373" spans="1:12" customHeight="1" ht="105" outlineLevel="4">
      <c r="A373" s="1"/>
      <c r="B373" s="1">
        <v>885035</v>
      </c>
      <c r="C373" s="1" t="s">
        <v>1265</v>
      </c>
      <c r="D373" s="1" t="s">
        <v>1266</v>
      </c>
      <c r="E373" s="2" t="s">
        <v>1267</v>
      </c>
      <c r="F373" s="2" t="s">
        <v>1268</v>
      </c>
      <c r="G373" s="2">
        <v>1</v>
      </c>
      <c r="H373" s="2">
        <v>0</v>
      </c>
      <c r="I373" s="1">
        <v>0</v>
      </c>
      <c r="J373" s="3" t="s">
        <v>18</v>
      </c>
      <c r="K373" s="2" t="str">
        <f>J373*4717.43</f>
        <v>0</v>
      </c>
      <c r="L373" s="5"/>
    </row>
    <row r="374" spans="1:12" customHeight="1" ht="105" outlineLevel="4">
      <c r="A374" s="1"/>
      <c r="B374" s="1">
        <v>885036</v>
      </c>
      <c r="C374" s="1" t="s">
        <v>1269</v>
      </c>
      <c r="D374" s="1" t="s">
        <v>1270</v>
      </c>
      <c r="E374" s="2" t="s">
        <v>1271</v>
      </c>
      <c r="F374" s="2" t="s">
        <v>1272</v>
      </c>
      <c r="G374" s="2">
        <v>1</v>
      </c>
      <c r="H374" s="2">
        <v>0</v>
      </c>
      <c r="I374" s="1">
        <v>0</v>
      </c>
      <c r="J374" s="3" t="s">
        <v>18</v>
      </c>
      <c r="K374" s="2" t="str">
        <f>J374*6626.38</f>
        <v>0</v>
      </c>
      <c r="L374" s="5"/>
    </row>
    <row r="375" spans="1:12" customHeight="1" ht="105" outlineLevel="4">
      <c r="A375" s="1"/>
      <c r="B375" s="1">
        <v>885037</v>
      </c>
      <c r="C375" s="1" t="s">
        <v>1273</v>
      </c>
      <c r="D375" s="1" t="s">
        <v>1274</v>
      </c>
      <c r="E375" s="2" t="s">
        <v>1275</v>
      </c>
      <c r="F375" s="2" t="s">
        <v>1276</v>
      </c>
      <c r="G375" s="2">
        <v>1</v>
      </c>
      <c r="H375" s="2">
        <v>0</v>
      </c>
      <c r="I375" s="1">
        <v>0</v>
      </c>
      <c r="J375" s="3" t="s">
        <v>18</v>
      </c>
      <c r="K375" s="2" t="str">
        <f>J375*3437.05</f>
        <v>0</v>
      </c>
      <c r="L375" s="5"/>
    </row>
    <row r="376" spans="1:12" customHeight="1" ht="105" outlineLevel="4">
      <c r="A376" s="1"/>
      <c r="B376" s="1">
        <v>885038</v>
      </c>
      <c r="C376" s="1" t="s">
        <v>1277</v>
      </c>
      <c r="D376" s="1" t="s">
        <v>1278</v>
      </c>
      <c r="E376" s="2" t="s">
        <v>1279</v>
      </c>
      <c r="F376" s="2" t="s">
        <v>1280</v>
      </c>
      <c r="G376" s="2">
        <v>1</v>
      </c>
      <c r="H376" s="2">
        <v>0</v>
      </c>
      <c r="I376" s="1">
        <v>0</v>
      </c>
      <c r="J376" s="3" t="s">
        <v>18</v>
      </c>
      <c r="K376" s="2" t="str">
        <f>J376*3647.61</f>
        <v>0</v>
      </c>
      <c r="L376" s="5"/>
    </row>
    <row r="377" spans="1:12" customHeight="1" ht="105" outlineLevel="4">
      <c r="A377" s="1"/>
      <c r="B377" s="1">
        <v>885039</v>
      </c>
      <c r="C377" s="1" t="s">
        <v>1281</v>
      </c>
      <c r="D377" s="1" t="s">
        <v>1282</v>
      </c>
      <c r="E377" s="2" t="s">
        <v>1283</v>
      </c>
      <c r="F377" s="2" t="s">
        <v>1284</v>
      </c>
      <c r="G377" s="2">
        <v>1</v>
      </c>
      <c r="H377" s="2">
        <v>0</v>
      </c>
      <c r="I377" s="1">
        <v>0</v>
      </c>
      <c r="J377" s="3" t="s">
        <v>18</v>
      </c>
      <c r="K377" s="2" t="str">
        <f>J377*5590.62</f>
        <v>0</v>
      </c>
      <c r="L377" s="5"/>
    </row>
    <row r="378" spans="1:12" outlineLevel="2">
      <c r="A378" s="8" t="s">
        <v>1285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5"/>
    </row>
    <row r="379" spans="1:12" customHeight="1" ht="105" outlineLevel="4">
      <c r="A379" s="1"/>
      <c r="B379" s="1">
        <v>889725</v>
      </c>
      <c r="C379" s="1" t="s">
        <v>1286</v>
      </c>
      <c r="D379" s="1" t="s">
        <v>1287</v>
      </c>
      <c r="E379" s="2" t="s">
        <v>1288</v>
      </c>
      <c r="F379" s="2" t="s">
        <v>1289</v>
      </c>
      <c r="G379" s="2">
        <v>0</v>
      </c>
      <c r="H379" s="2" t="s">
        <v>31</v>
      </c>
      <c r="I379" s="1">
        <v>0</v>
      </c>
      <c r="J379" s="3" t="s">
        <v>18</v>
      </c>
      <c r="K379" s="2" t="str">
        <f>J379*4309.00</f>
        <v>0</v>
      </c>
      <c r="L379" s="5"/>
    </row>
    <row r="380" spans="1:12" customHeight="1" ht="105" outlineLevel="4">
      <c r="A380" s="1"/>
      <c r="B380" s="1">
        <v>889726</v>
      </c>
      <c r="C380" s="1" t="s">
        <v>1290</v>
      </c>
      <c r="D380" s="1" t="s">
        <v>1291</v>
      </c>
      <c r="E380" s="2" t="s">
        <v>1292</v>
      </c>
      <c r="F380" s="2" t="s">
        <v>1293</v>
      </c>
      <c r="G380" s="2">
        <v>0</v>
      </c>
      <c r="H380" s="2" t="s">
        <v>31</v>
      </c>
      <c r="I380" s="1">
        <v>0</v>
      </c>
      <c r="J380" s="3" t="s">
        <v>18</v>
      </c>
      <c r="K380" s="2" t="str">
        <f>J380*5058.00</f>
        <v>0</v>
      </c>
      <c r="L380" s="5"/>
    </row>
    <row r="381" spans="1:12" customHeight="1" ht="105" outlineLevel="4">
      <c r="A381" s="1"/>
      <c r="B381" s="1">
        <v>889727</v>
      </c>
      <c r="C381" s="1" t="s">
        <v>1294</v>
      </c>
      <c r="D381" s="1" t="s">
        <v>1295</v>
      </c>
      <c r="E381" s="2" t="s">
        <v>1296</v>
      </c>
      <c r="F381" s="2" t="s">
        <v>1297</v>
      </c>
      <c r="G381" s="2">
        <v>0</v>
      </c>
      <c r="H381" s="2">
        <v>7</v>
      </c>
      <c r="I381" s="1">
        <v>0</v>
      </c>
      <c r="J381" s="3" t="s">
        <v>18</v>
      </c>
      <c r="K381" s="2" t="str">
        <f>J381*7480.00</f>
        <v>0</v>
      </c>
      <c r="L381" s="5"/>
    </row>
    <row r="382" spans="1:12" customHeight="1" ht="105" outlineLevel="4">
      <c r="A382" s="1"/>
      <c r="B382" s="1">
        <v>889728</v>
      </c>
      <c r="C382" s="1" t="s">
        <v>1298</v>
      </c>
      <c r="D382" s="1" t="s">
        <v>1299</v>
      </c>
      <c r="E382" s="2" t="s">
        <v>1300</v>
      </c>
      <c r="F382" s="2" t="s">
        <v>1301</v>
      </c>
      <c r="G382" s="2">
        <v>0</v>
      </c>
      <c r="H382" s="2">
        <v>6</v>
      </c>
      <c r="I382" s="1">
        <v>0</v>
      </c>
      <c r="J382" s="3" t="s">
        <v>18</v>
      </c>
      <c r="K382" s="2" t="str">
        <f>J382*15054.00</f>
        <v>0</v>
      </c>
      <c r="L382" s="5"/>
    </row>
    <row r="383" spans="1:12" customHeight="1" ht="105" outlineLevel="4">
      <c r="A383" s="1"/>
      <c r="B383" s="1">
        <v>889729</v>
      </c>
      <c r="C383" s="1" t="s">
        <v>1302</v>
      </c>
      <c r="D383" s="1" t="s">
        <v>1303</v>
      </c>
      <c r="E383" s="2" t="s">
        <v>1304</v>
      </c>
      <c r="F383" s="2" t="s">
        <v>1305</v>
      </c>
      <c r="G383" s="2">
        <v>0</v>
      </c>
      <c r="H383" s="2">
        <v>0</v>
      </c>
      <c r="I383" s="1">
        <v>0</v>
      </c>
      <c r="J383" s="3" t="s">
        <v>18</v>
      </c>
      <c r="K383" s="2" t="str">
        <f>J383*16631.00</f>
        <v>0</v>
      </c>
      <c r="L383" s="5"/>
    </row>
    <row r="384" spans="1:12" customHeight="1" ht="105" outlineLevel="4">
      <c r="A384" s="1"/>
      <c r="B384" s="1">
        <v>889730</v>
      </c>
      <c r="C384" s="1" t="s">
        <v>1306</v>
      </c>
      <c r="D384" s="1" t="s">
        <v>1307</v>
      </c>
      <c r="E384" s="2" t="s">
        <v>1308</v>
      </c>
      <c r="F384" s="2" t="s">
        <v>1309</v>
      </c>
      <c r="G384" s="2">
        <v>0</v>
      </c>
      <c r="H384" s="2">
        <v>0</v>
      </c>
      <c r="I384" s="1">
        <v>0</v>
      </c>
      <c r="J384" s="3" t="s">
        <v>18</v>
      </c>
      <c r="K384" s="2" t="str">
        <f>J384*22995.00</f>
        <v>0</v>
      </c>
      <c r="L384" s="5"/>
    </row>
    <row r="385" spans="1:12" customHeight="1" ht="105" outlineLevel="4">
      <c r="A385" s="1"/>
      <c r="B385" s="1">
        <v>889731</v>
      </c>
      <c r="C385" s="1" t="s">
        <v>1310</v>
      </c>
      <c r="D385" s="1" t="s">
        <v>1311</v>
      </c>
      <c r="E385" s="2" t="s">
        <v>1312</v>
      </c>
      <c r="F385" s="2" t="s">
        <v>1313</v>
      </c>
      <c r="G385" s="2">
        <v>0</v>
      </c>
      <c r="H385" s="2">
        <v>2</v>
      </c>
      <c r="I385" s="1">
        <v>0</v>
      </c>
      <c r="J385" s="3" t="s">
        <v>18</v>
      </c>
      <c r="K385" s="2" t="str">
        <f>J385*5606.00</f>
        <v>0</v>
      </c>
      <c r="L385" s="5"/>
    </row>
    <row r="386" spans="1:12" customHeight="1" ht="105" outlineLevel="4">
      <c r="A386" s="1"/>
      <c r="B386" s="1">
        <v>889732</v>
      </c>
      <c r="C386" s="1" t="s">
        <v>1314</v>
      </c>
      <c r="D386" s="1" t="s">
        <v>1315</v>
      </c>
      <c r="E386" s="2" t="s">
        <v>1316</v>
      </c>
      <c r="F386" s="2" t="s">
        <v>1317</v>
      </c>
      <c r="G386" s="2">
        <v>0</v>
      </c>
      <c r="H386" s="2">
        <v>0</v>
      </c>
      <c r="I386" s="1">
        <v>0</v>
      </c>
      <c r="J386" s="3" t="s">
        <v>18</v>
      </c>
      <c r="K386" s="2" t="str">
        <f>J386*6384.00</f>
        <v>0</v>
      </c>
      <c r="L386" s="5"/>
    </row>
    <row r="387" spans="1:12" customHeight="1" ht="105" outlineLevel="4">
      <c r="A387" s="1"/>
      <c r="B387" s="1">
        <v>889733</v>
      </c>
      <c r="C387" s="1" t="s">
        <v>1318</v>
      </c>
      <c r="D387" s="1" t="s">
        <v>1319</v>
      </c>
      <c r="E387" s="2" t="s">
        <v>1320</v>
      </c>
      <c r="F387" s="2" t="s">
        <v>1321</v>
      </c>
      <c r="G387" s="2">
        <v>0</v>
      </c>
      <c r="H387" s="2">
        <v>5</v>
      </c>
      <c r="I387" s="1">
        <v>0</v>
      </c>
      <c r="J387" s="3" t="s">
        <v>18</v>
      </c>
      <c r="K387" s="2" t="str">
        <f>J387*9022.00</f>
        <v>0</v>
      </c>
      <c r="L387" s="5"/>
    </row>
    <row r="388" spans="1:12" customHeight="1" ht="105" outlineLevel="4">
      <c r="A388" s="1"/>
      <c r="B388" s="1">
        <v>889734</v>
      </c>
      <c r="C388" s="1" t="s">
        <v>1322</v>
      </c>
      <c r="D388" s="1" t="s">
        <v>1323</v>
      </c>
      <c r="E388" s="2" t="s">
        <v>1324</v>
      </c>
      <c r="F388" s="2" t="s">
        <v>1325</v>
      </c>
      <c r="G388" s="2">
        <v>0</v>
      </c>
      <c r="H388" s="2">
        <v>2</v>
      </c>
      <c r="I388" s="1">
        <v>0</v>
      </c>
      <c r="J388" s="3" t="s">
        <v>18</v>
      </c>
      <c r="K388" s="2" t="str">
        <f>J388*18462.00</f>
        <v>0</v>
      </c>
      <c r="L388" s="5"/>
    </row>
    <row r="389" spans="1:12" customHeight="1" ht="105" outlineLevel="4">
      <c r="A389" s="1"/>
      <c r="B389" s="1">
        <v>889735</v>
      </c>
      <c r="C389" s="1" t="s">
        <v>1326</v>
      </c>
      <c r="D389" s="1" t="s">
        <v>1327</v>
      </c>
      <c r="E389" s="2" t="s">
        <v>1328</v>
      </c>
      <c r="F389" s="2" t="s">
        <v>1329</v>
      </c>
      <c r="G389" s="2">
        <v>0</v>
      </c>
      <c r="H389" s="2">
        <v>2</v>
      </c>
      <c r="I389" s="1">
        <v>0</v>
      </c>
      <c r="J389" s="3" t="s">
        <v>18</v>
      </c>
      <c r="K389" s="2" t="str">
        <f>J389*19384.00</f>
        <v>0</v>
      </c>
      <c r="L389" s="5"/>
    </row>
    <row r="390" spans="1:12" customHeight="1" ht="105" outlineLevel="4">
      <c r="A390" s="1"/>
      <c r="B390" s="1">
        <v>889736</v>
      </c>
      <c r="C390" s="1" t="s">
        <v>1330</v>
      </c>
      <c r="D390" s="1" t="s">
        <v>1331</v>
      </c>
      <c r="E390" s="2" t="s">
        <v>1332</v>
      </c>
      <c r="F390" s="2" t="s">
        <v>1333</v>
      </c>
      <c r="G390" s="2">
        <v>0</v>
      </c>
      <c r="H390" s="2">
        <v>0</v>
      </c>
      <c r="I390" s="1">
        <v>0</v>
      </c>
      <c r="J390" s="3" t="s">
        <v>18</v>
      </c>
      <c r="K390" s="2" t="str">
        <f>J390*26526.00</f>
        <v>0</v>
      </c>
      <c r="L390" s="5"/>
    </row>
    <row r="391" spans="1:12" customHeight="1" ht="105" outlineLevel="4">
      <c r="A391" s="1"/>
      <c r="B391" s="1">
        <v>889737</v>
      </c>
      <c r="C391" s="1" t="s">
        <v>1334</v>
      </c>
      <c r="D391" s="1" t="s">
        <v>1335</v>
      </c>
      <c r="E391" s="2" t="s">
        <v>1336</v>
      </c>
      <c r="F391" s="2" t="s">
        <v>1337</v>
      </c>
      <c r="G391" s="2">
        <v>0</v>
      </c>
      <c r="H391" s="2">
        <v>0</v>
      </c>
      <c r="I391" s="1">
        <v>0</v>
      </c>
      <c r="J391" s="3" t="s">
        <v>18</v>
      </c>
      <c r="K391" s="2" t="str">
        <f>J391*5707.00</f>
        <v>0</v>
      </c>
      <c r="L391" s="5"/>
    </row>
    <row r="392" spans="1:12" customHeight="1" ht="105" outlineLevel="4">
      <c r="A392" s="1"/>
      <c r="B392" s="1">
        <v>889738</v>
      </c>
      <c r="C392" s="1" t="s">
        <v>1338</v>
      </c>
      <c r="D392" s="1" t="s">
        <v>1339</v>
      </c>
      <c r="E392" s="2" t="s">
        <v>1340</v>
      </c>
      <c r="F392" s="2" t="s">
        <v>1341</v>
      </c>
      <c r="G392" s="2">
        <v>0</v>
      </c>
      <c r="H392" s="2">
        <v>7</v>
      </c>
      <c r="I392" s="1">
        <v>0</v>
      </c>
      <c r="J392" s="3" t="s">
        <v>18</v>
      </c>
      <c r="K392" s="2" t="str">
        <f>J392*6038.00</f>
        <v>0</v>
      </c>
      <c r="L392" s="5"/>
    </row>
    <row r="393" spans="1:12" customHeight="1" ht="105" outlineLevel="4">
      <c r="A393" s="1"/>
      <c r="B393" s="1">
        <v>889739</v>
      </c>
      <c r="C393" s="1" t="s">
        <v>1342</v>
      </c>
      <c r="D393" s="1" t="s">
        <v>1343</v>
      </c>
      <c r="E393" s="2" t="s">
        <v>1344</v>
      </c>
      <c r="F393" s="2" t="s">
        <v>1345</v>
      </c>
      <c r="G393" s="2">
        <v>0</v>
      </c>
      <c r="H393" s="2">
        <v>0</v>
      </c>
      <c r="I393" s="1">
        <v>0</v>
      </c>
      <c r="J393" s="3" t="s">
        <v>18</v>
      </c>
      <c r="K393" s="2" t="str">
        <f>J393*8791.00</f>
        <v>0</v>
      </c>
      <c r="L393" s="5"/>
    </row>
    <row r="394" spans="1:12" outlineLevel="2">
      <c r="A394" s="8" t="s">
        <v>1346</v>
      </c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5"/>
    </row>
    <row r="395" spans="1:12" outlineLevel="4">
      <c r="A395" s="1"/>
      <c r="B395" s="1">
        <v>959256</v>
      </c>
      <c r="C395" s="1" t="s">
        <v>1347</v>
      </c>
      <c r="D395" s="1">
        <v>53884</v>
      </c>
      <c r="E395" s="2" t="s">
        <v>1348</v>
      </c>
      <c r="F395" s="2" t="s">
        <v>1349</v>
      </c>
      <c r="G395" s="2">
        <v>0</v>
      </c>
      <c r="H395" s="2">
        <v>0</v>
      </c>
      <c r="I395" s="1">
        <v>0</v>
      </c>
      <c r="J395" s="3" t="s">
        <v>18</v>
      </c>
      <c r="K395" s="2" t="str">
        <f>J395*3845.00</f>
        <v>0</v>
      </c>
      <c r="L395" s="5"/>
    </row>
    <row r="396" spans="1:12" outlineLevel="4">
      <c r="A396" s="1"/>
      <c r="B396" s="1">
        <v>959257</v>
      </c>
      <c r="C396" s="1" t="s">
        <v>1350</v>
      </c>
      <c r="D396" s="1">
        <v>88593</v>
      </c>
      <c r="E396" s="2" t="s">
        <v>1351</v>
      </c>
      <c r="F396" s="2" t="s">
        <v>1352</v>
      </c>
      <c r="G396" s="2">
        <v>0</v>
      </c>
      <c r="H396" s="2">
        <v>0</v>
      </c>
      <c r="I396" s="1">
        <v>0</v>
      </c>
      <c r="J396" s="3" t="s">
        <v>18</v>
      </c>
      <c r="K396" s="2" t="str">
        <f>J396*4262.00</f>
        <v>0</v>
      </c>
      <c r="L396" s="5"/>
    </row>
    <row r="397" spans="1:12" outlineLevel="4">
      <c r="A397" s="1"/>
      <c r="B397" s="1">
        <v>959258</v>
      </c>
      <c r="C397" s="1" t="s">
        <v>1353</v>
      </c>
      <c r="D397" s="1">
        <v>63954</v>
      </c>
      <c r="E397" s="2" t="s">
        <v>1354</v>
      </c>
      <c r="F397" s="2" t="s">
        <v>1355</v>
      </c>
      <c r="G397" s="2">
        <v>0</v>
      </c>
      <c r="H397" s="2">
        <v>0</v>
      </c>
      <c r="I397" s="1">
        <v>0</v>
      </c>
      <c r="J397" s="3" t="s">
        <v>18</v>
      </c>
      <c r="K397" s="2" t="str">
        <f>J397*5528.00</f>
        <v>0</v>
      </c>
      <c r="L397" s="5"/>
    </row>
    <row r="398" spans="1:12" outlineLevel="4">
      <c r="A398" s="1"/>
      <c r="B398" s="1">
        <v>959259</v>
      </c>
      <c r="C398" s="1" t="s">
        <v>1356</v>
      </c>
      <c r="D398" s="1">
        <v>11001</v>
      </c>
      <c r="E398" s="2" t="s">
        <v>1357</v>
      </c>
      <c r="F398" s="2" t="s">
        <v>1358</v>
      </c>
      <c r="G398" s="2">
        <v>0</v>
      </c>
      <c r="H398" s="2">
        <v>0</v>
      </c>
      <c r="I398" s="1">
        <v>0</v>
      </c>
      <c r="J398" s="3" t="s">
        <v>18</v>
      </c>
      <c r="K398" s="2" t="str">
        <f>J398*10093.00</f>
        <v>0</v>
      </c>
      <c r="L398" s="5"/>
    </row>
    <row r="399" spans="1:12" outlineLevel="4">
      <c r="A399" s="1"/>
      <c r="B399" s="1">
        <v>959260</v>
      </c>
      <c r="C399" s="1" t="s">
        <v>1359</v>
      </c>
      <c r="D399" s="1">
        <v>74950</v>
      </c>
      <c r="E399" s="2" t="s">
        <v>1360</v>
      </c>
      <c r="F399" s="2" t="s">
        <v>1361</v>
      </c>
      <c r="G399" s="2">
        <v>0</v>
      </c>
      <c r="H399" s="2">
        <v>0</v>
      </c>
      <c r="I399" s="1">
        <v>0</v>
      </c>
      <c r="J399" s="3" t="s">
        <v>18</v>
      </c>
      <c r="K399" s="2" t="str">
        <f>J399*4841.00</f>
        <v>0</v>
      </c>
      <c r="L399" s="5"/>
    </row>
    <row r="400" spans="1:12" outlineLevel="4">
      <c r="A400" s="1"/>
      <c r="B400" s="1">
        <v>959261</v>
      </c>
      <c r="C400" s="1" t="s">
        <v>1362</v>
      </c>
      <c r="D400" s="1">
        <v>10885</v>
      </c>
      <c r="E400" s="2" t="s">
        <v>1363</v>
      </c>
      <c r="F400" s="2" t="s">
        <v>1364</v>
      </c>
      <c r="G400" s="2">
        <v>0</v>
      </c>
      <c r="H400" s="2">
        <v>0</v>
      </c>
      <c r="I400" s="1">
        <v>0</v>
      </c>
      <c r="J400" s="3" t="s">
        <v>18</v>
      </c>
      <c r="K400" s="2" t="str">
        <f>J400*5598.00</f>
        <v>0</v>
      </c>
      <c r="L400" s="5"/>
    </row>
    <row r="401" spans="1:12" outlineLevel="4">
      <c r="A401" s="1"/>
      <c r="B401" s="1">
        <v>959262</v>
      </c>
      <c r="C401" s="1" t="s">
        <v>1365</v>
      </c>
      <c r="D401" s="1">
        <v>34130</v>
      </c>
      <c r="E401" s="2" t="s">
        <v>1366</v>
      </c>
      <c r="F401" s="2" t="s">
        <v>1367</v>
      </c>
      <c r="G401" s="2">
        <v>0</v>
      </c>
      <c r="H401" s="2">
        <v>0</v>
      </c>
      <c r="I401" s="1">
        <v>0</v>
      </c>
      <c r="J401" s="3" t="s">
        <v>18</v>
      </c>
      <c r="K401" s="2" t="str">
        <f>J401*6465.00</f>
        <v>0</v>
      </c>
      <c r="L401" s="5"/>
    </row>
    <row r="402" spans="1:12" outlineLevel="4">
      <c r="A402" s="1"/>
      <c r="B402" s="1">
        <v>959263</v>
      </c>
      <c r="C402" s="1" t="s">
        <v>1368</v>
      </c>
      <c r="D402" s="1">
        <v>85017</v>
      </c>
      <c r="E402" s="2" t="s">
        <v>1369</v>
      </c>
      <c r="F402" s="2" t="s">
        <v>1370</v>
      </c>
      <c r="G402" s="2">
        <v>0</v>
      </c>
      <c r="H402" s="2">
        <v>0</v>
      </c>
      <c r="I402" s="1">
        <v>0</v>
      </c>
      <c r="J402" s="3" t="s">
        <v>18</v>
      </c>
      <c r="K402" s="2" t="str">
        <f>J402*11036.00</f>
        <v>0</v>
      </c>
      <c r="L402" s="5"/>
    </row>
    <row r="403" spans="1:12" outlineLevel="1">
      <c r="A403" s="7" t="s">
        <v>1371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5"/>
    </row>
    <row r="404" spans="1:12" customHeight="1" ht="105" outlineLevel="3">
      <c r="A404" s="1"/>
      <c r="B404" s="1">
        <v>883941</v>
      </c>
      <c r="C404" s="1" t="s">
        <v>1372</v>
      </c>
      <c r="D404" s="1" t="s">
        <v>1373</v>
      </c>
      <c r="E404" s="2" t="s">
        <v>1374</v>
      </c>
      <c r="F404" s="2" t="s">
        <v>1375</v>
      </c>
      <c r="G404" s="2">
        <v>0</v>
      </c>
      <c r="H404" s="2">
        <v>0</v>
      </c>
      <c r="I404" s="1">
        <v>0</v>
      </c>
      <c r="J404" s="3" t="s">
        <v>18</v>
      </c>
      <c r="K404" s="2" t="str">
        <f>J404*16301.21</f>
        <v>0</v>
      </c>
      <c r="L404" s="5"/>
    </row>
    <row r="405" spans="1:12" customHeight="1" ht="105" outlineLevel="3">
      <c r="A405" s="1"/>
      <c r="B405" s="1">
        <v>883942</v>
      </c>
      <c r="C405" s="1" t="s">
        <v>1376</v>
      </c>
      <c r="D405" s="1" t="s">
        <v>1377</v>
      </c>
      <c r="E405" s="2" t="s">
        <v>1378</v>
      </c>
      <c r="F405" s="2" t="s">
        <v>1379</v>
      </c>
      <c r="G405" s="2">
        <v>0</v>
      </c>
      <c r="H405" s="2">
        <v>0</v>
      </c>
      <c r="I405" s="1">
        <v>0</v>
      </c>
      <c r="J405" s="3" t="s">
        <v>18</v>
      </c>
      <c r="K405" s="2" t="str">
        <f>J405*19281.54</f>
        <v>0</v>
      </c>
      <c r="L405" s="5"/>
    </row>
    <row r="406" spans="1:12" customHeight="1" ht="105" outlineLevel="3">
      <c r="A406" s="1"/>
      <c r="B406" s="1">
        <v>883943</v>
      </c>
      <c r="C406" s="1" t="s">
        <v>1380</v>
      </c>
      <c r="D406" s="1" t="s">
        <v>1381</v>
      </c>
      <c r="E406" s="2" t="s">
        <v>1382</v>
      </c>
      <c r="F406" s="2" t="s">
        <v>1383</v>
      </c>
      <c r="G406" s="2">
        <v>0</v>
      </c>
      <c r="H406" s="2">
        <v>0</v>
      </c>
      <c r="I406" s="1">
        <v>0</v>
      </c>
      <c r="J406" s="3" t="s">
        <v>18</v>
      </c>
      <c r="K406" s="2" t="str">
        <f>J406*22873.41</f>
        <v>0</v>
      </c>
      <c r="L406" s="5"/>
    </row>
    <row r="407" spans="1:12" customHeight="1" ht="105" outlineLevel="3">
      <c r="A407" s="1"/>
      <c r="B407" s="1">
        <v>885114</v>
      </c>
      <c r="C407" s="1" t="s">
        <v>1384</v>
      </c>
      <c r="D407" s="1" t="s">
        <v>1385</v>
      </c>
      <c r="E407" s="2" t="s">
        <v>1386</v>
      </c>
      <c r="F407" s="2" t="s">
        <v>1387</v>
      </c>
      <c r="G407" s="2">
        <v>9</v>
      </c>
      <c r="H407" s="2">
        <v>0</v>
      </c>
      <c r="I407" s="1">
        <v>0</v>
      </c>
      <c r="J407" s="3" t="s">
        <v>18</v>
      </c>
      <c r="K407" s="2" t="str">
        <f>J407*334.42</f>
        <v>0</v>
      </c>
      <c r="L407" s="5"/>
    </row>
    <row r="408" spans="1:12" customHeight="1" ht="105" outlineLevel="3">
      <c r="A408" s="1"/>
      <c r="B408" s="1">
        <v>885832</v>
      </c>
      <c r="C408" s="1" t="s">
        <v>1388</v>
      </c>
      <c r="D408" s="1" t="s">
        <v>1389</v>
      </c>
      <c r="E408" s="2" t="s">
        <v>1390</v>
      </c>
      <c r="F408" s="2" t="s">
        <v>1391</v>
      </c>
      <c r="G408" s="2">
        <v>0</v>
      </c>
      <c r="H408" s="2">
        <v>0</v>
      </c>
      <c r="I408" s="1">
        <v>0</v>
      </c>
      <c r="J408" s="3" t="s">
        <v>18</v>
      </c>
      <c r="K408" s="2" t="str">
        <f>J408*22399.65</f>
        <v>0</v>
      </c>
      <c r="L408" s="5"/>
    </row>
    <row r="409" spans="1:12" customHeight="1" ht="105" outlineLevel="3">
      <c r="A409" s="1"/>
      <c r="B409" s="1">
        <v>885833</v>
      </c>
      <c r="C409" s="1" t="s">
        <v>1392</v>
      </c>
      <c r="D409" s="1" t="s">
        <v>1393</v>
      </c>
      <c r="E409" s="2" t="s">
        <v>1394</v>
      </c>
      <c r="F409" s="2" t="s">
        <v>1395</v>
      </c>
      <c r="G409" s="2">
        <v>2</v>
      </c>
      <c r="H409" s="2">
        <v>0</v>
      </c>
      <c r="I409" s="1">
        <v>0</v>
      </c>
      <c r="J409" s="3" t="s">
        <v>18</v>
      </c>
      <c r="K409" s="2" t="str">
        <f>J409*23596.43</f>
        <v>0</v>
      </c>
      <c r="L409" s="5"/>
    </row>
    <row r="410" spans="1:12" customHeight="1" ht="105" outlineLevel="3">
      <c r="A410" s="1"/>
      <c r="B410" s="1">
        <v>885834</v>
      </c>
      <c r="C410" s="1" t="s">
        <v>1396</v>
      </c>
      <c r="D410" s="1" t="s">
        <v>1397</v>
      </c>
      <c r="E410" s="2" t="s">
        <v>1398</v>
      </c>
      <c r="F410" s="2" t="s">
        <v>1399</v>
      </c>
      <c r="G410" s="2">
        <v>3</v>
      </c>
      <c r="H410" s="2">
        <v>0</v>
      </c>
      <c r="I410" s="1">
        <v>0</v>
      </c>
      <c r="J410" s="3" t="s">
        <v>18</v>
      </c>
      <c r="K410" s="2" t="str">
        <f>J410*28196.19</f>
        <v>0</v>
      </c>
      <c r="L410" s="5"/>
    </row>
    <row r="411" spans="1:12" customHeight="1" ht="105" outlineLevel="3">
      <c r="A411" s="1"/>
      <c r="B411" s="1">
        <v>955743</v>
      </c>
      <c r="C411" s="1" t="s">
        <v>1400</v>
      </c>
      <c r="D411" s="1" t="s">
        <v>1401</v>
      </c>
      <c r="E411" s="2" t="s">
        <v>1402</v>
      </c>
      <c r="F411" s="2" t="s">
        <v>1375</v>
      </c>
      <c r="G411" s="2">
        <v>0</v>
      </c>
      <c r="H411" s="2">
        <v>0</v>
      </c>
      <c r="I411" s="1">
        <v>0</v>
      </c>
      <c r="J411" s="3" t="s">
        <v>18</v>
      </c>
      <c r="K411" s="2" t="str">
        <f>J411*16301.21</f>
        <v>0</v>
      </c>
      <c r="L411" s="5"/>
    </row>
    <row r="412" spans="1:12" outlineLevel="3">
      <c r="A412" s="1"/>
      <c r="B412" s="1">
        <v>955779</v>
      </c>
      <c r="C412" s="1" t="s">
        <v>1403</v>
      </c>
      <c r="D412" s="1" t="s">
        <v>1404</v>
      </c>
      <c r="E412" s="2" t="s">
        <v>1405</v>
      </c>
      <c r="F412" s="2" t="s">
        <v>1383</v>
      </c>
      <c r="G412" s="2">
        <v>0</v>
      </c>
      <c r="H412" s="2">
        <v>0</v>
      </c>
      <c r="I412" s="1">
        <v>0</v>
      </c>
      <c r="J412" s="3" t="s">
        <v>18</v>
      </c>
      <c r="K412" s="2" t="str">
        <f>J412*22873.41</f>
        <v>0</v>
      </c>
      <c r="L412" s="5"/>
    </row>
    <row r="413" spans="1:12" outlineLevel="3">
      <c r="A413" s="1"/>
      <c r="B413" s="1">
        <v>954094</v>
      </c>
      <c r="C413" s="1" t="s">
        <v>1406</v>
      </c>
      <c r="D413" s="1" t="s">
        <v>1407</v>
      </c>
      <c r="E413" s="2" t="s">
        <v>1408</v>
      </c>
      <c r="F413" s="2" t="s">
        <v>1379</v>
      </c>
      <c r="G413" s="2">
        <v>0</v>
      </c>
      <c r="H413" s="2">
        <v>0</v>
      </c>
      <c r="I413" s="1">
        <v>0</v>
      </c>
      <c r="J413" s="3" t="s">
        <v>18</v>
      </c>
      <c r="K413" s="2" t="str">
        <f>J413*19281.54</f>
        <v>0</v>
      </c>
      <c r="L413" s="5"/>
    </row>
    <row r="414" spans="1:12" outlineLevel="1">
      <c r="A414" s="7" t="s">
        <v>1409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5"/>
    </row>
    <row r="415" spans="1:12" customHeight="1" ht="105" outlineLevel="3">
      <c r="A415" s="1"/>
      <c r="B415" s="1">
        <v>884625</v>
      </c>
      <c r="C415" s="1" t="s">
        <v>1410</v>
      </c>
      <c r="D415" s="1" t="s">
        <v>1411</v>
      </c>
      <c r="E415" s="2" t="s">
        <v>1412</v>
      </c>
      <c r="F415" s="2" t="s">
        <v>1413</v>
      </c>
      <c r="G415" s="2">
        <v>0</v>
      </c>
      <c r="H415" s="2">
        <v>0</v>
      </c>
      <c r="I415" s="1">
        <v>0</v>
      </c>
      <c r="J415" s="3" t="s">
        <v>18</v>
      </c>
      <c r="K415" s="2" t="str">
        <f>J415*5150.93</f>
        <v>0</v>
      </c>
      <c r="L415" s="5"/>
    </row>
    <row r="416" spans="1:12" customHeight="1" ht="105" outlineLevel="3">
      <c r="A416" s="1"/>
      <c r="B416" s="1">
        <v>884626</v>
      </c>
      <c r="C416" s="1" t="s">
        <v>1414</v>
      </c>
      <c r="D416" s="1" t="s">
        <v>1415</v>
      </c>
      <c r="E416" s="2" t="s">
        <v>1416</v>
      </c>
      <c r="F416" s="2" t="s">
        <v>1417</v>
      </c>
      <c r="G416" s="2">
        <v>-1</v>
      </c>
      <c r="H416" s="2">
        <v>0</v>
      </c>
      <c r="I416" s="1">
        <v>0</v>
      </c>
      <c r="J416" s="3" t="s">
        <v>18</v>
      </c>
      <c r="K416" s="2" t="str">
        <f>J416*6208.36</f>
        <v>0</v>
      </c>
      <c r="L416" s="5"/>
    </row>
    <row r="417" spans="1:12" customHeight="1" ht="105" outlineLevel="3">
      <c r="A417" s="1"/>
      <c r="B417" s="1">
        <v>884627</v>
      </c>
      <c r="C417" s="1" t="s">
        <v>1418</v>
      </c>
      <c r="D417" s="1" t="s">
        <v>1419</v>
      </c>
      <c r="E417" s="2" t="s">
        <v>1420</v>
      </c>
      <c r="F417" s="2" t="s">
        <v>1421</v>
      </c>
      <c r="G417" s="2">
        <v>0</v>
      </c>
      <c r="H417" s="2">
        <v>0</v>
      </c>
      <c r="I417" s="1">
        <v>0</v>
      </c>
      <c r="J417" s="3" t="s">
        <v>18</v>
      </c>
      <c r="K417" s="2" t="str">
        <f>J417*6685.22</f>
        <v>0</v>
      </c>
      <c r="L417" s="5"/>
    </row>
    <row r="418" spans="1:12" customHeight="1" ht="105" outlineLevel="3">
      <c r="A418" s="1"/>
      <c r="B418" s="1">
        <v>884628</v>
      </c>
      <c r="C418" s="1" t="s">
        <v>1422</v>
      </c>
      <c r="D418" s="1" t="s">
        <v>1423</v>
      </c>
      <c r="E418" s="2" t="s">
        <v>1424</v>
      </c>
      <c r="F418" s="2" t="s">
        <v>1425</v>
      </c>
      <c r="G418" s="2">
        <v>-1</v>
      </c>
      <c r="H418" s="2">
        <v>0</v>
      </c>
      <c r="I418" s="1">
        <v>0</v>
      </c>
      <c r="J418" s="3" t="s">
        <v>18</v>
      </c>
      <c r="K418" s="2" t="str">
        <f>J418*7998.11</f>
        <v>0</v>
      </c>
      <c r="L418" s="5"/>
    </row>
    <row r="419" spans="1:12" customHeight="1" ht="105" outlineLevel="3">
      <c r="A419" s="1"/>
      <c r="B419" s="1">
        <v>884629</v>
      </c>
      <c r="C419" s="1" t="s">
        <v>1426</v>
      </c>
      <c r="D419" s="1" t="s">
        <v>1427</v>
      </c>
      <c r="E419" s="2" t="s">
        <v>1428</v>
      </c>
      <c r="F419" s="2" t="s">
        <v>1429</v>
      </c>
      <c r="G419" s="2">
        <v>2</v>
      </c>
      <c r="H419" s="2">
        <v>0</v>
      </c>
      <c r="I419" s="1">
        <v>0</v>
      </c>
      <c r="J419" s="3" t="s">
        <v>18</v>
      </c>
      <c r="K419" s="2" t="str">
        <f>J419*8330.97</f>
        <v>0</v>
      </c>
      <c r="L419" s="5"/>
    </row>
    <row r="420" spans="1:12" customHeight="1" ht="105" outlineLevel="3">
      <c r="A420" s="1"/>
      <c r="B420" s="1">
        <v>886071</v>
      </c>
      <c r="C420" s="1" t="s">
        <v>1430</v>
      </c>
      <c r="D420" s="1" t="s">
        <v>1431</v>
      </c>
      <c r="E420" s="2" t="s">
        <v>1432</v>
      </c>
      <c r="F420" s="2" t="s">
        <v>1433</v>
      </c>
      <c r="G420" s="2">
        <v>6</v>
      </c>
      <c r="H420" s="2">
        <v>0</v>
      </c>
      <c r="I420" s="1">
        <v>0</v>
      </c>
      <c r="J420" s="3" t="s">
        <v>18</v>
      </c>
      <c r="K420" s="2" t="str">
        <f>J420*5033.26</f>
        <v>0</v>
      </c>
      <c r="L420" s="5"/>
    </row>
    <row r="421" spans="1:12" customHeight="1" ht="105" outlineLevel="3">
      <c r="A421" s="1"/>
      <c r="B421" s="1">
        <v>886072</v>
      </c>
      <c r="C421" s="1" t="s">
        <v>1434</v>
      </c>
      <c r="D421" s="1" t="s">
        <v>1435</v>
      </c>
      <c r="E421" s="2" t="s">
        <v>1436</v>
      </c>
      <c r="F421" s="2" t="s">
        <v>1437</v>
      </c>
      <c r="G421" s="2">
        <v>2</v>
      </c>
      <c r="H421" s="2">
        <v>0</v>
      </c>
      <c r="I421" s="1">
        <v>0</v>
      </c>
      <c r="J421" s="3" t="s">
        <v>18</v>
      </c>
      <c r="K421" s="2" t="str">
        <f>J421*6062.83</f>
        <v>0</v>
      </c>
      <c r="L421" s="5"/>
    </row>
    <row r="422" spans="1:12" customHeight="1" ht="105" outlineLevel="3">
      <c r="A422" s="1"/>
      <c r="B422" s="1">
        <v>955744</v>
      </c>
      <c r="C422" s="1" t="s">
        <v>1438</v>
      </c>
      <c r="D422" s="1" t="s">
        <v>1439</v>
      </c>
      <c r="E422" s="2" t="s">
        <v>1440</v>
      </c>
      <c r="F422" s="2" t="s">
        <v>1441</v>
      </c>
      <c r="G422" s="2">
        <v>2</v>
      </c>
      <c r="H422" s="2">
        <v>0</v>
      </c>
      <c r="I422" s="1">
        <v>0</v>
      </c>
      <c r="J422" s="3" t="s">
        <v>18</v>
      </c>
      <c r="K422" s="2" t="str">
        <f>J422*10047.95</f>
        <v>0</v>
      </c>
      <c r="L422" s="5"/>
    </row>
    <row r="423" spans="1:12" customHeight="1" ht="105" outlineLevel="3">
      <c r="A423" s="1"/>
      <c r="B423" s="1">
        <v>955745</v>
      </c>
      <c r="C423" s="1" t="s">
        <v>1442</v>
      </c>
      <c r="D423" s="1" t="s">
        <v>1443</v>
      </c>
      <c r="E423" s="2" t="s">
        <v>1444</v>
      </c>
      <c r="F423" s="2" t="s">
        <v>1445</v>
      </c>
      <c r="G423" s="2">
        <v>2</v>
      </c>
      <c r="H423" s="2">
        <v>0</v>
      </c>
      <c r="I423" s="1">
        <v>0</v>
      </c>
      <c r="J423" s="3" t="s">
        <v>18</v>
      </c>
      <c r="K423" s="2" t="str">
        <f>J423*14252.92</f>
        <v>0</v>
      </c>
      <c r="L423" s="5"/>
    </row>
    <row r="424" spans="1:12" customHeight="1" ht="105" outlineLevel="3">
      <c r="A424" s="1"/>
      <c r="B424" s="1">
        <v>955746</v>
      </c>
      <c r="C424" s="1" t="s">
        <v>1446</v>
      </c>
      <c r="D424" s="1" t="s">
        <v>1447</v>
      </c>
      <c r="E424" s="2" t="s">
        <v>1448</v>
      </c>
      <c r="F424" s="2" t="s">
        <v>1449</v>
      </c>
      <c r="G424" s="2">
        <v>0</v>
      </c>
      <c r="H424" s="2">
        <v>0</v>
      </c>
      <c r="I424" s="1">
        <v>0</v>
      </c>
      <c r="J424" s="3" t="s">
        <v>18</v>
      </c>
      <c r="K424" s="2" t="str">
        <f>J424*7445.39</f>
        <v>0</v>
      </c>
      <c r="L424" s="5"/>
    </row>
    <row r="425" spans="1:12" customHeight="1" ht="105" outlineLevel="3">
      <c r="A425" s="1"/>
      <c r="B425" s="1">
        <v>955747</v>
      </c>
      <c r="C425" s="1" t="s">
        <v>1450</v>
      </c>
      <c r="D425" s="1" t="s">
        <v>1451</v>
      </c>
      <c r="E425" s="2" t="s">
        <v>1452</v>
      </c>
      <c r="F425" s="2" t="s">
        <v>1453</v>
      </c>
      <c r="G425" s="2">
        <v>0</v>
      </c>
      <c r="H425" s="2">
        <v>0</v>
      </c>
      <c r="I425" s="1">
        <v>0</v>
      </c>
      <c r="J425" s="3" t="s">
        <v>18</v>
      </c>
      <c r="K425" s="2" t="str">
        <f>J425*7456.23</f>
        <v>0</v>
      </c>
      <c r="L425" s="5"/>
    </row>
    <row r="426" spans="1:12" customHeight="1" ht="105" outlineLevel="3">
      <c r="A426" s="1"/>
      <c r="B426" s="1">
        <v>955749</v>
      </c>
      <c r="C426" s="1" t="s">
        <v>1454</v>
      </c>
      <c r="D426" s="1" t="s">
        <v>1455</v>
      </c>
      <c r="E426" s="2" t="s">
        <v>1456</v>
      </c>
      <c r="F426" s="2" t="s">
        <v>1413</v>
      </c>
      <c r="G426" s="2">
        <v>2</v>
      </c>
      <c r="H426" s="2">
        <v>0</v>
      </c>
      <c r="I426" s="1">
        <v>0</v>
      </c>
      <c r="J426" s="3" t="s">
        <v>18</v>
      </c>
      <c r="K426" s="2" t="str">
        <f>J426*5150.93</f>
        <v>0</v>
      </c>
      <c r="L426" s="5"/>
    </row>
    <row r="427" spans="1:12" customHeight="1" ht="105" outlineLevel="3">
      <c r="A427" s="1"/>
      <c r="B427" s="1">
        <v>955750</v>
      </c>
      <c r="C427" s="1" t="s">
        <v>1457</v>
      </c>
      <c r="D427" s="1" t="s">
        <v>1458</v>
      </c>
      <c r="E427" s="2" t="s">
        <v>1459</v>
      </c>
      <c r="F427" s="2" t="s">
        <v>1417</v>
      </c>
      <c r="G427" s="2">
        <v>1</v>
      </c>
      <c r="H427" s="2">
        <v>0</v>
      </c>
      <c r="I427" s="1">
        <v>0</v>
      </c>
      <c r="J427" s="3" t="s">
        <v>18</v>
      </c>
      <c r="K427" s="2" t="str">
        <f>J427*6208.36</f>
        <v>0</v>
      </c>
      <c r="L427" s="5"/>
    </row>
    <row r="428" spans="1:12" customHeight="1" ht="105" outlineLevel="3">
      <c r="A428" s="1"/>
      <c r="B428" s="1">
        <v>955751</v>
      </c>
      <c r="C428" s="1" t="s">
        <v>1460</v>
      </c>
      <c r="D428" s="1" t="s">
        <v>1461</v>
      </c>
      <c r="E428" s="2" t="s">
        <v>1462</v>
      </c>
      <c r="F428" s="2" t="s">
        <v>1425</v>
      </c>
      <c r="G428" s="2">
        <v>0</v>
      </c>
      <c r="H428" s="2">
        <v>0</v>
      </c>
      <c r="I428" s="1">
        <v>0</v>
      </c>
      <c r="J428" s="3" t="s">
        <v>18</v>
      </c>
      <c r="K428" s="2" t="str">
        <f>J428*7998.11</f>
        <v>0</v>
      </c>
      <c r="L428" s="5"/>
    </row>
    <row r="429" spans="1:12" outlineLevel="3">
      <c r="A429" s="1"/>
      <c r="B429" s="1">
        <v>955780</v>
      </c>
      <c r="C429" s="1" t="s">
        <v>1463</v>
      </c>
      <c r="D429" s="1" t="s">
        <v>1464</v>
      </c>
      <c r="E429" s="2" t="s">
        <v>1465</v>
      </c>
      <c r="F429" s="2" t="s">
        <v>1429</v>
      </c>
      <c r="G429" s="2">
        <v>0</v>
      </c>
      <c r="H429" s="2">
        <v>0</v>
      </c>
      <c r="I429" s="1">
        <v>0</v>
      </c>
      <c r="J429" s="3" t="s">
        <v>18</v>
      </c>
      <c r="K429" s="2" t="str">
        <f>J429*8330.97</f>
        <v>0</v>
      </c>
      <c r="L4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63:K63"/>
    <mergeCell ref="A106:K106"/>
    <mergeCell ref="A119:K119"/>
    <mergeCell ref="A127:K127"/>
    <mergeCell ref="A257:K257"/>
    <mergeCell ref="A290:K290"/>
    <mergeCell ref="A300:K300"/>
    <mergeCell ref="A370:K370"/>
    <mergeCell ref="A403:K403"/>
    <mergeCell ref="A414:K414"/>
    <mergeCell ref="A4:K4"/>
    <mergeCell ref="A28:K28"/>
    <mergeCell ref="A44:K44"/>
    <mergeCell ref="A56:K56"/>
    <mergeCell ref="A64:K64"/>
    <mergeCell ref="A99:K99"/>
    <mergeCell ref="A101:K101"/>
    <mergeCell ref="A104:K104"/>
    <mergeCell ref="A128:K128"/>
    <mergeCell ref="A148:K148"/>
    <mergeCell ref="A190:K190"/>
    <mergeCell ref="A258:K258"/>
    <mergeCell ref="A274:K274"/>
    <mergeCell ref="A292:K292"/>
    <mergeCell ref="A298:K298"/>
    <mergeCell ref="A371:K371"/>
    <mergeCell ref="A378:K378"/>
    <mergeCell ref="A394:K394"/>
    <mergeCell ref="A5:K5"/>
    <mergeCell ref="A12:K12"/>
    <mergeCell ref="A23:K23"/>
    <mergeCell ref="A129:K129"/>
    <mergeCell ref="A138:K138"/>
    <mergeCell ref="A149:K149"/>
    <mergeCell ref="A162:K162"/>
    <mergeCell ref="A169:K169"/>
    <mergeCell ref="A184:K184"/>
    <mergeCell ref="A191:K191"/>
    <mergeCell ref="A199:K199"/>
    <mergeCell ref="A207:K207"/>
    <mergeCell ref="A212:K212"/>
    <mergeCell ref="A218:K218"/>
    <mergeCell ref="A251:K25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2026-09-13T06:48:46+03:00</dcterms:created>
  <dcterms:modified xsi:type="dcterms:W3CDTF">2026-09-13T06:48:46+03:00</dcterms:modified>
  <dc:title>Untitled Spreadsheet</dc:title>
  <dc:description/>
  <dc:subject/>
  <cp:keywords/>
  <cp:category/>
</cp:coreProperties>
</file>