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<sst xmlns="http://schemas.openxmlformats.org/spreadsheetml/2006/main" uniqueCount="1335">
  <si>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</si>
  <si>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</si>
  <si>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</si>
  <si>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</si>
  <si>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</si>
  <si>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</si>
  <si>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</si>
  <si>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</si>
  <si>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</si>
  <si>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</si>
  <si>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</si>
  <si>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Циркуляционные насосы для отопления</t>
  </si>
  <si>
    <t>Циркуляционные насосы для отопления VALTEC</t>
  </si>
  <si>
    <t>VLC-921001</t>
  </si>
  <si>
    <t>VRS.254.13.0</t>
  </si>
  <si>
    <t>Насос цирк. VALTEC RS 25/4-130 с гайками</t>
  </si>
  <si>
    <t>3 989.00 руб.</t>
  </si>
  <si>
    <t>&gt;50</t>
  </si>
  <si>
    <t>шт</t>
  </si>
  <si>
    <t>VLC-921002</t>
  </si>
  <si>
    <t>VRS.254.18.0</t>
  </si>
  <si>
    <t>Насос цирк. VALTEC RS 25/4-180 с гайками</t>
  </si>
  <si>
    <t>&gt;10</t>
  </si>
  <si>
    <t>&gt;100</t>
  </si>
  <si>
    <t>VLC-921003</t>
  </si>
  <si>
    <t>VRS.256.13.0</t>
  </si>
  <si>
    <t>Насос цирк. VALTEC RS 25/6-130 с гайками</t>
  </si>
  <si>
    <t>4 311.00 руб.</t>
  </si>
  <si>
    <t>VLC-921004</t>
  </si>
  <si>
    <t>VRS.256EA.18.0</t>
  </si>
  <si>
    <t>Энергосберегающий цирк насос VALTEC RS 25/6EA-180 с частотным регулированием с гайками</t>
  </si>
  <si>
    <t>8 117.00 руб.</t>
  </si>
  <si>
    <t>VLC-921005</t>
  </si>
  <si>
    <t>VRS.256EA.13.0</t>
  </si>
  <si>
    <t>Энергосберегающий цирк насос VALTEC RS 25/6EA-130 с частотным регулированием с гайками</t>
  </si>
  <si>
    <t>8 286.00 руб.</t>
  </si>
  <si>
    <t>VLC-921006</t>
  </si>
  <si>
    <t>VRS.256.18.0</t>
  </si>
  <si>
    <t>Насос цирк. VALTEC RS 25/6-180 с гайками</t>
  </si>
  <si>
    <t>4 186.00 руб.</t>
  </si>
  <si>
    <t>VLC-921007</t>
  </si>
  <si>
    <t>VRS.258.18.0</t>
  </si>
  <si>
    <t>Насос цирк. VALTEC RS 25/8-180 с гайками</t>
  </si>
  <si>
    <t>8 077.00 руб.</t>
  </si>
  <si>
    <t>VLC-921008</t>
  </si>
  <si>
    <t>VRS.324.18.0</t>
  </si>
  <si>
    <t>Насос цирк. VALTEC RS 32/4-180 с гайками</t>
  </si>
  <si>
    <t>4 301.00 руб.</t>
  </si>
  <si>
    <t>VLC-921009</t>
  </si>
  <si>
    <t>VRS.326.18.0</t>
  </si>
  <si>
    <t>Насос цирк. VALTEC RS 32/6-180 с гайками</t>
  </si>
  <si>
    <t>4 498.00 руб.</t>
  </si>
  <si>
    <t>VLC-921010</t>
  </si>
  <si>
    <t>VRS.328.18.0</t>
  </si>
  <si>
    <t>Насос цирк. VALTEC RS 32/8-180 с гайками</t>
  </si>
  <si>
    <t>8 456.00 руб.</t>
  </si>
  <si>
    <t>VLC-921013</t>
  </si>
  <si>
    <t>VRS.129G.15.0</t>
  </si>
  <si>
    <t>Насос повышения давления VALTEC VRS12/9G</t>
  </si>
  <si>
    <t>6 037.00 руб.</t>
  </si>
  <si>
    <t>Энергосберегающие циркуляционные насосы для отопления VIEIR</t>
  </si>
  <si>
    <t>NAS-210012</t>
  </si>
  <si>
    <t>VR25/4-180E</t>
  </si>
  <si>
    <t>Энергосберегающий циркуляционный насос с частотным регулированием "VIEIR" (8шт)</t>
  </si>
  <si>
    <t>7 045.71 руб.</t>
  </si>
  <si>
    <t>NAS-210013</t>
  </si>
  <si>
    <t>VR25/6-180E</t>
  </si>
  <si>
    <t>7 042.77 руб.</t>
  </si>
  <si>
    <t>NAS-210014</t>
  </si>
  <si>
    <t>VR32/6-180E</t>
  </si>
  <si>
    <t>8 112.93 руб.</t>
  </si>
  <si>
    <t>VER-001580</t>
  </si>
  <si>
    <t>VE20-6-130</t>
  </si>
  <si>
    <t>Насос циркуляционный с частотным регулированием для систем отопления 1" (8/1шт)</t>
  </si>
  <si>
    <t>8 677.41 руб.</t>
  </si>
  <si>
    <t>VER-001581</t>
  </si>
  <si>
    <t>VE25-6-130</t>
  </si>
  <si>
    <t>Насос циркуляционный с частотным регулированием для систем отопления 1 1/2" (8/1шт)</t>
  </si>
  <si>
    <t>8 994.93 руб.</t>
  </si>
  <si>
    <t>VER-001582</t>
  </si>
  <si>
    <t>VE25-4-180</t>
  </si>
  <si>
    <t>9 162.51 руб.</t>
  </si>
  <si>
    <t>VER-001583</t>
  </si>
  <si>
    <t>VE25-6-180</t>
  </si>
  <si>
    <t>Циркуляционные насосы для отопления ZEGOR</t>
  </si>
  <si>
    <t>ZGR-001078</t>
  </si>
  <si>
    <t>ZRS25/4GB</t>
  </si>
  <si>
    <t>Насос циркуляционный 25/4 180мм в комплекте с гайками и кабелем (1/8 шт)</t>
  </si>
  <si>
    <t>3 289.57 руб.</t>
  </si>
  <si>
    <t>ZGR-001079</t>
  </si>
  <si>
    <t>ZRS25/6GB</t>
  </si>
  <si>
    <t>Насос циркуляционный 25/6 180мм в комплекте с гайками и кабелем (1/8 шт)</t>
  </si>
  <si>
    <t>3 584.94 руб.</t>
  </si>
  <si>
    <t>ZGR-001081</t>
  </si>
  <si>
    <t>ZRS32/4GB</t>
  </si>
  <si>
    <t>Насос циркуляционный 32/4 180мм в комплекте с гайками и кабелем (1/8 шт)</t>
  </si>
  <si>
    <t>3 563.30 руб.</t>
  </si>
  <si>
    <t>ZGR-001082</t>
  </si>
  <si>
    <t>ZRS32/6GB</t>
  </si>
  <si>
    <t>Насос циркуляционный 32/6 180мм в комплекте с гайками и кабелем (1/8 шт)</t>
  </si>
  <si>
    <t>3 864.19 руб.</t>
  </si>
  <si>
    <t>ZGR-001120</t>
  </si>
  <si>
    <t>ZRS25/4GB-130</t>
  </si>
  <si>
    <t>Насос циркуляционный 25/4 130мм в комплекте с гайками и кабелем (1/8 шт)</t>
  </si>
  <si>
    <t>3 534.17 руб.</t>
  </si>
  <si>
    <t>ZGR-001121</t>
  </si>
  <si>
    <t>ZRS25/6GB-130</t>
  </si>
  <si>
    <t>Насос циркуляционный 25/6 130мм в комплекте с гайками и кабелем (1/8 шт)</t>
  </si>
  <si>
    <t>3 775.52 руб.</t>
  </si>
  <si>
    <t>ZGR-001248</t>
  </si>
  <si>
    <t>ZRS25/4E</t>
  </si>
  <si>
    <t>2 517.24 руб.</t>
  </si>
  <si>
    <t>ZGR-001249</t>
  </si>
  <si>
    <t>ZRS25/6E</t>
  </si>
  <si>
    <t>2 725.49 руб.</t>
  </si>
  <si>
    <t>Профессиональные циркуляционые насосы для отопления ZEGOR PRO</t>
  </si>
  <si>
    <t>ZGR-001111</t>
  </si>
  <si>
    <t>ZRS25/4G-130 Pro</t>
  </si>
  <si>
    <t>Насос циркуляционный бесшумный СЕРИЯ PRO 25/4 130мм с гайками и кабелем. ГАРАНТИЯ 5 ЛЕТ (1/8 шт)</t>
  </si>
  <si>
    <t>4 695.19 руб.</t>
  </si>
  <si>
    <t>ZGR-001112</t>
  </si>
  <si>
    <t>ZRS25/4G Pro</t>
  </si>
  <si>
    <t>Насос циркуляционный бесшумный СЕРИЯ PRO 25/4 180мм с гайками и кабелем. ГАРАНТИЯ 5 ЛЕТ (1/8 шт)</t>
  </si>
  <si>
    <t>4 225.67 руб.</t>
  </si>
  <si>
    <t>ZGR-001113</t>
  </si>
  <si>
    <t>ZRS25/6G-130 Pro</t>
  </si>
  <si>
    <t>Насос циркуляционный бесшумный СЕРИЯ PRO 25/6 130мм с гайками и кабелем. ГАРАНТИЯ 5 ЛЕТ (1/8 шт)</t>
  </si>
  <si>
    <t>4 656.04 руб.</t>
  </si>
  <si>
    <t>ZGR-001114</t>
  </si>
  <si>
    <t>ZRS25/6G Pro</t>
  </si>
  <si>
    <t>Насос циркуляционный бесшумный СЕРИЯ PRO 25/6 180мм с гайками и кабелем. ГАРАНТИЯ 5 ЛЕТ (1/8 шт)</t>
  </si>
  <si>
    <t>4 887.70 руб.</t>
  </si>
  <si>
    <t>ZGR-001194</t>
  </si>
  <si>
    <t>ZRS25/8G-180 Pro</t>
  </si>
  <si>
    <t>Насос циркуляционный бесшумный СЕРИЯ PRO 25/8 180мм с гайками и кабелем. ГАРАНТИЯ 5 ЛЕТ (1/4 шт)</t>
  </si>
  <si>
    <t>8 070.63 руб.</t>
  </si>
  <si>
    <t>ZGR-001195</t>
  </si>
  <si>
    <t>SMAC25/6 Pro</t>
  </si>
  <si>
    <t>Энергосберегающий циркул насос 25/6 180мм ZEGOR СЕРИЯ PRO с частотным регулир,ГАРАНТИЯ 7 ЛЕТ (1/8шт)</t>
  </si>
  <si>
    <t>8 586.66 руб.</t>
  </si>
  <si>
    <t>ZGR-001204</t>
  </si>
  <si>
    <t>ZRS20/6G-130 Pro</t>
  </si>
  <si>
    <t>Насос для ГВС СЕРИЯ PRO 20/6 130мм с гайками 3/4 и кабелем. ГАРАНТИЯ 5 ЛЕТ (1/8шт)</t>
  </si>
  <si>
    <t>5 230.30 руб.</t>
  </si>
  <si>
    <t>ZGR-001227</t>
  </si>
  <si>
    <t>ZRS32/8G-180 Pro</t>
  </si>
  <si>
    <t>Насос циркуляционный бесшумный СЕРИЯ PRO 32/8 180мм с гайками и кабелем. ГАРАНТИЯ 5 ЛЕТ (1/4 шт)</t>
  </si>
  <si>
    <t>8 376.69 руб.</t>
  </si>
  <si>
    <t>ZGR-001235</t>
  </si>
  <si>
    <t>ZRS32/4G-180 Pro</t>
  </si>
  <si>
    <t>Насос циркуляционный бесшумный СЕРИЯ PRO 32/4 180мм с гайками и кабелем. ГАРАНТИЯ 5 ЛЕТ (1/8 шт)</t>
  </si>
  <si>
    <t>4 622.98 руб.</t>
  </si>
  <si>
    <t>ZGR-001236</t>
  </si>
  <si>
    <t>ZRS32/6G-180 Pro</t>
  </si>
  <si>
    <t>Насос циркуляционный бесшумный СЕРИЯ PRO 32/6 180мм с гайками и кабелем. ГАРАНТИЯ 5 ЛЕТ (1/8 шт)</t>
  </si>
  <si>
    <t>5 001.90 руб.</t>
  </si>
  <si>
    <t>Фланцевые циркуляционные насосы для отопления ZEGOR</t>
  </si>
  <si>
    <t>ZGR-001237</t>
  </si>
  <si>
    <t>ZRS40/8F-220 Pro</t>
  </si>
  <si>
    <t>Насос фланцевый циркуляционный СЕРИЯ PRO 40/8 220мм с кабелем (248Вт, 8м, 9,6м3) (1/4 шт)</t>
  </si>
  <si>
    <t>8 905.67 руб.</t>
  </si>
  <si>
    <t>ZGR-001238</t>
  </si>
  <si>
    <t>ZRS40/12F-220-0.55kw Pro</t>
  </si>
  <si>
    <t>Насос фланцевый циркуляционный СЕРИЯ PRO 40/12 220мм с кабелем (550Вт, 12м, 10,2м3) (1шт)</t>
  </si>
  <si>
    <t>16 944.27 руб.</t>
  </si>
  <si>
    <t>ZGR-001239</t>
  </si>
  <si>
    <t>ZRS40/16F-250-0.75kw Pro</t>
  </si>
  <si>
    <t>Насос фланцевый циркуляционный СЕРИЯ PRO 40/16 250мм с кабелем (750Вт, 16м, 14,9м3) (1шт)</t>
  </si>
  <si>
    <t>24 906.42 руб.</t>
  </si>
  <si>
    <t>ZGR-001240</t>
  </si>
  <si>
    <t>ZRS50/12F-280-0.75kw Pro</t>
  </si>
  <si>
    <t>Насос фланцевый циркуляционный СЕРИЯ PRO 50/12 280мм с кабелем (750Вт, 12м, 19,8м3) (1шт)</t>
  </si>
  <si>
    <t>25 229.88 руб.</t>
  </si>
  <si>
    <t>ZGR-001241</t>
  </si>
  <si>
    <t>ZRS50/16F-280-1.1kw Pro</t>
  </si>
  <si>
    <t>Насос фланцевый циркуляционный СЕРИЯ PRO 50/16 280мм с кабелем (1100Вт, 16м, 22,8м3) (1шт)</t>
  </si>
  <si>
    <t>28 995.58 руб.</t>
  </si>
  <si>
    <t>ZGR-001242</t>
  </si>
  <si>
    <t>ZRS65/12F-300-1.5kw Pro</t>
  </si>
  <si>
    <t>Насос фланцевый циркуляционный СЕРИЯ PRO 65/12 300мм с кабелем (1500Вт, 12м, 31,8м3) (1шт)</t>
  </si>
  <si>
    <t>32 175.35 руб.</t>
  </si>
  <si>
    <t>ZGR-001268</t>
  </si>
  <si>
    <t>ZRS50/16D Pro</t>
  </si>
  <si>
    <t>Насос фланцевый циркуляционный СЕРИЯ PRO с кабелем ЕВРОСТАНДАРТ (1100Вт, 16м, 22м3, 280мм) (1шт)</t>
  </si>
  <si>
    <t>34 384.48 руб.</t>
  </si>
  <si>
    <t>ZGR-001269</t>
  </si>
  <si>
    <t>ZRS65/12D Pro</t>
  </si>
  <si>
    <t>Насос фланцевый циркуляционный СЕРИЯ PRO с кабелем ЕВРОСТАНДАРТ (1500Вт, 12м, 38м3, 300мм) (1шт)</t>
  </si>
  <si>
    <t>38 206.87 руб.</t>
  </si>
  <si>
    <t>Энергосберегающие циркуляционные насосы для отопления TEBO</t>
  </si>
  <si>
    <t>ALT-110765</t>
  </si>
  <si>
    <t>Энергосберегающий циркуляционный насос модель TEBO-E 25/4-130 (без гаек) (1/8)</t>
  </si>
  <si>
    <t>7 716.20 руб.</t>
  </si>
  <si>
    <t>ALT-110766</t>
  </si>
  <si>
    <t>Энергосберегающий циркуляционный насос модель TEBO-E 25/6-130 (без гаек) (1/8)</t>
  </si>
  <si>
    <t>7 957.43 руб.</t>
  </si>
  <si>
    <t>ALT-110767</t>
  </si>
  <si>
    <t>Энергосберегающий циркуляционный насос модель TEBO-E 25/4-180 (1/8)</t>
  </si>
  <si>
    <t>7 877.17 руб.</t>
  </si>
  <si>
    <t>ALT-110768</t>
  </si>
  <si>
    <t>Энергосберегающий циркуляционный насос модель TEBO-E 25/6-180 (1/8)</t>
  </si>
  <si>
    <t>8 198.42 руб.</t>
  </si>
  <si>
    <t>ALT-110769</t>
  </si>
  <si>
    <t>Энергосберегающий циркуляционный насос модель TEBO-E 25/8-180 (1/8)</t>
  </si>
  <si>
    <t>12 217.61 руб.</t>
  </si>
  <si>
    <t>ALT-110770</t>
  </si>
  <si>
    <t>Энергосберегающий циркуляционный насос модель TEBO-E 32/4-180 (1/8)</t>
  </si>
  <si>
    <t>ALT-110771</t>
  </si>
  <si>
    <t>Энергосберегающий циркуляционный насос модель TEBO-E 32/6-180 (1/8)</t>
  </si>
  <si>
    <t>8 520.13 руб.</t>
  </si>
  <si>
    <t>ALT-110772</t>
  </si>
  <si>
    <t>Энергосберегающий циркуляционный насос модель TEBO-E 32/8-180 (1/8)</t>
  </si>
  <si>
    <t>13 101.79 руб.</t>
  </si>
  <si>
    <t>Циркуляционные насосы для отопления АКВАТЕК</t>
  </si>
  <si>
    <t>WST-100201</t>
  </si>
  <si>
    <t>ACP 25-40</t>
  </si>
  <si>
    <t>Насос циркуляционный Акватек ACP 25-40 (с гайками, без кабеля) (1/8шт)</t>
  </si>
  <si>
    <t>2 399.04 руб.</t>
  </si>
  <si>
    <t>WST-100202</t>
  </si>
  <si>
    <t>ACP 25-60</t>
  </si>
  <si>
    <t>Насос циркуляционный Акватек ACP 25-60 (с гайками, без кабеля) (1/8шт)</t>
  </si>
  <si>
    <t>2 508.71 руб.</t>
  </si>
  <si>
    <t>WST-100203</t>
  </si>
  <si>
    <t>ACP 25-80</t>
  </si>
  <si>
    <t>Насос циркуляционный Акватек ACP 25-80 (с гайками, без кабеля) (1/4шт)</t>
  </si>
  <si>
    <t>4 600.07 руб.</t>
  </si>
  <si>
    <t>WST-100204</t>
  </si>
  <si>
    <t>ACP 32-40</t>
  </si>
  <si>
    <t>Насос циркуляционный Акватек ACP 32-40 (с гайками, без кабеля) (1/8шт)</t>
  </si>
  <si>
    <t>2 594.01 руб.</t>
  </si>
  <si>
    <t>WST-100205</t>
  </si>
  <si>
    <t>ACP 32-60</t>
  </si>
  <si>
    <t>Насос циркуляционный Акватек ACP 32-60 (с гайками, без кабеля) (1/8шт)</t>
  </si>
  <si>
    <t>2 689.96 руб.</t>
  </si>
  <si>
    <t>WST-100206</t>
  </si>
  <si>
    <t>ACP 32-80</t>
  </si>
  <si>
    <t>Насос циркуляционный Акватек ACP 32-80 (с гайками, без кабеля) (1/4шт)</t>
  </si>
  <si>
    <t>4 752.39 руб.</t>
  </si>
  <si>
    <t>Автоматика</t>
  </si>
  <si>
    <t>Насосная автоматика VALTEC</t>
  </si>
  <si>
    <t>VLC-901065</t>
  </si>
  <si>
    <t>VT.CRS7.02.1</t>
  </si>
  <si>
    <t>Автоматическое устройство управления насосом 1/4"</t>
  </si>
  <si>
    <t>3 020.00 руб.</t>
  </si>
  <si>
    <t>&gt;25</t>
  </si>
  <si>
    <t>VLC-901066</t>
  </si>
  <si>
    <t>VT.CRS7.04.1</t>
  </si>
  <si>
    <t>Автоматическое устройство управления насосом 1/2"</t>
  </si>
  <si>
    <t>3 098.00 руб.</t>
  </si>
  <si>
    <t>VLC-922001</t>
  </si>
  <si>
    <t>VT.EPC2.06.0</t>
  </si>
  <si>
    <t>Блок насосной автоматики EPC-2</t>
  </si>
  <si>
    <t>2 828.00 руб.</t>
  </si>
  <si>
    <t>VLC-922002</t>
  </si>
  <si>
    <t>VT.CRS5.02.1</t>
  </si>
  <si>
    <t>Реле давления CRS-5, 1/4" нак.гайка, преднастройка 2,1-3,5 бар</t>
  </si>
  <si>
    <t>654.00 руб.</t>
  </si>
  <si>
    <t>VLC-922003</t>
  </si>
  <si>
    <t>VT.CRS6.02.1</t>
  </si>
  <si>
    <t>Реле защиты насоса от «сухого хода» CRS-6, 1/4" нак.гайка</t>
  </si>
  <si>
    <t>697.00 руб.</t>
  </si>
  <si>
    <t>VLC-922004</t>
  </si>
  <si>
    <t>VT.EPC.11.06</t>
  </si>
  <si>
    <t>Блок насосной автоматики EPC-11 (пресс контроль)</t>
  </si>
  <si>
    <t>2 555.00 руб.</t>
  </si>
  <si>
    <t>Насосная автоматика Italtecnica</t>
  </si>
  <si>
    <t>NAS-410009</t>
  </si>
  <si>
    <t>Реле давления PM5G14 1-5 бар, 1/4" нак. гайка, 250В  Italtecnica</t>
  </si>
  <si>
    <t>845.41 руб.</t>
  </si>
  <si>
    <t>NAS-410010</t>
  </si>
  <si>
    <t>Реле давления PM53W со встр. маном 1-5 бар, 1" нар-вн-вн, 250В  Italtecnica</t>
  </si>
  <si>
    <t>1 529.83 руб.</t>
  </si>
  <si>
    <t>NAS-430001</t>
  </si>
  <si>
    <t>LP3F14 датчик сухого хода 0,05-0,4 бар, 1/4" гайка, 230В ITALTECNICA</t>
  </si>
  <si>
    <t>1 264.29 руб.</t>
  </si>
  <si>
    <t>NAS-430002</t>
  </si>
  <si>
    <t>LP3G14 датчик сухого хода 0,05-0,4 бар, 1/4" накид. гайка, 230В ITALTECNICA</t>
  </si>
  <si>
    <t>1 276.36 руб.</t>
  </si>
  <si>
    <t>NAS-430003</t>
  </si>
  <si>
    <t>LP3G14H5PR датчик сухого хода 0,05-0,4 бар, 1/4" гайка, кабель 230В ITALTECNICA</t>
  </si>
  <si>
    <t>1 780.24 руб.</t>
  </si>
  <si>
    <t>NAS-430004</t>
  </si>
  <si>
    <t>PM12G14 реле давления 3-12 бар, 1/4" гайка, 250В ITALTECNICA</t>
  </si>
  <si>
    <t>1 118.94 руб.</t>
  </si>
  <si>
    <t>NAS-430005</t>
  </si>
  <si>
    <t>PM5F14 реле давления 1-5 бар, 1/4" гайка, 250В ITALTECNICA</t>
  </si>
  <si>
    <t>0.00 руб.</t>
  </si>
  <si>
    <t>NAS-430006</t>
  </si>
  <si>
    <t>PM5G14R25 реле давления 1-5 бар, 1/4" накид. гайка, 250В, усил. контакты до 20А ITALTECNICA</t>
  </si>
  <si>
    <t>1 234.54 руб.</t>
  </si>
  <si>
    <t>NAS-430007</t>
  </si>
  <si>
    <t>PM5G14SG реле давления 1-5 бар, 1/4" накид. гайка, 250В, прозр. корпус со шкалой ITALTECNICA</t>
  </si>
  <si>
    <t>1 109.42 руб.</t>
  </si>
  <si>
    <t>NAS-430008</t>
  </si>
  <si>
    <t>PM5ML14 реле давления 1-5 бар, 1/4" штуцер, 250В ITALTECNICA</t>
  </si>
  <si>
    <t>918.51 руб.</t>
  </si>
  <si>
    <t>NAS-430009</t>
  </si>
  <si>
    <t>PT12G14 реле давления 3-12 бар, 1/4" гайка, 380В ITALTECNICA</t>
  </si>
  <si>
    <t>1 017.28 руб.</t>
  </si>
  <si>
    <t>NAS-430010</t>
  </si>
  <si>
    <t>PT5G14 реле давления 1-5 бар, 1/4" накид. гайка, 380В ITALTECNICA</t>
  </si>
  <si>
    <t>1 417.46 руб.</t>
  </si>
  <si>
    <t>NAS-430011</t>
  </si>
  <si>
    <t>BRIO TANK реле давления 1" нар, 12А, 230В с резервуаром для воды ITALTECNICA</t>
  </si>
  <si>
    <t>6 650.74 руб.</t>
  </si>
  <si>
    <t>NAS-430012</t>
  </si>
  <si>
    <t>BRIO-M реле давления 1" нар, 12А, 230В ITALTECNICA</t>
  </si>
  <si>
    <t>4 651.18 руб.</t>
  </si>
  <si>
    <t>NAS-430013</t>
  </si>
  <si>
    <t>SPIN реле расхода 1" нар, 230В ITALTECNICA</t>
  </si>
  <si>
    <t>4 137.12 руб.</t>
  </si>
  <si>
    <t>NAS-430014</t>
  </si>
  <si>
    <t>TECNOIT05S поплавковый выключатель с кабелем 0,5 м ITALTECNICA</t>
  </si>
  <si>
    <t>1 067.77 руб.</t>
  </si>
  <si>
    <t>NAS-430015</t>
  </si>
  <si>
    <t>TECNOIT10 поплавковый выключатель с кабелем 10 м с противовесом ITALTECNICA</t>
  </si>
  <si>
    <t>3 381.30 руб.</t>
  </si>
  <si>
    <t>NAS-430016</t>
  </si>
  <si>
    <t>TECNOIT3 поплавковый выключатель с кабелем 3 м с противовесом ITALTECNICA</t>
  </si>
  <si>
    <t>1 957.72 руб.</t>
  </si>
  <si>
    <t>Насосная автоматика VIEIR</t>
  </si>
  <si>
    <t>NAS-410001</t>
  </si>
  <si>
    <t>VER7A/1B</t>
  </si>
  <si>
    <t>Реле давления VR-7 A  1-12 бар, нак. гайка 1/4 вн.р,  бок подвод проводов (1/50шт)</t>
  </si>
  <si>
    <t>341.04 руб.</t>
  </si>
  <si>
    <t>NAS-410002</t>
  </si>
  <si>
    <t>VER2.2/1C</t>
  </si>
  <si>
    <t>Блок автоматики VR-2,2 (1/12шт)</t>
  </si>
  <si>
    <t>2 072.70 руб.</t>
  </si>
  <si>
    <t>NAS-410003</t>
  </si>
  <si>
    <t>VER2.3/1C</t>
  </si>
  <si>
    <t>Контроллер насоса  VR-2,3 (1/30шт)</t>
  </si>
  <si>
    <t>1 800.75 руб.</t>
  </si>
  <si>
    <t>NAS-410004</t>
  </si>
  <si>
    <t>VER2.7</t>
  </si>
  <si>
    <t>Поплавковый выключатель, кабель 3м, 5 бар  VR-2,7 (1/20шт)</t>
  </si>
  <si>
    <t>676.20 руб.</t>
  </si>
  <si>
    <t>NAS-410005</t>
  </si>
  <si>
    <t>VR8A/1B</t>
  </si>
  <si>
    <t>Реле "сухого хода" VR-8 A (1/50шт)</t>
  </si>
  <si>
    <t>455.70 руб.</t>
  </si>
  <si>
    <t>NAS-410006</t>
  </si>
  <si>
    <t>VR9C/1B</t>
  </si>
  <si>
    <t>Реле давления VER9C 1-12 бар, нак гайка 1/4 вн.р., нижний подвод проводов (1/50шт)</t>
  </si>
  <si>
    <t>408.66 руб.</t>
  </si>
  <si>
    <t>NAS-410007</t>
  </si>
  <si>
    <t>VER9.1/1B</t>
  </si>
  <si>
    <t>Реле давления 1-5,3 бар с манометром VR-9.1 присоединие 1" (1/40шт)</t>
  </si>
  <si>
    <t>770.28 руб.</t>
  </si>
  <si>
    <t>NAS-410008</t>
  </si>
  <si>
    <t>VER2.1/1C</t>
  </si>
  <si>
    <t>Блок насосной автоматики VR-2.1 (1/15шт)</t>
  </si>
  <si>
    <t>2 000.67 руб.</t>
  </si>
  <si>
    <t>NAS-410011</t>
  </si>
  <si>
    <t>VER2.1A/1C</t>
  </si>
  <si>
    <t>Блок насосной автоматики с подключ проводами VR-2.1A (1/12шт)</t>
  </si>
  <si>
    <t>2 213.82 руб.</t>
  </si>
  <si>
    <t>NAS-410012</t>
  </si>
  <si>
    <t>VR9A/1B</t>
  </si>
  <si>
    <t>Реле давления VR-9A 1-12 бар,  1/4 нар.р., нижний подвод проводов (1/50шт)</t>
  </si>
  <si>
    <t>411.60 руб.</t>
  </si>
  <si>
    <t>VER-000545</t>
  </si>
  <si>
    <t>VER3.1A</t>
  </si>
  <si>
    <t>Контроллер насоса  "VIEIR" - 3.1 (12/1шт)</t>
  </si>
  <si>
    <t>3 705.87 руб.</t>
  </si>
  <si>
    <t>VER-000717</t>
  </si>
  <si>
    <t>VER3.4</t>
  </si>
  <si>
    <t>Блок контроля давления с накидной гайкой 1/4" (20/1шт)</t>
  </si>
  <si>
    <t>2 816.52 руб.</t>
  </si>
  <si>
    <t>VER-000718</t>
  </si>
  <si>
    <t>VER3.5</t>
  </si>
  <si>
    <t>Блок контроля давления, штуцер 1/2" (20/1шт)</t>
  </si>
  <si>
    <t>2 850.33 руб.</t>
  </si>
  <si>
    <t>VVR-000123</t>
  </si>
  <si>
    <t>VER2.4</t>
  </si>
  <si>
    <t>Плата контроллера насоса (250/1шт)</t>
  </si>
  <si>
    <t>637.98 руб.</t>
  </si>
  <si>
    <t>Насосная автоматика ZEGOR</t>
  </si>
  <si>
    <t>ZGR-001094</t>
  </si>
  <si>
    <t>ZS-01</t>
  </si>
  <si>
    <t>Блок Автоматики Zegor ZS-01 (1/12шт)</t>
  </si>
  <si>
    <t>3 534.62 руб.</t>
  </si>
  <si>
    <t>ZGR-001095</t>
  </si>
  <si>
    <t>ZS-01А</t>
  </si>
  <si>
    <t>Блок Автоматики Zegor ZS-01A (1/12шт)</t>
  </si>
  <si>
    <t>3 953.94 руб.</t>
  </si>
  <si>
    <t>ZGR-001096</t>
  </si>
  <si>
    <t>ZS-01B</t>
  </si>
  <si>
    <t>Блок Автоматики Zegor ZS-01B (1/12шт)</t>
  </si>
  <si>
    <t>2 848.56 руб.</t>
  </si>
  <si>
    <t>ZGR-001098</t>
  </si>
  <si>
    <t>ZS-03</t>
  </si>
  <si>
    <t>-Блок Автоматики с маноматром Zegor ZS-03 (1/15шт)</t>
  </si>
  <si>
    <t>3 164.40 руб.</t>
  </si>
  <si>
    <t>ZGR-001099</t>
  </si>
  <si>
    <t>ZS-05B</t>
  </si>
  <si>
    <t>Блок Автоматики с манометром Zegor ZS-05B (1/12шт)</t>
  </si>
  <si>
    <t>3 303.41 руб.</t>
  </si>
  <si>
    <t>ZGR-001101</t>
  </si>
  <si>
    <t>SK-5B</t>
  </si>
  <si>
    <t>Реле давления 1,4-2,8 бар Zegor SK-5В 1/4 нак. гайка (1/50шт)</t>
  </si>
  <si>
    <t>505.44 руб.</t>
  </si>
  <si>
    <t>ZGR-001102</t>
  </si>
  <si>
    <t>SK-5C</t>
  </si>
  <si>
    <t>Реле давления 1,4-2,8 бар Zegor SK-5C 1/4 нар.р (1/50шт)</t>
  </si>
  <si>
    <t>471.74 руб.</t>
  </si>
  <si>
    <t>ZGR-001104</t>
  </si>
  <si>
    <t>SK-9B</t>
  </si>
  <si>
    <t>Реле давления 1,4-2,8 бар Zegor SK-9В 1/4 нак. гайка (1/50шт)</t>
  </si>
  <si>
    <t>595.45 руб.</t>
  </si>
  <si>
    <t>ZGR-001105</t>
  </si>
  <si>
    <t>SK-9C</t>
  </si>
  <si>
    <t>Реле давления 1,4-2,8 бар Zegor SK-9C 1/4 нар.р (1/50шт)</t>
  </si>
  <si>
    <t>670.41 руб.</t>
  </si>
  <si>
    <t>ZGR-001209</t>
  </si>
  <si>
    <t>ZP-DB01</t>
  </si>
  <si>
    <t>Плата уплавления для блока автоматики ZS-01/ZS-01B (1/100шт)</t>
  </si>
  <si>
    <t>994.36 руб.</t>
  </si>
  <si>
    <t>ZGR-001210</t>
  </si>
  <si>
    <t>ZP-DB01A</t>
  </si>
  <si>
    <t>Плата управления для блока автоматики ZS-01A (1/100шт)</t>
  </si>
  <si>
    <t>ZGR-001211</t>
  </si>
  <si>
    <t>ZP-DB02</t>
  </si>
  <si>
    <t>Плата управления для блока автоматики ZS-02 (1/100шт)</t>
  </si>
  <si>
    <t>ZGR-001212</t>
  </si>
  <si>
    <t>ZP-DB03</t>
  </si>
  <si>
    <t>Плата управления для блока автоматики ZS-03 (1/100шт)</t>
  </si>
  <si>
    <t>ZGR-001223</t>
  </si>
  <si>
    <t>ZS-02B</t>
  </si>
  <si>
    <t>Блок Автоматики с манометром 1-3 бар с кабелем и розеткой Zegor (1/15шт)</t>
  </si>
  <si>
    <t>3 130.12 руб.</t>
  </si>
  <si>
    <t>ZGR-001224</t>
  </si>
  <si>
    <t>ZS-03B</t>
  </si>
  <si>
    <t>Блок Автоматики с манометром 1,5-3 бар с кабелем и розеткой Zegor (1/15шт)</t>
  </si>
  <si>
    <t>3 516.72 руб.</t>
  </si>
  <si>
    <t>ZGR-001225</t>
  </si>
  <si>
    <t>ZS-06</t>
  </si>
  <si>
    <t>Блок Автоматики с цифровым управлением с перезапуском Zegor (1/12шт)</t>
  </si>
  <si>
    <t>4 178.30 руб.</t>
  </si>
  <si>
    <t>ZGR-001226</t>
  </si>
  <si>
    <t>SK-9A</t>
  </si>
  <si>
    <t>Реле сухого хода 1/4 нар.р. (раб давление 0,15-0,9 бар) Zegor (1/50шт)</t>
  </si>
  <si>
    <t>687.96 руб.</t>
  </si>
  <si>
    <t>ZGR-001257</t>
  </si>
  <si>
    <t>SK-2A</t>
  </si>
  <si>
    <t>Реле давления (подходит для WZB370) (1/100шт)</t>
  </si>
  <si>
    <t>442.88 руб.</t>
  </si>
  <si>
    <t>ZGR-001258</t>
  </si>
  <si>
    <t>SK-2B</t>
  </si>
  <si>
    <t>Реле давления (подходит для WZB550) (1/100шт)</t>
  </si>
  <si>
    <t>ZGR-001270</t>
  </si>
  <si>
    <t>ZS-07</t>
  </si>
  <si>
    <t>Блок Автоматики 1,5-10бар с цифровым управлением Zegor (1/12шт)</t>
  </si>
  <si>
    <t>3 191.06 руб.</t>
  </si>
  <si>
    <t>ZGR-001271</t>
  </si>
  <si>
    <t>SK-9T</t>
  </si>
  <si>
    <t>Реле давления с манометром 1,4-2,8 бар Zegor  1/4 нак. гайка (1/50шт)</t>
  </si>
  <si>
    <t>887.40 руб.</t>
  </si>
  <si>
    <t>ZGR-001272</t>
  </si>
  <si>
    <t>ZS-11</t>
  </si>
  <si>
    <t>Частотный преобразователь для ТРЕХФАЗНОГО насоса 0,75-2,2 КВт, регулировка давления 1-9 бар (1/10шт)</t>
  </si>
  <si>
    <t>13 942.50 руб.</t>
  </si>
  <si>
    <t>ZGR-001273</t>
  </si>
  <si>
    <t>ZS-11A</t>
  </si>
  <si>
    <t>Частотный преобразователь для ОДНОФАЗНОГО насоса до 1,5 КВт, 1-9 бар, с розеткой и вилкой (1/10шт)</t>
  </si>
  <si>
    <t>УТ000002592</t>
  </si>
  <si>
    <t>ZS-11B</t>
  </si>
  <si>
    <t>Частотный преобразователь для ОДНОФАЗНОГО насоса до 1,5 КВт, 1-9 бар, с вилкой без розетки (1/10шт)</t>
  </si>
  <si>
    <t>Вибрационные погружные насосы</t>
  </si>
  <si>
    <t>Погружные вибрационные насосы ZEGOR</t>
  </si>
  <si>
    <t>ZGR-001074</t>
  </si>
  <si>
    <t>ZVM60B-10</t>
  </si>
  <si>
    <t>Вибрационный насос с термозащитой диаметр 100мм, 250Вт, 10 м (верх.забор)</t>
  </si>
  <si>
    <t>2 661.04 руб.</t>
  </si>
  <si>
    <t>ZGR-001075</t>
  </si>
  <si>
    <t>ZVM60B-15</t>
  </si>
  <si>
    <t>Вибрационный насос с термозащитой диаметр 100мм, 250Вт, 15 м (верх.забор)</t>
  </si>
  <si>
    <t>3 011.58 руб.</t>
  </si>
  <si>
    <t>ZGR-001076</t>
  </si>
  <si>
    <t>ZVM60H-10</t>
  </si>
  <si>
    <t>Вибрационный насос с термозащитой диаметр 100мм, 250Вт, 10 м (нижний забор)</t>
  </si>
  <si>
    <t>2 795.16 руб.</t>
  </si>
  <si>
    <t>ZGR-001077</t>
  </si>
  <si>
    <t>ZVM60H-15</t>
  </si>
  <si>
    <t>Вибрационный насос с термозащитой диаметр 100мм, 250Вт, 15 м (нижний забор) (4шт)</t>
  </si>
  <si>
    <t>3 104.20 руб.</t>
  </si>
  <si>
    <t>ZGR-001117</t>
  </si>
  <si>
    <t>ZVM60B-25</t>
  </si>
  <si>
    <t>Вибрационный насос с термозащитой диаметр 100мм, 250Вт, 25 м (верх.забор)</t>
  </si>
  <si>
    <t>3 651.04 руб.</t>
  </si>
  <si>
    <t>ZGR-001118</t>
  </si>
  <si>
    <t>ZVM60H-25</t>
  </si>
  <si>
    <t>Вибрационный насос с термозащитой диаметр 100мм, 250Вт, 25 м (нижний забор) (4шт)</t>
  </si>
  <si>
    <t>3 703.43 руб.</t>
  </si>
  <si>
    <t>Погружные вибрационные насосы FORA</t>
  </si>
  <si>
    <t>ALT-110671</t>
  </si>
  <si>
    <t>VP180U10</t>
  </si>
  <si>
    <t>Вибрационный насос 77мм, 60м, 180W, ВЕРХ (кабель 10м) FORA (1/6шт)</t>
  </si>
  <si>
    <t>2 427.74 руб.</t>
  </si>
  <si>
    <t>ALT-110672</t>
  </si>
  <si>
    <t>VP180U15</t>
  </si>
  <si>
    <t>Вибрационный насос 77мм, 60м, 180W, ВЕРХ (кабель 15м) FORA (1/6шт)</t>
  </si>
  <si>
    <t>2 561.35 руб.</t>
  </si>
  <si>
    <t>ALT-110673</t>
  </si>
  <si>
    <t>VP200U10</t>
  </si>
  <si>
    <t>Вибрационный насос 98мм, 70м, 200W, ВЕРХ (кабель 15м) FORA (1/6шт)</t>
  </si>
  <si>
    <t>2 541.06 руб.</t>
  </si>
  <si>
    <t>ALT-110674</t>
  </si>
  <si>
    <t>VP200U25</t>
  </si>
  <si>
    <t>Вибрационный насос 98мм, 70м, 250W, ВЕРХ (кабель 25м) FORA (1/4шт)</t>
  </si>
  <si>
    <t>3 068.20 руб.</t>
  </si>
  <si>
    <t>ALT-110675</t>
  </si>
  <si>
    <t>VP200U40</t>
  </si>
  <si>
    <t>Вибрационный насос 98мм, 70м, 250W, ВЕРХ (кабель 40м) FORA (1/4шт)</t>
  </si>
  <si>
    <t>3 737.38 руб.</t>
  </si>
  <si>
    <t>ALT-110677</t>
  </si>
  <si>
    <t>VP250D10-TP</t>
  </si>
  <si>
    <t>Вибрационный насос 98мм, 75м, 250W, НИЗ с термозащитой (кабель 10м) FORA (1/6шт)</t>
  </si>
  <si>
    <t>2 709.10 руб.</t>
  </si>
  <si>
    <t>ALT-110678</t>
  </si>
  <si>
    <t>VP250D15-TP</t>
  </si>
  <si>
    <t>Вибрационный насос 98мм, 75м, 250W, НИЗ с термозащитой (кабель 15м) FORA (1/6шт)</t>
  </si>
  <si>
    <t>2 868.01 руб.</t>
  </si>
  <si>
    <t>ALT-110679</t>
  </si>
  <si>
    <t>VP250D25-TP</t>
  </si>
  <si>
    <t>Вибрационный насос 100мм, 75м, 250W, НИЗ с термозащитой (кабель 25м) FORA (1/4шт)</t>
  </si>
  <si>
    <t>3 294.14 руб.</t>
  </si>
  <si>
    <t>ALT-110680</t>
  </si>
  <si>
    <t>VP250D40-TP</t>
  </si>
  <si>
    <t>Вибрационный насос 100мм, 75м, 250W, НИЗ с термозащитой (кабель 40м) FORA (1/4шт)</t>
  </si>
  <si>
    <t>3 854.34 руб.</t>
  </si>
  <si>
    <t>Погружные вибрационные насосы VIEIR</t>
  </si>
  <si>
    <t>NAS-130001</t>
  </si>
  <si>
    <t>VER60-10</t>
  </si>
  <si>
    <t>вибрационный насос КРЕПЫШ 10 м ВЕРХНИЙ забор (1/6шт)</t>
  </si>
  <si>
    <t>2 507.82 руб.</t>
  </si>
  <si>
    <t>NAS-130002</t>
  </si>
  <si>
    <t>VER60-16</t>
  </si>
  <si>
    <t>вибрационный насос КРЕПЫШ 16 м ВЕРХНИЙ забор (1/6шт)</t>
  </si>
  <si>
    <t>2 713.62 руб.</t>
  </si>
  <si>
    <t>NAS-130003</t>
  </si>
  <si>
    <t>VER60-25</t>
  </si>
  <si>
    <t>вибрационный насос КРЕПЫШ 25 м ВЕРХНИЙ забор (1/6шт)</t>
  </si>
  <si>
    <t>3 103.17 руб.</t>
  </si>
  <si>
    <t>NAS-130004</t>
  </si>
  <si>
    <t>VER60-1-10</t>
  </si>
  <si>
    <t>вибрационный насос КРЕПЫШ 10 м НИЖНИЙ забор (1/6шт)</t>
  </si>
  <si>
    <t>2 553.39 руб.</t>
  </si>
  <si>
    <t>NAS-130005</t>
  </si>
  <si>
    <t>VER60-1-16</t>
  </si>
  <si>
    <t>вибрационный насос КРЕПЫШ 16 м НИЖНИЙ забор (1/6шт)</t>
  </si>
  <si>
    <t>2 753.31 руб.</t>
  </si>
  <si>
    <t>NAS-130006</t>
  </si>
  <si>
    <t>VER60-1-25</t>
  </si>
  <si>
    <t>вибрационный насос КРЕПЫШ 25 м НИЖНИЙ забор (1/6шт)</t>
  </si>
  <si>
    <t>3 045.84 руб.</t>
  </si>
  <si>
    <t>Дренажные насосы</t>
  </si>
  <si>
    <t>Дренажные насосы ZEGOR</t>
  </si>
  <si>
    <t>VVR-000141</t>
  </si>
  <si>
    <t>VRKQ250</t>
  </si>
  <si>
    <t>НАСОС ПОГРУЖНОЙ ДРЕНАЖНЫЙ ДЛЯ ЧИСТОЙ ВОДЫ 250ВТ  ViEiR  (6шт)</t>
  </si>
  <si>
    <t>4 190.97 руб.</t>
  </si>
  <si>
    <t>ZGR-000207</t>
  </si>
  <si>
    <t>ZTP250CN</t>
  </si>
  <si>
    <t>Погружной дренаж насос для ЧИСТОЙ воды С ДЕРЖАТЕЛЕМ поплавка (250Вт; 6м; 5,5м3/час)  (1/4шт)</t>
  </si>
  <si>
    <t>4 294.72 руб.</t>
  </si>
  <si>
    <t>ZGR-001048</t>
  </si>
  <si>
    <t>WQV250F</t>
  </si>
  <si>
    <t>Погружной дренажный насос (мощность 250Вт; напор 7,5м; расход 5м3/час) кабель 5м (1/1шт)</t>
  </si>
  <si>
    <t>9 665.93 руб.</t>
  </si>
  <si>
    <t>ZGR-001049</t>
  </si>
  <si>
    <t>WQV450F</t>
  </si>
  <si>
    <t>Погружной дренажный насос (мощность 450Вт; напор 12,5м; расход 19,5м3/час) кабель 5м (1шт)</t>
  </si>
  <si>
    <t>12 713.13 руб.</t>
  </si>
  <si>
    <t>ZGR-001050</t>
  </si>
  <si>
    <t>WQV750F</t>
  </si>
  <si>
    <t>Погружной дренажный насос (мощность 750Вт; напор 14м; расход 20,5м3/час) кабель 5м (1шт)</t>
  </si>
  <si>
    <t>13 658.55 руб.</t>
  </si>
  <si>
    <t>ZGR-001051</t>
  </si>
  <si>
    <t>WQV1100DF</t>
  </si>
  <si>
    <t>Погружной дренажно-фекальный насос с реж. ножом (мощность 1100Вт; напор 8,5м; расход 18м3/час) кабел</t>
  </si>
  <si>
    <t>15 276.13 руб.</t>
  </si>
  <si>
    <t>ZGR-001052</t>
  </si>
  <si>
    <t>WQV1500DF</t>
  </si>
  <si>
    <t>Погружной дренажно-фекальный насос с реж. ножом (мощность 1500Вт; напор 15м; расход 25м3/час) кабель</t>
  </si>
  <si>
    <t>18 801.39 руб.</t>
  </si>
  <si>
    <t>ZGR-001053</t>
  </si>
  <si>
    <t>AQD1100F</t>
  </si>
  <si>
    <t>Погружной дренажный насос (мощность 1100Вт; напор 13м; расход 21м3/час) кабель 8м (1/1шт)</t>
  </si>
  <si>
    <t>9 839.12 руб.</t>
  </si>
  <si>
    <t>ZGR-001054</t>
  </si>
  <si>
    <t>ZTP250C</t>
  </si>
  <si>
    <t>Погружной дренажный насос для чистой воды (мощность 250Вт; напор 6м; расход 5,5м3/час)  (1/4шт)</t>
  </si>
  <si>
    <t>4 061.23 руб.</t>
  </si>
  <si>
    <t>ZGR-001055</t>
  </si>
  <si>
    <t>ZTP400C</t>
  </si>
  <si>
    <t>Погружной дренажный насос для чистой воды (мощность 400Вт; напор 7,5м; расход 7,3м3/час)  (1/4шт)</t>
  </si>
  <si>
    <t>4 295.42 руб.</t>
  </si>
  <si>
    <t>ZGR-001056</t>
  </si>
  <si>
    <t>ZTP550C</t>
  </si>
  <si>
    <t>- Погружной дренажный насос для чистой воды (мощность 550Вт; напор 8,5м; расход 10,5м3/час)  (1/4шт)</t>
  </si>
  <si>
    <t>4 774.85 руб.</t>
  </si>
  <si>
    <t>ZGR-001057</t>
  </si>
  <si>
    <t>ZTP400D</t>
  </si>
  <si>
    <t>Погружной дренажный насос для грязной воды (мощность 400Вт; напор 5м; расход 7,5м3/час)  (1/4шт)</t>
  </si>
  <si>
    <t>4 298.61 руб.</t>
  </si>
  <si>
    <t>ZGR-001058</t>
  </si>
  <si>
    <t>ZTP550D</t>
  </si>
  <si>
    <t>- Погружной дренажный насос для грязной воды (мощность 550Вт; напор 7м; расход 11,5м3/час)  (1/4шт)</t>
  </si>
  <si>
    <t>4 686.71 руб.</t>
  </si>
  <si>
    <t>ZGR-001059</t>
  </si>
  <si>
    <t>ZTP750D</t>
  </si>
  <si>
    <t>- Погружной дренажный насос для грязной воды (мощность 750Вт; напор 8м; расход 12,6м3/час)  (1/4шт)</t>
  </si>
  <si>
    <t>5 182.98 руб.</t>
  </si>
  <si>
    <t>ZGR-001122</t>
  </si>
  <si>
    <t>AQD750F</t>
  </si>
  <si>
    <t>Погружной дренажно-фекальный насос (мощность 750Вт; напор 11,88м; расход 16м3/час) кабель 8м (1/1шт)</t>
  </si>
  <si>
    <t>9 987.86 руб.</t>
  </si>
  <si>
    <t>ZGR-001139</t>
  </si>
  <si>
    <t>AQD1100DF</t>
  </si>
  <si>
    <t>Погружной дренажно-фекальный насос с режущим ножом (мощность 1100Вт; напор 13м; расход 21 м3/час) ка</t>
  </si>
  <si>
    <t>11 417.98 руб.</t>
  </si>
  <si>
    <t>ZGR-001213</t>
  </si>
  <si>
    <t>ZTP400CN</t>
  </si>
  <si>
    <t>Погружной дренаж насос для ЧИСТОЙ воды С ДЕРЖАТЕЛЕМ поплавка (400Вт; 7,5м; 7,3м3/час)  (1/4шт)</t>
  </si>
  <si>
    <t>4 293.87 руб.</t>
  </si>
  <si>
    <t>ZGR-001214</t>
  </si>
  <si>
    <t>ZTP550C/CN</t>
  </si>
  <si>
    <t>Погружной дренаж насос для ЧИСТОЙ воды С ДЕРЖАТЕЛЕМ поплавка (550Вт; 8,5м; 10,5м3/час)  (1/4шт)</t>
  </si>
  <si>
    <t>4 775.51 руб.</t>
  </si>
  <si>
    <t>ZGR-001215</t>
  </si>
  <si>
    <t>ZTP400DN</t>
  </si>
  <si>
    <t>Погружной дренаж насос для ГРЯЗНОЙ воды С ДЕРЖАТЕЛЕМ поплавка (400Вт; 5м; 7,5м3/час)  (1/4шт)</t>
  </si>
  <si>
    <t>4 388.30 руб.</t>
  </si>
  <si>
    <t>ZGR-001216</t>
  </si>
  <si>
    <t>ZTP550DN</t>
  </si>
  <si>
    <t>Погружной дренаж насос для ГРЯЗНОЙ воды С ДЕРЖАТЕЛЕМ поплавка (550Вт; 7м; 11,5м3/час)  (1/4шт)</t>
  </si>
  <si>
    <t>4 831.77 руб.</t>
  </si>
  <si>
    <t>ZGR-001217</t>
  </si>
  <si>
    <t>ZTP750DN</t>
  </si>
  <si>
    <t>Погружной дренаж насос для ГРЯЗНОЙ воды С ДЕРЖАТЕЛЕМ поплавка (750Вт; 8м; 12,6м3/час)  (1/4шт)</t>
  </si>
  <si>
    <t>5 099.78 руб.</t>
  </si>
  <si>
    <t>ZGR-001218</t>
  </si>
  <si>
    <t>ZTP900DA</t>
  </si>
  <si>
    <t>Погружной дренаж насос для ГРЯЗНОЙ воды ВНУТР ПОПЛАВОК (мощность 900Вт; напор 8,7м; расход 14м3/час)</t>
  </si>
  <si>
    <t>6 290.47 руб.</t>
  </si>
  <si>
    <t>ZGR-001228</t>
  </si>
  <si>
    <t>WAV1100DF</t>
  </si>
  <si>
    <t>Погружной дренажный насос (мощность 1100Вт; напор 9м; расход 21м3/час) кабель 5м (1/1шт)</t>
  </si>
  <si>
    <t>11 935.66 руб.</t>
  </si>
  <si>
    <t>ZGR-001243</t>
  </si>
  <si>
    <t>QDX1,5-12-0,25F</t>
  </si>
  <si>
    <t>Погружной дренажный насос  с термозащитой 250Вт, напор 12м; макс. расход 1,5 м3/час; кабель 10м</t>
  </si>
  <si>
    <t>8 928.84 руб.</t>
  </si>
  <si>
    <t>ZGR-001244</t>
  </si>
  <si>
    <t>QDX1,5-17-0,37F</t>
  </si>
  <si>
    <t>Погружной дренажный насос с термозащитой 370Вт, напор 17м; макс. расход 1,5 м3/час; кабель 10м</t>
  </si>
  <si>
    <t>9 081.07 руб.</t>
  </si>
  <si>
    <t>ZGR-001245</t>
  </si>
  <si>
    <t>QDX10-12-0,55F</t>
  </si>
  <si>
    <t>Погружной дренажный насос  с термозащитой 550Вт, напор 12м; макс. расход 10 м3/час; кабель 10м</t>
  </si>
  <si>
    <t>11 338.10 руб.</t>
  </si>
  <si>
    <t>ZGR-001246</t>
  </si>
  <si>
    <t>QDX30-6-0,75F</t>
  </si>
  <si>
    <t>Погружной дренажный насос с термозащитой 750Вт, напор 6м; макс. расход 30 м3/час; кабель 10м</t>
  </si>
  <si>
    <t>13 293.97 руб.</t>
  </si>
  <si>
    <t>Насосные станции</t>
  </si>
  <si>
    <t>Насосные станции ZEGOR</t>
  </si>
  <si>
    <t>ZGR-001063</t>
  </si>
  <si>
    <t>AUQB60</t>
  </si>
  <si>
    <t>Насосная станция с баком 20л (мощность 370Вт; напор 32м; расход 1,8м3/час; глуб всасыв до 8м) (1шт)</t>
  </si>
  <si>
    <t>10 336.44 руб.</t>
  </si>
  <si>
    <t>ZGR-001065</t>
  </si>
  <si>
    <t>AUJS-120S-W</t>
  </si>
  <si>
    <t>-Насосная станция нерж. сталь с баком 24л (мощность 1100Вт; напор 47м; расход 3м3/час) (1шт)</t>
  </si>
  <si>
    <t>14 220.00 руб.</t>
  </si>
  <si>
    <t>ZGR-001068</t>
  </si>
  <si>
    <t>AUJET-100L</t>
  </si>
  <si>
    <t>Насосная станция чугун с баком 24л (мощность 750Вт; напор 48м; расход 3м3/час) (1шт)</t>
  </si>
  <si>
    <t>15 589.74 руб.</t>
  </si>
  <si>
    <t>ZGR-001069</t>
  </si>
  <si>
    <t>AUJET-120L</t>
  </si>
  <si>
    <t>Насосная станция чугун с баком 24л (мощность 1100Вт; напор 53м; расход 3,3м3/час) (1шт)</t>
  </si>
  <si>
    <t>14 943.66 руб.</t>
  </si>
  <si>
    <t>ZGR-001070</t>
  </si>
  <si>
    <t>AUJET-100S</t>
  </si>
  <si>
    <t>Насосная станция чугун с баком 24л (мощность 750Вт; напор 40м; расход 3м3/час) (1шт)</t>
  </si>
  <si>
    <t>10 627.44 руб.</t>
  </si>
  <si>
    <t>ZGR-001071</t>
  </si>
  <si>
    <t>AUJET-120S</t>
  </si>
  <si>
    <t>Насосная станция чугун с баком 24л (мощность 1100Вт; напор 47м; расход 3м3/час) (1шт)</t>
  </si>
  <si>
    <t>15 444.00 руб.</t>
  </si>
  <si>
    <t>ZGR-001123</t>
  </si>
  <si>
    <t>AUAB60</t>
  </si>
  <si>
    <t>Насосная станция чугун, с баком 20л (мощность 370Вт; напор 35м; расход 2,1 м3/час, до 8м) (1шт)</t>
  </si>
  <si>
    <t>10 273.70 руб.</t>
  </si>
  <si>
    <t>ZGR-001125</t>
  </si>
  <si>
    <t>AU ZTP800</t>
  </si>
  <si>
    <t>Насосная станция пластик, с баком 24л (мощность 800Вт; напор 40м; расход 2,85 м3/час) (1шт)</t>
  </si>
  <si>
    <t>13 174.84 руб.</t>
  </si>
  <si>
    <t>ZGR-001127</t>
  </si>
  <si>
    <t>AUAET-120L</t>
  </si>
  <si>
    <t>Насосная станция чугун, с баком 24л (мощность 1100Вт; напор 45м; расход 3,3 м3/час, до 8м) (1шт)</t>
  </si>
  <si>
    <t>13 634.85 руб.</t>
  </si>
  <si>
    <t>ZGR-001130</t>
  </si>
  <si>
    <t>AUAET-120S</t>
  </si>
  <si>
    <t>Насосная станция чугун с баком 24л (мощность 1100Вт; напор 45м; расход 3,0 м3/час, до 8м) (1шт)</t>
  </si>
  <si>
    <t>13 456.72 руб.</t>
  </si>
  <si>
    <t>ZGR-001142</t>
  </si>
  <si>
    <t>AUJS-120S</t>
  </si>
  <si>
    <t>Насосная станция нерж. сталь с баком 24л (мощность 1100Вт; напор 47м; расход 3,0 м3/час, до 8м) (1шт</t>
  </si>
  <si>
    <t>16 116.92 руб.</t>
  </si>
  <si>
    <t>ZGR-001174</t>
  </si>
  <si>
    <t>AUAB80</t>
  </si>
  <si>
    <t>Насосная станция чугун, с баком 20л (мощность 750Вт; напор 44м; расход 2,7 м3/час, до 8м) (1шт)</t>
  </si>
  <si>
    <t>11 682.80 руб.</t>
  </si>
  <si>
    <t>ZGR-001175</t>
  </si>
  <si>
    <t>AUJET-120S-W</t>
  </si>
  <si>
    <t>-Насосная станция чугун с баком 24л (мощность 1100Вт; напор 47м; расход 3м3/час) (1шт)</t>
  </si>
  <si>
    <t>12 240.00 руб.</t>
  </si>
  <si>
    <t>ZGR-001187</t>
  </si>
  <si>
    <t>AUQB80</t>
  </si>
  <si>
    <t>Насосная станция чугун с баком 24л (мощность 750Вт; напор 53м; расход 2,7м3/час) (1шт)</t>
  </si>
  <si>
    <t>13 451.12 руб.</t>
  </si>
  <si>
    <t>ZGR-001188</t>
  </si>
  <si>
    <t>AUJET-120L-W</t>
  </si>
  <si>
    <t>-Насосная станция чугун с баком 24л (мощность 1100Вт; напор 53м; расход 3,3м3/час) (1шт)</t>
  </si>
  <si>
    <t>13 140.00 руб.</t>
  </si>
  <si>
    <t>ZGR-001189</t>
  </si>
  <si>
    <t>ALFA-1065</t>
  </si>
  <si>
    <t>Насосная станция  поддержания напора с частот преобразов нерж бак (650Вт; 45м; 4,5м3/час)</t>
  </si>
  <si>
    <t>29 378.15 руб.</t>
  </si>
  <si>
    <t>ZGR-001190</t>
  </si>
  <si>
    <t>TBOX-1110</t>
  </si>
  <si>
    <t>Насосная станция ZEGOR PRO самовсасывающая с частотным преобразоват нерж бак (1100Вт; 42м; 4 м3/час)</t>
  </si>
  <si>
    <t>29 404.07 руб.</t>
  </si>
  <si>
    <t>ZGR-001219</t>
  </si>
  <si>
    <t>WZB370</t>
  </si>
  <si>
    <t>Насосная МИНИстанция чугун с баком 2л (мощность 370Вт; напор 28м; расход 2,1 м3/час) (1шт)</t>
  </si>
  <si>
    <t>8 687.25 руб.</t>
  </si>
  <si>
    <t>ZGR-001220</t>
  </si>
  <si>
    <t>WZB550</t>
  </si>
  <si>
    <t>Насосная МИНИстанция чугун с баком 2л (мощность 550Вт; напор 42м; расход 3 м3/час) (1шт)</t>
  </si>
  <si>
    <t>11 099.82 руб.</t>
  </si>
  <si>
    <t>ZGR-001221</t>
  </si>
  <si>
    <t>AKS370</t>
  </si>
  <si>
    <t>Насосная МИНИстанция чугун с баком 2л (мощность 370Вт; напор 25м; расход 2 м3/час) (1шт)</t>
  </si>
  <si>
    <t>6 221.73 руб.</t>
  </si>
  <si>
    <t>ZGR-001234</t>
  </si>
  <si>
    <t>ALFA-230</t>
  </si>
  <si>
    <t>Насосная станция поддержания напора с частот. преобразователем (650Вт; 42м;  4,5 м3/час)</t>
  </si>
  <si>
    <t>28 527.27 руб.</t>
  </si>
  <si>
    <t>ZGR-001247</t>
  </si>
  <si>
    <t>AUQB60-2VT</t>
  </si>
  <si>
    <t>Насосная МИНИстанция чугун с баком 2л (мощность 370Вт; напор 35м; расход 2,1 м3/час) (1шт)</t>
  </si>
  <si>
    <t>6 865.28 руб.</t>
  </si>
  <si>
    <t>ZGR-001254</t>
  </si>
  <si>
    <t>ALFA-330</t>
  </si>
  <si>
    <t>Насосная станция поддержания напора с частот. преобразователем  (900Вт; 45м;  5,5 м3/час)</t>
  </si>
  <si>
    <t>32 673.99 руб.</t>
  </si>
  <si>
    <t>ZGR-001260</t>
  </si>
  <si>
    <t>AUAB60-2VT</t>
  </si>
  <si>
    <t>Насосная МИНИстанция вихревого типа с чугун баком 2л (370Вт; напор 35м; расход 2,1 м3/час) (1шт)</t>
  </si>
  <si>
    <t>6 138.99 руб.</t>
  </si>
  <si>
    <t>ZGR-001265</t>
  </si>
  <si>
    <t>AUAS-120S</t>
  </si>
  <si>
    <t xml:space="preserve">Насосная станция центробежного типа чугун с баком 24л (1100Вт; напор 45м; расход 2,7 м3/час, до 8м) </t>
  </si>
  <si>
    <t>13 370.09 руб.</t>
  </si>
  <si>
    <t>ZGR-001266</t>
  </si>
  <si>
    <t>TBOX-1050</t>
  </si>
  <si>
    <t>Насосная станция ZEGOR PRO самовсасывающая с частот преобразоват нерж бак (500Вт; 40м; 4, 5м3/час)</t>
  </si>
  <si>
    <t>22 031.20 руб.</t>
  </si>
  <si>
    <t>ZGR-001267</t>
  </si>
  <si>
    <t>TBOX-1060</t>
  </si>
  <si>
    <t>Насосная станция частотная самовсасывающая (мощность 600Вт; напор 45м; расход 5 м3/час)</t>
  </si>
  <si>
    <t>24 028.20 руб.</t>
  </si>
  <si>
    <t>Насосные станции VIEIR</t>
  </si>
  <si>
    <t>VER-000454</t>
  </si>
  <si>
    <t>VRDS2-33</t>
  </si>
  <si>
    <t>Насосная станция самовсасывающая с частот преобразоват (650Вт, 45м, 5м3/ч)</t>
  </si>
  <si>
    <t>27 893.25 руб.</t>
  </si>
  <si>
    <t>VER-000671</t>
  </si>
  <si>
    <t>VRDS2-30</t>
  </si>
  <si>
    <t>Насосная станция поддержания давления с частот преобразоват (550Вт, 42м, 4,5м3/ч)</t>
  </si>
  <si>
    <t>25 029.69 руб.</t>
  </si>
  <si>
    <t>VER-000672</t>
  </si>
  <si>
    <t>VRDS3-30</t>
  </si>
  <si>
    <t>Насосная станция поддержания давления с частот преобразоват (750Вт, 45м, 5,5м3/ч)</t>
  </si>
  <si>
    <t>27 200.88 руб.</t>
  </si>
  <si>
    <t>VER-001006</t>
  </si>
  <si>
    <t>VRDS5-40</t>
  </si>
  <si>
    <t>Насосная станция с частотным регулированием (1шт)</t>
  </si>
  <si>
    <t>21 719.25 руб.</t>
  </si>
  <si>
    <t>VER-001542</t>
  </si>
  <si>
    <t>VRDS8-30</t>
  </si>
  <si>
    <t>Прифессиональная насосная станция с частотным регулированием 1500Вт (1шт)</t>
  </si>
  <si>
    <t>71 331.75 руб.</t>
  </si>
  <si>
    <t>VER-001543</t>
  </si>
  <si>
    <t>VRDS12-30</t>
  </si>
  <si>
    <t>Прифессиональная насосная станция с частотным регулированием 2200Вт (1шт)</t>
  </si>
  <si>
    <t>82 046.58 руб.</t>
  </si>
  <si>
    <t>VER-001584</t>
  </si>
  <si>
    <t>VRDS3.6-27</t>
  </si>
  <si>
    <t>Насосная станция с частотным регулированием 280Вт (1шт)</t>
  </si>
  <si>
    <t>15 399.72 руб.</t>
  </si>
  <si>
    <t>Скважные погружные насосы</t>
  </si>
  <si>
    <t>Скважные погружные насосы ZEGOR</t>
  </si>
  <si>
    <t>Скважные насосы диаметр 3,5&amp;quot; (90мм)</t>
  </si>
  <si>
    <t>ZGR-001024</t>
  </si>
  <si>
    <t>3,5SDM3/09-0.55kw 20m</t>
  </si>
  <si>
    <t>Скважинный многоступенчатый насос 3,5" (90мм) 550 Вт;  напор 50м; макс. расход 5,2 м3/час;  кабель 2</t>
  </si>
  <si>
    <t>14 490.33 руб.</t>
  </si>
  <si>
    <t>ZGR-001025</t>
  </si>
  <si>
    <t>3,5SDM3/12-0.75kw 20m</t>
  </si>
  <si>
    <t>Скважинный многоступенчатый насос 3,5" (90мм) 750 Вт;  напор 72м; макс. расход 5,2 м3/час;  кабель 2</t>
  </si>
  <si>
    <t>15 671.00 руб.</t>
  </si>
  <si>
    <t>ZGR-001145</t>
  </si>
  <si>
    <t>3.5ZEF2/06-0.25kw-20m</t>
  </si>
  <si>
    <t>Скважинный насос 3,5" (90мм) 250 Вт;  напор 32м; макс. расход 4 м3/час;  резьба 11/4, кабель 20м (1/</t>
  </si>
  <si>
    <t>11 692.09 руб.</t>
  </si>
  <si>
    <t>ZGR-001146</t>
  </si>
  <si>
    <t>3.5ZEF2/08-0.37kw-30m</t>
  </si>
  <si>
    <t>Скважинный насос 3,5" (90мм) 370 Вт;  напор 42м; макс. расход 4 м3/час;  резьба 11/4, кабель 30м (1/</t>
  </si>
  <si>
    <t>12 970.54 руб.</t>
  </si>
  <si>
    <t>ZGR-001147</t>
  </si>
  <si>
    <t>3.5ZEF2/10-0.55kw-40m</t>
  </si>
  <si>
    <t>Скважинный насос 3,5" (90мм) 550 Вт;  напор 52м; макс. расход 4 м3/час;  резьба 11/4, кабель 40м (1/</t>
  </si>
  <si>
    <t>14 288.00 руб.</t>
  </si>
  <si>
    <t>ZGR-001148</t>
  </si>
  <si>
    <t>3.5ZEF2/12-0.75kw-50m</t>
  </si>
  <si>
    <t>Скважинный насос 3,5" (90мм) 750 Вт;  напор 63м; макс. расход 4 м3/час;  резьба 11/4, кабель 50м (1/</t>
  </si>
  <si>
    <t>16 919.92 руб.</t>
  </si>
  <si>
    <t>ZGR-001149</t>
  </si>
  <si>
    <t>3.5ZEF2/18-1.1kw-60m</t>
  </si>
  <si>
    <t>Скважинный насос 3,5" (90мм) 1100 Вт;  напор 92м; макс. расход 4 м3/час;  резьба 11/4, кабель 60м (1</t>
  </si>
  <si>
    <t>23 331.17 руб.</t>
  </si>
  <si>
    <t>ZGR-001150</t>
  </si>
  <si>
    <t>3.5ZEF2/20-1.5kw-60m</t>
  </si>
  <si>
    <t>-Скважинный насос 3,5" (90мм) 1500 Вт;  напор 135м; макс. расход 4 м3/час;  резьба 11/4, кабель 60м</t>
  </si>
  <si>
    <t>ZGR-001164</t>
  </si>
  <si>
    <t>3.5ZEF2/25-1.5kw-60m</t>
  </si>
  <si>
    <t>Скважинный насос 3,5" (90мм) 1500 Вт;  напор 135м; макс. расход 4 м3/час;  резьба 1", кабель 60м</t>
  </si>
  <si>
    <t>27 287.44 руб.</t>
  </si>
  <si>
    <t>ZGR-001264</t>
  </si>
  <si>
    <t>3.5SDM3/09-0.55kw 8m</t>
  </si>
  <si>
    <t>Скважинный многоступенчатый насос 3,5" (90мм) 550 Вт;  напор 50м; макс. расход 5,2 м3/час;  кабель 8</t>
  </si>
  <si>
    <t>13 839.58 руб.</t>
  </si>
  <si>
    <t>Скважные насосы диаметр 3&amp;quot; (75мм)</t>
  </si>
  <si>
    <t>ZGR-001001</t>
  </si>
  <si>
    <t>3QGD1-25-0.25kw-10m</t>
  </si>
  <si>
    <t>Скважинный винтовой насос 3" (75мм) 250 Вт;  напор 70м; макс. расход 1,7 м3/час;  кабель 10м (1/1шт)</t>
  </si>
  <si>
    <t>7 824.27 руб.</t>
  </si>
  <si>
    <t>ZGR-001002</t>
  </si>
  <si>
    <t>3QGD1-25-0.25kw-20m</t>
  </si>
  <si>
    <t>Скважинный винтовой насос 3" (75мм)  250 Вт;  напор 70м; макс. расход 1,7 м3/час;  кабель 20м (1/1шт</t>
  </si>
  <si>
    <t>8 393.67 руб.</t>
  </si>
  <si>
    <t>ZGR-001003</t>
  </si>
  <si>
    <t>3QGD1.2-30-0.37-10m</t>
  </si>
  <si>
    <t>Скважинный винтовой насос 3" (75мм) 370 Вт;  напор 90м; макс. расход 1,9 м3/час;  кабель 10м (1/1шт)</t>
  </si>
  <si>
    <t>8 730.05 руб.</t>
  </si>
  <si>
    <t>ZGR-001004</t>
  </si>
  <si>
    <t>3QGD1.2-30-0.37-20m</t>
  </si>
  <si>
    <t>Скважинный винтовой насос 3" (75мм) 370 Вт;  напор 90м; макс. расход 1,9 м3/час;  кабель 20м (1/1шт)</t>
  </si>
  <si>
    <t>9 427.04 руб.</t>
  </si>
  <si>
    <t>ZGR-001005</t>
  </si>
  <si>
    <t>3QGD1.2-50-0.55-20m</t>
  </si>
  <si>
    <t>Скважинный винтовой насос 3" (75мм) 550 Вт;  напор 110м; макс. расход 1,9 м3/час;  кабель 20м (1/1шт</t>
  </si>
  <si>
    <t>10 365.63 руб.</t>
  </si>
  <si>
    <t>ZGR-001010</t>
  </si>
  <si>
    <t>3SKM100A-0.75kw 20m</t>
  </si>
  <si>
    <t>Скважинный вихревой насос 3" (75мм) 750 Вт;  напор 59м; макс. расход 2,0 м3/час;  кабель 20м (1/1шт)</t>
  </si>
  <si>
    <t>13 144.78 руб.</t>
  </si>
  <si>
    <t>ZGR-001017</t>
  </si>
  <si>
    <t>3SDM2/11-0.37kw 20m</t>
  </si>
  <si>
    <t>Скважинный многоступенчатый насос 3" (75мм) 370 Вт;  напор 48м; макс. расход 3,3 м3/час;  кабель 20м</t>
  </si>
  <si>
    <t>13 277.28 руб.</t>
  </si>
  <si>
    <t>ZGR-001018</t>
  </si>
  <si>
    <t>3SDM2/17-0.55kw 20m</t>
  </si>
  <si>
    <t>Скважинный многоступенчатый насос 3" (75мм) 550 Вт;  напор 74м; макс. расход 3,3 м3/час;  кабель 20м</t>
  </si>
  <si>
    <t>14 852.32 руб.</t>
  </si>
  <si>
    <t>ZGR-001019</t>
  </si>
  <si>
    <t>3SDM2/24-0.75kw 20m</t>
  </si>
  <si>
    <t>Скважинный многоступенчатый насос 3" (75мм)750 Вт;  напор 104м; макс. расход 3,3 м3/час;  кабель 20м</t>
  </si>
  <si>
    <t>18 997.78 руб.</t>
  </si>
  <si>
    <t>ZGR-001020</t>
  </si>
  <si>
    <t>3SDM2/33-1.1kw 20m</t>
  </si>
  <si>
    <t>Скважинный многоступенчатый насос 3" (75мм) 1100 Вт;  напор 144м; макс. расход 3,3 м3/час;  кабель 2</t>
  </si>
  <si>
    <t>22 432.32 руб.</t>
  </si>
  <si>
    <t>ZGR-001021</t>
  </si>
  <si>
    <t>3SDM3/13-0.55kw 20m</t>
  </si>
  <si>
    <t>Скважинный многоступенчатый насос 3" (75мм) 550 Вт;  напор 52м; макс. расход 5,2 м3/час;  кабель 20м</t>
  </si>
  <si>
    <t>15 207.43 руб.</t>
  </si>
  <si>
    <t>ZGR-001022</t>
  </si>
  <si>
    <t>3SDM3/18-0.75kw 20m</t>
  </si>
  <si>
    <t>Скважинный многоступенчатый насос 3" (75мм) 750 Вт;  напор 71м; макс. расход 5,2 м3/час;  кабель 20м</t>
  </si>
  <si>
    <t>17 628.57 руб.</t>
  </si>
  <si>
    <t>ZGR-001023</t>
  </si>
  <si>
    <t>3SDM3/22-1.1kw 20m</t>
  </si>
  <si>
    <t>Скважинный многоступенчатый насос 3" (75мм) 1100 Вт;  напор 87м; макс. расход 5,2 м3/час;  кабель 20</t>
  </si>
  <si>
    <t>19 093.17 руб.</t>
  </si>
  <si>
    <t>ZGR-001032</t>
  </si>
  <si>
    <t>3ZED1.5/13-0.37kw 25m</t>
  </si>
  <si>
    <t>Скважинный многоступенчатый насос 3" (75мм) 370 Вт;  напор 49м; макс. расход 2,8 м3/час;  кабель 25м</t>
  </si>
  <si>
    <t>13 097.71 руб.</t>
  </si>
  <si>
    <t>ZGR-001033</t>
  </si>
  <si>
    <t>3ZED1.5/18-0.55kw 35m</t>
  </si>
  <si>
    <t>Скважинный многоступенчатый насос 3" (75мм) 550 Вт;  напор 65м; макс. расход 2,8 м3/час;  кабель 35м</t>
  </si>
  <si>
    <t>16 227.12 руб.</t>
  </si>
  <si>
    <t>ZGR-001034</t>
  </si>
  <si>
    <t>3ZED1.5/25-0.75kw 45m</t>
  </si>
  <si>
    <t>Скважинный многоступенчатый насос 3" (75мм) 750 Вт;  напор 90м; макс. расход 2,8 м3/час;  кабель 45м</t>
  </si>
  <si>
    <t>20 008.00 руб.</t>
  </si>
  <si>
    <t>ZGR-001035</t>
  </si>
  <si>
    <t>3ZED1.5/35-1.1kw 60m</t>
  </si>
  <si>
    <t>Скважинный многоступенчатый насос 3" (75мм) 1100 Вт;  напор 126м; макс. расход 2,8 м3/час;  кабель 6</t>
  </si>
  <si>
    <t>27 381.47 руб.</t>
  </si>
  <si>
    <t>ZGR-001040</t>
  </si>
  <si>
    <t>3SEM1.5/15-0.37kw 30m</t>
  </si>
  <si>
    <t>Скважинный многоступенчатый насос 3" (75мм) 370 Вт;  напор 55м; макс. расход 2,8 м3/час;  кабель 30м</t>
  </si>
  <si>
    <t>14 162.82 руб.</t>
  </si>
  <si>
    <t>ZGR-001041</t>
  </si>
  <si>
    <t>3SEM1.5/22-0.55kw 40m</t>
  </si>
  <si>
    <t>Скважинный многоступенчатый насос 3" (75мм) 550 Вт;  напор 79м; макс. расход 2,8 м3/час;  кабель 40м</t>
  </si>
  <si>
    <t>17 375.53 руб.</t>
  </si>
  <si>
    <t>ZGR-001042</t>
  </si>
  <si>
    <t>3SEM1.5/30-0.75kw 50m</t>
  </si>
  <si>
    <t>Скважинный многоступенчатый насос 3" (75мм) 750 Вт;  напор 108м; макс. расход 2,8 м3/час;  кабель 50</t>
  </si>
  <si>
    <t>21 618.42 руб.</t>
  </si>
  <si>
    <t>ZGR-001043</t>
  </si>
  <si>
    <t>3SEM1.5/40-1.1kw 65m</t>
  </si>
  <si>
    <t>Скважинный многоступенчатый насос 3" (75мм) 1100 Вт;  напор 144м; макс. расход 2,8 м3/час;  кабель 6</t>
  </si>
  <si>
    <t>24 077.77 руб.</t>
  </si>
  <si>
    <t>ZGR-001133</t>
  </si>
  <si>
    <t>3QGD1.2-50-0.55 10m</t>
  </si>
  <si>
    <t>Скважинный многоступенчатый насос 3" (75мм) 550 Вт;  напор 110м; макс. расход 1,9 м3/час;  кабель 10</t>
  </si>
  <si>
    <t>8 817.08 руб.</t>
  </si>
  <si>
    <t>ZGR-001165</t>
  </si>
  <si>
    <t>3SEM1.5/48-1.5kw</t>
  </si>
  <si>
    <t>Скважинный насос 3" (75мм) 1500 Вт;  напор 185м; макс. расход 2,8 м3/час;  резьба 1", без кабеля</t>
  </si>
  <si>
    <t>31 637.08 руб.</t>
  </si>
  <si>
    <t>ZGR-001166</t>
  </si>
  <si>
    <t>3SEM2.5/11-0.37kw 28m</t>
  </si>
  <si>
    <t>Скважинный насос 3" (75мм) 370 Вт;  напор 39м; макс. расход 3,8 м3/час;  резьба 1", кабель 28м</t>
  </si>
  <si>
    <t>15 118.60 руб.</t>
  </si>
  <si>
    <t>ZGR-001167</t>
  </si>
  <si>
    <t>3SEM2.5/17-0.55kw 40m</t>
  </si>
  <si>
    <t>Скважинный насос 3" (75мм) 550 Вт;  напор 60м; макс. расход 3,8 м3/час;  резьба 1", кабель 40м</t>
  </si>
  <si>
    <t>18 898.25 руб.</t>
  </si>
  <si>
    <t>ZGR-001229</t>
  </si>
  <si>
    <t>3QGD1-25-0.25kw 15m</t>
  </si>
  <si>
    <t>Скважинный винтовой насос 3" (75мм)  250 Вт;  напор 70м; макс. расход 1,7 м3/час;  кабель 15м (1/1шт</t>
  </si>
  <si>
    <t>7 940.78 руб.</t>
  </si>
  <si>
    <t>ZGR-001230</t>
  </si>
  <si>
    <t>3QGD1.2-30-0.37 25m</t>
  </si>
  <si>
    <t>Скважинный винтовой насос 3" (75мм)  370 Вт;  напор 90м; макс. расход 1,9 м3/час;  кабель 25м (1/1шт</t>
  </si>
  <si>
    <t>9 231.23 руб.</t>
  </si>
  <si>
    <t>ZGR-001231</t>
  </si>
  <si>
    <t>3QGD1.2-50-0.55 30m</t>
  </si>
  <si>
    <t>Скважинный винтовой насос 3" (75мм)  550 Вт;  напор 110м; макс. расход 1,9 м3/час;  кабель 30м (1/1ш</t>
  </si>
  <si>
    <t>10 695.74 руб.</t>
  </si>
  <si>
    <t>ZGR-001261</t>
  </si>
  <si>
    <t>3SDM2/11-0.37kw 8m</t>
  </si>
  <si>
    <t xml:space="preserve">Скважинный многоступенчатый насос 3" (75мм) 370 Вт;  напор 48м; макс. расход 3,3 м3/час;  кабель 8м </t>
  </si>
  <si>
    <t>11 501.92 руб.</t>
  </si>
  <si>
    <t>ZGR-001262</t>
  </si>
  <si>
    <t>3SDM2/17-0.55kw 8m</t>
  </si>
  <si>
    <t xml:space="preserve">Скважинный многоступенчатый насос 3" (75мм) 550 Вт;  напор 74м; макс. расход 3,3 м3/час;  кабель 8м </t>
  </si>
  <si>
    <t>13 691.11 руб.</t>
  </si>
  <si>
    <t>ZGR-001263</t>
  </si>
  <si>
    <t>3SDM2/24-0.75kw 8m</t>
  </si>
  <si>
    <t>Скважинный многоступенчатый насос 3" (75мм) 750 Вт;  напор 104м; макс. расход 3,3 м3/час;  кабель 8м</t>
  </si>
  <si>
    <t>15 085.28 руб.</t>
  </si>
  <si>
    <t>Скважные насосы диаметр 4&amp;quot; (100мм)</t>
  </si>
  <si>
    <t>ZGR-001006</t>
  </si>
  <si>
    <t>4QGD1.2-50-0.37-10m</t>
  </si>
  <si>
    <t>Скважинный винтовой насос 4" (100мм) 370 Вт;  напор 110м; макс. расход 1,9 м3/час;  кабель 10м (1шт)</t>
  </si>
  <si>
    <t>8 081.45 руб.</t>
  </si>
  <si>
    <t>ZGR-001007</t>
  </si>
  <si>
    <t>4QGD1.2-50-0.37-20m</t>
  </si>
  <si>
    <t>Скважинный винтовой насос 4" (100мм) 370 Вт;  напор 110м; макс. расход 1,9 м3/час;  кабель 20м (1шт)</t>
  </si>
  <si>
    <t>9 208.35 руб.</t>
  </si>
  <si>
    <t>ZGR-001008</t>
  </si>
  <si>
    <t>4QGD1.8-50-0.55-10m</t>
  </si>
  <si>
    <t>Скважинный винтовой насос 4" (100мм) 550 Вт;  напор 110м; макс. расход 2,9 м3/час;  кабель 10м (1шт)</t>
  </si>
  <si>
    <t>9 737.50 руб.</t>
  </si>
  <si>
    <t>ZGR-001009</t>
  </si>
  <si>
    <t>4QGD1.8-50-0.55-20m</t>
  </si>
  <si>
    <t>Скважинный винтовой насос 4" (100мм) 550 Вт;  напор 110м; макс. расход 2,9 м3/час;  кабель 20м (1шт)</t>
  </si>
  <si>
    <t>11 691.72 руб.</t>
  </si>
  <si>
    <t>ZGR-001011</t>
  </si>
  <si>
    <t>4SKM100-0,75kw 10m</t>
  </si>
  <si>
    <t>Скважинный вихревой насос 4" (100мм) 750 Вт;  напор 58м; макс. расход 3,0 м3/час;  кабель 10м (1/1шт</t>
  </si>
  <si>
    <t>13 380.05 руб.</t>
  </si>
  <si>
    <t>ZGR-001012</t>
  </si>
  <si>
    <t>4SKM100-0,75kw 20m</t>
  </si>
  <si>
    <t>Скважинный вихревой насос 4" (100мм) 750 Вт;  напор 58м; макс. расход 3,0 м3/час;  кабель 20м (1/1шт</t>
  </si>
  <si>
    <t>14 748.29 руб.</t>
  </si>
  <si>
    <t>ZGR-001013</t>
  </si>
  <si>
    <t>4SKM100A-0,75kw 10m</t>
  </si>
  <si>
    <t>11 032.43 руб.</t>
  </si>
  <si>
    <t>ZGR-001014</t>
  </si>
  <si>
    <t>4SKM100A-0,75kw 20m</t>
  </si>
  <si>
    <t>Скважинный вихревой насос 4"(100мм) 750 Вт;  напор 58м; макс. расход 3,0 м3/час;  кабель 20м (1/1шт)</t>
  </si>
  <si>
    <t>14 029.57 руб.</t>
  </si>
  <si>
    <t>ZGR-001015</t>
  </si>
  <si>
    <t>4SKM150A-1,1kw 20m</t>
  </si>
  <si>
    <t>Скважинный вихревой насос 4" (100мм) 1100 Вт;  напор 100м; макс. расход 3,0 м3/час;  кабель 20м (1/1</t>
  </si>
  <si>
    <t>16 294.49 руб.</t>
  </si>
  <si>
    <t>ZGR-001016</t>
  </si>
  <si>
    <t>4SKM200A-1,5kw 20m</t>
  </si>
  <si>
    <t>Скважинный вихревой насос 4" (100мм) 1500 Вт;  напор 135м; макс. расход 3,0 м3/час;  кабель 20м (1/1</t>
  </si>
  <si>
    <t>21 084.85 руб.</t>
  </si>
  <si>
    <t>ZGR-001026</t>
  </si>
  <si>
    <t>4SDM2/11-0.55kw 20m</t>
  </si>
  <si>
    <t>Скважинный многоступенчатый насос 4" (100мм) 550 Вт;  напор 78м; макс. расход 3,6 м3/час;  кабель 20</t>
  </si>
  <si>
    <t>16 546.02 руб.</t>
  </si>
  <si>
    <t>ZGR-001027</t>
  </si>
  <si>
    <t>4SDM2/14-0.75kw 20m</t>
  </si>
  <si>
    <t>Скважинный многоступенчатый насос 4" (100мм) 750 Вт;  напор 99м; макс. расход 3,6 м3/час;  кабель 20</t>
  </si>
  <si>
    <t>18 362.19 руб.</t>
  </si>
  <si>
    <t>ZGR-001028</t>
  </si>
  <si>
    <t>4SDM2/20-1.1kw 20m</t>
  </si>
  <si>
    <t xml:space="preserve">Скважинный многоступенчатый насос 4" (100мм) 1100 Вт;  напор 142м; макс. расход 3,6 м3/час;  кабель </t>
  </si>
  <si>
    <t>22 471.86 руб.</t>
  </si>
  <si>
    <t>ZGR-001029</t>
  </si>
  <si>
    <t>4SDM4/08-0.55kw 20m</t>
  </si>
  <si>
    <t>Скважинный многоступенчатый насос 4" (100мм)  550 Вт;  напор 57м; макс. расход 6,5 м3/час;  кабель 2</t>
  </si>
  <si>
    <t>15 941.11 руб.</t>
  </si>
  <si>
    <t>ZGR-001030</t>
  </si>
  <si>
    <t>4SDM4/10-0.75kw 20m</t>
  </si>
  <si>
    <t>Скважинный многоступенчатый насос 4" (100мм)  750 Вт;  напор 71м; макс. расход 6,5 м3/час;  кабель 2</t>
  </si>
  <si>
    <t>17 334.03 руб.</t>
  </si>
  <si>
    <t>ZGR-001031</t>
  </si>
  <si>
    <t>4SDM4/14-1.1kw 20m</t>
  </si>
  <si>
    <t xml:space="preserve">Скважинный многоступенчатый насос 4" (100мм)  1100 Вт;  напор 99м; макс. расход 6,5 м3/час;  кабель </t>
  </si>
  <si>
    <t>21 087.15 руб.</t>
  </si>
  <si>
    <t>ZGR-001036</t>
  </si>
  <si>
    <t>4ZED2/07-0.37kw 35m</t>
  </si>
  <si>
    <t>Скважинный многоступенчатый насос 4" (100мм) 370 Вт;  напор 45м; макс. расход 3,2 м3/час;  кабель 35</t>
  </si>
  <si>
    <t>15 818.54 руб.</t>
  </si>
  <si>
    <t>ZGR-001037</t>
  </si>
  <si>
    <t>4ZED2/09-0.55kw 45m</t>
  </si>
  <si>
    <t>Скважинный многоступенчатый насос 4" (100мм) 550 Вт;  напор 57м; макс. расход 3,2 м3/час;  кабель 45</t>
  </si>
  <si>
    <t>17 582.37 руб.</t>
  </si>
  <si>
    <t>ZGR-001038</t>
  </si>
  <si>
    <t>4ZED2/12-0.75kw 50m</t>
  </si>
  <si>
    <t>Скважинный многоступенчатый насос 4" (100мм) 750 Вт;  напор 76м; макс. расход 3,2 м3/час;  кабель 50</t>
  </si>
  <si>
    <t>20 018.15 руб.</t>
  </si>
  <si>
    <t>ZGR-001039</t>
  </si>
  <si>
    <t>4ZED2/18-1.1kw 55m</t>
  </si>
  <si>
    <t xml:space="preserve">Скважинный многоступенчатый насос 4" (100мм) 1100 Вт;  напор 119м; макс. расход 3,2 м3/час;  кабель </t>
  </si>
  <si>
    <t>24 917.70 руб.</t>
  </si>
  <si>
    <t>ZGR-001044</t>
  </si>
  <si>
    <t>4SEM2/08-0.37kw 35m</t>
  </si>
  <si>
    <t>Скважинный многоступенчатый насос 4" (100мм) 370 Вт;  напор 51м; макс. расход 3,2 м3/час;  кабель 35</t>
  </si>
  <si>
    <t>16 756.45 руб.</t>
  </si>
  <si>
    <t>ZGR-001045</t>
  </si>
  <si>
    <t>4SEM2/11-0.55kw 45m</t>
  </si>
  <si>
    <t>Скважинный многоступенчатый насос 4" (100мм) 550 Вт;  напор 65м; макс. расход 3,2 м3/час;  кабель 45</t>
  </si>
  <si>
    <t>19 195.03 руб.</t>
  </si>
  <si>
    <t>ZGR-001046</t>
  </si>
  <si>
    <t>4SEM2/15-0.75kw 50m</t>
  </si>
  <si>
    <t>Скважинный многоступенчатый насос 4" (100мм) 750 Вт;  напор 86м; макс. расход 3,2 м3/час;  кабель 50</t>
  </si>
  <si>
    <t>21 017.66 руб.</t>
  </si>
  <si>
    <t>ZGR-001047</t>
  </si>
  <si>
    <t>4SEM2/20-1.1kw 55m</t>
  </si>
  <si>
    <t xml:space="preserve">Скважинный многоступенчатый насос 4" (100мм) 1100 Вт;  напор 125м; макс. расход 3,2 м3/час;  кабель </t>
  </si>
  <si>
    <t>25 724.02 руб.</t>
  </si>
  <si>
    <t>ZGR-001134</t>
  </si>
  <si>
    <t>4QGD2-60-0.75 10m</t>
  </si>
  <si>
    <t>Скважинный многоступенчатый насос 4" (100мм) 750 Вт;  напор 150м; макс. расход 3,0 м3/час;  кабель 1</t>
  </si>
  <si>
    <t>9 740.30 руб.</t>
  </si>
  <si>
    <t>ZGR-001135</t>
  </si>
  <si>
    <t>4ZEF2/11-0.55kw 40m</t>
  </si>
  <si>
    <t>Скважинный многоступенчатый насос 4" (100мм) 550 Вт;  напор 70м; макс. расход 3,2 м3/час;  резьба 11</t>
  </si>
  <si>
    <t>15 626.47 руб.</t>
  </si>
  <si>
    <t>ZGR-001136</t>
  </si>
  <si>
    <t>4ZEF2/15-0.75kw 45m</t>
  </si>
  <si>
    <t>Скважинный многоступенчатый насос 4" (100мм) 750 Вт;  напор 91м; макс. расход 3,2 м3/час;  резьба 11</t>
  </si>
  <si>
    <t>19 386.78 руб.</t>
  </si>
  <si>
    <t>ZGR-001137</t>
  </si>
  <si>
    <t>4ZEF2/21-1.1kw 55m</t>
  </si>
  <si>
    <t xml:space="preserve">Скважинный многоступенчатый насос 4" (100мм) 1100 Вт;  напор 130м; макс. расход 3,2 м3/час;  резьба </t>
  </si>
  <si>
    <t>24 719.65 руб.</t>
  </si>
  <si>
    <t>ZGR-001138</t>
  </si>
  <si>
    <t>4SEM2/14-0.75kw 50m</t>
  </si>
  <si>
    <t>Скважинный многоступенчатый насос 4" (100мм) 1700 Вт;  напор 86м; макс. расход 3,2 м3/час;  резьба 1</t>
  </si>
  <si>
    <t>ZGR-001151</t>
  </si>
  <si>
    <t>4ZEF2/08-0.37kw-30m</t>
  </si>
  <si>
    <t>Скважинный насос 4" (100мм) 370 Вт;  напор 50м; макс. расход 3,2 м3/час;  резьба 11/4, кабель 30м (1</t>
  </si>
  <si>
    <t>16 134.34 руб.</t>
  </si>
  <si>
    <t>ZGR-001152</t>
  </si>
  <si>
    <t>4ZEF2/29-1.5kw-60m</t>
  </si>
  <si>
    <t xml:space="preserve">Скважинный насос 4" (100мм) 1500 Вт;  напор 184м; макс. расход 3,2 м3/час;  резьба 11/4, кабель 60м </t>
  </si>
  <si>
    <t>33 666.57 руб.</t>
  </si>
  <si>
    <t>ZGR-001168</t>
  </si>
  <si>
    <t>4SEM2/27-1.5kw</t>
  </si>
  <si>
    <t>Скваж многоступ насос 4" (100мм) 1500 Вт;  напор 146м; макс. расход 3,2 м3/час; резьба 11/4,  без ка</t>
  </si>
  <si>
    <t>ZGR-001169</t>
  </si>
  <si>
    <t>4SRM8/06-0.55kw</t>
  </si>
  <si>
    <t>Скваж многоступ насос 4" (100мм) 550 Вт;  напор 37м; макс. расход 11м3/час; резьба 11/2,  без кабеля</t>
  </si>
  <si>
    <t>16 742.45 руб.</t>
  </si>
  <si>
    <t>ZGR-001170</t>
  </si>
  <si>
    <t>4SRM8/08-0.75kw</t>
  </si>
  <si>
    <t>Скваж многоступ насос 4" (100мм) 750 Вт;  напор 49м; макс. расход 11м3/час; резьба 11/2,  без кабеля</t>
  </si>
  <si>
    <t>18 142.32 руб.</t>
  </si>
  <si>
    <t>ZGR-001171</t>
  </si>
  <si>
    <t>4SRM8/10-1.1kw</t>
  </si>
  <si>
    <t>Скваж многоступ насос 4" (100мм) 1100 Вт;  напор 61м; макс. расход 11м3/час; резьба 11/2,  без кабел</t>
  </si>
  <si>
    <t>20 942.06 руб.</t>
  </si>
  <si>
    <t>ZGR-001172</t>
  </si>
  <si>
    <t>4SRM8/13-1.5kw</t>
  </si>
  <si>
    <t>Скваж многоступ насос 4" (100мм) 1500 Вт;  напор 79м; макс. расход 11м3/час; резьба 11/2,  без кабел</t>
  </si>
  <si>
    <t>27 017.50 руб.</t>
  </si>
  <si>
    <t>ZGR-001173</t>
  </si>
  <si>
    <t>4SRM8/18-2.2kw</t>
  </si>
  <si>
    <t>Скваж многоступ насос 4" (100мм) 2200 Вт;  напор 110м; макс. расход 11м3/час; резьба 11/2,  без кабе</t>
  </si>
  <si>
    <t>29 957.23 руб.</t>
  </si>
  <si>
    <t>Поверхностные насосы</t>
  </si>
  <si>
    <t>Поверхностные насосы ZEGOR</t>
  </si>
  <si>
    <t>NAS-710003</t>
  </si>
  <si>
    <t>AQPF370</t>
  </si>
  <si>
    <t>насос поверхностный для чистой воды   500ВТ  (1шт)</t>
  </si>
  <si>
    <t>6 306.30 руб.</t>
  </si>
  <si>
    <t>VER-000116</t>
  </si>
  <si>
    <t>VRS600</t>
  </si>
  <si>
    <t>НАСОС ПОВЕРХНОСТНЫЙ  600ВТ (ПЛАСТИК) "ViEiR" (1шт) AQPE370</t>
  </si>
  <si>
    <t>6 204.87 руб.</t>
  </si>
  <si>
    <t>ZGR-001060</t>
  </si>
  <si>
    <t>QB60</t>
  </si>
  <si>
    <t>Поверхностный вихревой насос (мощность 370Вт; напор 40м; расход 2,1м3/час; глуб всасыв до 8м)</t>
  </si>
  <si>
    <t>4 651.49 руб.</t>
  </si>
  <si>
    <t>ZGR-001061</t>
  </si>
  <si>
    <t>QB80</t>
  </si>
  <si>
    <t>Поверхностный вихревой насос (мощность 750Вт; напор 53м; расход 2,7м3/час; глуб всасыв до 8м)</t>
  </si>
  <si>
    <t>8 101.67 руб.</t>
  </si>
  <si>
    <t>ZGR-001062</t>
  </si>
  <si>
    <t>AB60</t>
  </si>
  <si>
    <t>Поверхностный вихревой насос (мощность 370Вт; напор 35м; расход 2,1м3/час; глуб всасывдо 8м)</t>
  </si>
  <si>
    <t>4 272.47 руб.</t>
  </si>
  <si>
    <t>ZGR-001064</t>
  </si>
  <si>
    <t>JS-120S</t>
  </si>
  <si>
    <t>Поверхностный вихревой насос (мощность 1100Вт; напор 47м; расход 3,0м3/час; глуб всасыв до 8м)(1шт)</t>
  </si>
  <si>
    <t>11 908.02 руб.</t>
  </si>
  <si>
    <t>ZGR-001066</t>
  </si>
  <si>
    <t>JET-100L</t>
  </si>
  <si>
    <t>Поверхностный вихревой насос (750Вт; напор 48м; расход 3,0м3/час; глуб всасыв до 8м)(1шт)</t>
  </si>
  <si>
    <t>9 812.46 руб.</t>
  </si>
  <si>
    <t>ZGR-001067</t>
  </si>
  <si>
    <t>JET-120S</t>
  </si>
  <si>
    <t>Поверхностный вихревой насос (1100Вт; напор 47м; расход 3,0м3/час; глуб всасыв до 8м)(1шт)</t>
  </si>
  <si>
    <t>10 112.46 руб.</t>
  </si>
  <si>
    <t>ZGR-001072</t>
  </si>
  <si>
    <t>AET-120L</t>
  </si>
  <si>
    <t>Поверхностный вихревой насос (мощность 1100Вт; напор 45м; расход 3,3м3/час; всасыв до 8м)(1шт)</t>
  </si>
  <si>
    <t>8 455.59 руб.</t>
  </si>
  <si>
    <t>ZGR-001073</t>
  </si>
  <si>
    <t>AET-120S</t>
  </si>
  <si>
    <t>Поверхностный центробежный насос (мощность 1100Вт; напор 45м; расход 3,0м3/час; всасыв до 8м)(1шт)</t>
  </si>
  <si>
    <t>8 380.64 руб.</t>
  </si>
  <si>
    <t>ZGR-001124</t>
  </si>
  <si>
    <t>ZTP800</t>
  </si>
  <si>
    <t>Поверхностный вихревой насос (мощность 800Вт; напор 40м; расход 2,85м3/час)</t>
  </si>
  <si>
    <t>7 668.28 руб.</t>
  </si>
  <si>
    <t>ZGR-001126</t>
  </si>
  <si>
    <t>СРМ 158</t>
  </si>
  <si>
    <t>Поверхностный вихревой насос (мощность 750Вт; напор 32м; расход 6,0м3/час)</t>
  </si>
  <si>
    <t>11 082.21 руб.</t>
  </si>
  <si>
    <t>ZGR-001129</t>
  </si>
  <si>
    <t>JET-120L</t>
  </si>
  <si>
    <t>Поверхностный центробежный насос (мощность 1100Вт; напор 53м; расход 3,3м3/час)</t>
  </si>
  <si>
    <t>10 619.96 руб.</t>
  </si>
  <si>
    <t>ZGR-001140</t>
  </si>
  <si>
    <t>АB80</t>
  </si>
  <si>
    <t>Поверхностный вихревой насос (мощность 1750Вт; напор 47м; расход 2,7 м3/час)</t>
  </si>
  <si>
    <t>6 525.09 руб.</t>
  </si>
  <si>
    <t>ZGR-001141</t>
  </si>
  <si>
    <t>AS-120S</t>
  </si>
  <si>
    <t>Поверхностный центробежный насос (мощность 1100Вт; напор 42м; расход 3,0 м3/час)</t>
  </si>
  <si>
    <t>8 061.77 руб.</t>
  </si>
  <si>
    <t>ZGR-001176</t>
  </si>
  <si>
    <t>ZOTA110</t>
  </si>
  <si>
    <t>Поверхностный центробежный насос (мощность 1100Вт; напор 45м; расход 4,5м3/час; (1шт)</t>
  </si>
  <si>
    <t>13 490.33 руб.</t>
  </si>
  <si>
    <t>ZGR-001177</t>
  </si>
  <si>
    <t>ZOTA150</t>
  </si>
  <si>
    <t>Поверхностный центробежный насос (мощность 1500Вт; напор 55м; расход 5,4м3/час; (1шт)</t>
  </si>
  <si>
    <t>23 409.24 руб.</t>
  </si>
  <si>
    <t>ZGR-001232</t>
  </si>
  <si>
    <t>СРМ 130</t>
  </si>
  <si>
    <t>Поверхностный вихревой насос (мощность 370Вт; напор 22м; расход 3,6м3/час)</t>
  </si>
  <si>
    <t>6 923.70 руб.</t>
  </si>
  <si>
    <t>ZGR-001233</t>
  </si>
  <si>
    <t>СРМ 146</t>
  </si>
  <si>
    <t>Поверхностный вихревой насос (мощность 550Вт; напор 28м; расход 4,8м3/час)</t>
  </si>
  <si>
    <t>8 748.21 руб.</t>
  </si>
  <si>
    <t>Насосы повышения давления</t>
  </si>
  <si>
    <t>Насосы повышения давления VIEIR</t>
  </si>
  <si>
    <t>NAS-810001</t>
  </si>
  <si>
    <t>VERB15-10</t>
  </si>
  <si>
    <t>Насос повышения давления с сухим ротором 90Вт VR (1/8шт)</t>
  </si>
  <si>
    <t>3 773.49 руб.</t>
  </si>
  <si>
    <t>NAS-810002</t>
  </si>
  <si>
    <t>VERB15-15</t>
  </si>
  <si>
    <t>Насос повышения давления с сухим ротором 120Вт VR (1/6шт)</t>
  </si>
  <si>
    <t>4 837.77 руб.</t>
  </si>
  <si>
    <t>NAS-810003</t>
  </si>
  <si>
    <t>VERA15-11</t>
  </si>
  <si>
    <t>Насос повышения давления с мокрым ротором 100Вт VR (1/8шт)</t>
  </si>
  <si>
    <t>4 395.30 руб.</t>
  </si>
  <si>
    <t>NAS-810004</t>
  </si>
  <si>
    <t>VERA15-9</t>
  </si>
  <si>
    <t>Насос повышения давления с мокрым ротором 120Вт VR (1/8шт)</t>
  </si>
  <si>
    <t>3 901.38 руб.</t>
  </si>
  <si>
    <t>Насосы повышения давления ZEGOR</t>
  </si>
  <si>
    <t>ZGR-001119</t>
  </si>
  <si>
    <t>BBP15C-9S</t>
  </si>
  <si>
    <t>Насос повышения давления НЕРЖ с датчиком протока  100 Вт, макс.напор 9 м макс.расход 1,5 м3/час</t>
  </si>
  <si>
    <t>ZGR-001128</t>
  </si>
  <si>
    <t>BBP15Н-9А</t>
  </si>
  <si>
    <t>Насос повышения давления сухой ротор (напор 9м, расход 1,5м3/час, 100Вт) (1/8шт)</t>
  </si>
  <si>
    <t>4 687.35 руб.</t>
  </si>
  <si>
    <t>ZGR-001131</t>
  </si>
  <si>
    <t>CBP15-9</t>
  </si>
  <si>
    <t>Насос повышения давления с мокр ротор (напор 9м, расход 1,5м3/час, 100Вт) (1/8шт)</t>
  </si>
  <si>
    <t>4 847.91 руб.</t>
  </si>
  <si>
    <t>ZGR-001132</t>
  </si>
  <si>
    <t>CBP15-11</t>
  </si>
  <si>
    <t>Насос повышения давления с мокр ротор (напор 11м, расход 1,5м3/час, 150Вт) (1/8шт)</t>
  </si>
  <si>
    <t>6 681.77 руб.</t>
  </si>
  <si>
    <t>ZGR-001205</t>
  </si>
  <si>
    <t>BBP15Н-15А</t>
  </si>
  <si>
    <t>Насос повышения давления сухой ротор (напор 15м, расход 1,8м3/час) ZEGOR (1/6шт)</t>
  </si>
  <si>
    <t>5 980.14 руб.</t>
  </si>
  <si>
    <t>Канализационные насосы</t>
  </si>
  <si>
    <t>Канализационные насосы VIEIR</t>
  </si>
  <si>
    <t>NAS-910004</t>
  </si>
  <si>
    <t>VRCS300</t>
  </si>
  <si>
    <t>Канализационный насос 300ВТ"VIEIR" (3шт)</t>
  </si>
  <si>
    <t>11 186.70 руб.</t>
  </si>
  <si>
    <t>NAS-910007</t>
  </si>
  <si>
    <t>VRCS600A</t>
  </si>
  <si>
    <t>Канализационная насосная станция 600ВТ"VIEIR" (1шт)</t>
  </si>
  <si>
    <t>15 020.46 руб.</t>
  </si>
  <si>
    <t>VER-000347</t>
  </si>
  <si>
    <t>VRCS450</t>
  </si>
  <si>
    <t>Канализационный насос 450ВТ"VIEIR" (1/1шт)</t>
  </si>
  <si>
    <t>13 984.11 руб.</t>
  </si>
  <si>
    <t>VER-000348</t>
  </si>
  <si>
    <t>VRCS750</t>
  </si>
  <si>
    <t>Канализационный насос 750ВТ"VIEIR" (1/1шт)</t>
  </si>
  <si>
    <t>16 081.80 руб.</t>
  </si>
  <si>
    <t>VER-000453</t>
  </si>
  <si>
    <t>VRCS450-C</t>
  </si>
  <si>
    <t>13 801.83 руб.</t>
  </si>
  <si>
    <t>VER-000983</t>
  </si>
  <si>
    <t>VRCS550</t>
  </si>
  <si>
    <t>Канализационная насосная станция 550Вт (1шт)</t>
  </si>
  <si>
    <t>21 043.05 руб.</t>
  </si>
  <si>
    <t>VER-000984</t>
  </si>
  <si>
    <t>VRCS600-E</t>
  </si>
  <si>
    <t>Канализационная насосная станция 600Вт (1шт)</t>
  </si>
  <si>
    <t>14 869.05 руб.</t>
  </si>
  <si>
    <t>Канализационные насосы TEBO</t>
  </si>
  <si>
    <t>ALT-122026</t>
  </si>
  <si>
    <t>T-КН.300.250.CN</t>
  </si>
  <si>
    <t>Канализационный насос модель TEBO W 250</t>
  </si>
  <si>
    <t>9 561.41 руб.</t>
  </si>
  <si>
    <t>ALT-122027</t>
  </si>
  <si>
    <t>T-КН.300.400.CN</t>
  </si>
  <si>
    <t>Канализационный насос модель TEBO WC 400</t>
  </si>
  <si>
    <t>13 751.36 руб.</t>
  </si>
  <si>
    <t>ALT-122028</t>
  </si>
  <si>
    <t>T-КН.300.600.CN</t>
  </si>
  <si>
    <t>Канализационный насос модель TEBO WC 600</t>
  </si>
  <si>
    <t>16 007.42 руб.</t>
  </si>
  <si>
    <t>Циркуляционные насосы для ГВС</t>
  </si>
  <si>
    <t>ALT-110773</t>
  </si>
  <si>
    <t>Циркуляционный насос для ГВС модель TEBO-LR 15/12N (1/8)</t>
  </si>
  <si>
    <t>12 256.88 руб.</t>
  </si>
  <si>
    <t>AQU-100021</t>
  </si>
  <si>
    <t>энергосберегающий насос для ГВС AQUARIO PRIME-151.5-80HW латунь</t>
  </si>
  <si>
    <t>8 900.80 руб.</t>
  </si>
  <si>
    <t>Циркуляционые насосы для ГВС VALTEC</t>
  </si>
  <si>
    <t>VLC-921011</t>
  </si>
  <si>
    <t>VSB.004.15.0</t>
  </si>
  <si>
    <t>Насос цирк. для ГВС VALTEC VSB 04-15 латун корпус</t>
  </si>
  <si>
    <t>5 712.00 руб.</t>
  </si>
  <si>
    <t>VLC-921012</t>
  </si>
  <si>
    <t>VRS.121EM.15.0</t>
  </si>
  <si>
    <t>Энергосберегающий цирк. насос НЕРЖ для ГВС с частотным регулированием VALTEC VRS 12/1.2EM</t>
  </si>
  <si>
    <t>10 374.00 руб.</t>
  </si>
  <si>
    <t>Циркуляционые насосы для ГВС VIEIR</t>
  </si>
  <si>
    <t>NAS-210010</t>
  </si>
  <si>
    <t>VR15-12</t>
  </si>
  <si>
    <t>Энергосберегающий циркуляционный насос для ГВС НЕРЖ корпус с режимом частного регулирования  (1/8шт)</t>
  </si>
  <si>
    <t>10 143.00 руб.</t>
  </si>
  <si>
    <t>NAS-210011</t>
  </si>
  <si>
    <t>VRD20-6-130A</t>
  </si>
  <si>
    <t>Циркуляционный насос для ГВС ЧУГУН корпус VIEIR 130мм (1/8шт)</t>
  </si>
  <si>
    <t>3 028.20 руб.</t>
  </si>
  <si>
    <t>NAS-210015</t>
  </si>
  <si>
    <t>VR15/6-130E</t>
  </si>
  <si>
    <t>Энергосберегающий циркуляционный насос для ГВС ЛАТУНЬ корпус с частотным регулир  "VIEIR" (8шт)</t>
  </si>
  <si>
    <t>6 928.11 руб.</t>
  </si>
  <si>
    <t>VER-001339</t>
  </si>
  <si>
    <t>VR15-15B</t>
  </si>
  <si>
    <t>Энергосберегающий циркуляционный насос ГВС латунный в теплоизоляции (без частот регулир) (8/1шт)</t>
  </si>
  <si>
    <t>8 027.67 руб.</t>
  </si>
  <si>
    <t>VVR-000139</t>
  </si>
  <si>
    <t>VRT20-6-130B</t>
  </si>
  <si>
    <t>Циркуляционный насос для ГВС ЛАТУНЬ корпус VIEIR 130мм (1/8шт)</t>
  </si>
  <si>
    <t>4 989.18 руб.</t>
  </si>
  <si>
    <t>Комплектующие для насосов</t>
  </si>
  <si>
    <t>VER-000866</t>
  </si>
  <si>
    <t>VR380</t>
  </si>
  <si>
    <t>Соединение с накидной гайкой 1 1/2" х 1", со встроенным шаровым краном (80/10шт)</t>
  </si>
  <si>
    <t>887.88 руб.</t>
  </si>
  <si>
    <t>ZGR-001208</t>
  </si>
  <si>
    <t>ZP-SDC25</t>
  </si>
  <si>
    <t>Гайка 25мм для подключения циркуляционного насоса (2/100шт)</t>
  </si>
  <si>
    <t>114.25 руб.</t>
  </si>
  <si>
    <t>Колодезные насосы</t>
  </si>
  <si>
    <t>VER-001145</t>
  </si>
  <si>
    <t>VR4F-450/40</t>
  </si>
  <si>
    <t>Насос погружной колодезный 450ВТ  (1шт)</t>
  </si>
  <si>
    <t>17 184.30 руб.</t>
  </si>
  <si>
    <t>VER-001146</t>
  </si>
  <si>
    <t>VR4F-600/48</t>
  </si>
  <si>
    <t>Насос погружной колодезный 600ВТ  (1шт)</t>
  </si>
  <si>
    <t>17 626.77 руб.</t>
  </si>
  <si>
    <t>VER-001369</t>
  </si>
  <si>
    <t>VRC1000-45</t>
  </si>
  <si>
    <t>Автоматический колодезный насос (2/1шт)</t>
  </si>
  <si>
    <t>13 573.98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</si>
</sst>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7fc5a31_86a6_11e9_8101_003048fd731b_695c4511_11fe_11ef_a5b8_047c1617b1431.jpeg"/><Relationship Id="rId2" Type="http://schemas.openxmlformats.org/officeDocument/2006/relationships/image" Target="../media/77fc5a33_86a6_11e9_8101_003048fd731b_695c4515_11fe_11ef_a5b8_047c1617b1432.jpeg"/><Relationship Id="rId3" Type="http://schemas.openxmlformats.org/officeDocument/2006/relationships/image" Target="../media/77fc5a35_86a6_11e9_8101_003048fd731b_695c4519_11fe_11ef_a5b8_047c1617b1433.jpeg"/><Relationship Id="rId4" Type="http://schemas.openxmlformats.org/officeDocument/2006/relationships/image" Target="../media/77fc5a37_86a6_11e9_8101_003048fd731b_695c4525_11fe_11ef_a5b8_047c1617b1434.jpeg"/><Relationship Id="rId5" Type="http://schemas.openxmlformats.org/officeDocument/2006/relationships/image" Target="../media/77fc5a39_86a6_11e9_8101_003048fd731b_695c4521_11fe_11ef_a5b8_047c1617b1435.jpeg"/><Relationship Id="rId6" Type="http://schemas.openxmlformats.org/officeDocument/2006/relationships/image" Target="../media/77fc5a3b_86a6_11e9_8101_003048fd731b_695c451d_11fe_11ef_a5b8_047c1617b1436.jpeg"/><Relationship Id="rId7" Type="http://schemas.openxmlformats.org/officeDocument/2006/relationships/image" Target="../media/77fc5a3d_86a6_11e9_8101_003048fd731b_695c4529_11fe_11ef_a5b8_047c1617b1437.jpeg"/><Relationship Id="rId8" Type="http://schemas.openxmlformats.org/officeDocument/2006/relationships/image" Target="../media/77fc5a3f_86a6_11e9_8101_003048fd731b_695c452d_11fe_11ef_a5b8_047c1617b1438.jpeg"/><Relationship Id="rId9" Type="http://schemas.openxmlformats.org/officeDocument/2006/relationships/image" Target="../media/77fc5a41_86a6_11e9_8101_003048fd731b_695c4531_11fe_11ef_a5b8_047c1617b1439.jpeg"/><Relationship Id="rId10" Type="http://schemas.openxmlformats.org/officeDocument/2006/relationships/image" Target="../media/77fc5a43_86a6_11e9_8101_003048fd731b_695c4535_11fe_11ef_a5b8_047c1617b14310.jpeg"/><Relationship Id="rId11" Type="http://schemas.openxmlformats.org/officeDocument/2006/relationships/image" Target="../media/77fc5a4a_86a6_11e9_8101_003048fd731b_695c450d_11fe_11ef_a5b8_047c1617b14311.jpeg"/><Relationship Id="rId12" Type="http://schemas.openxmlformats.org/officeDocument/2006/relationships/image" Target="../media/f093110e_0c72_11ec_8321_003048fd731b_695c4544_11fe_11ef_a5b8_047c1617b14312.jpeg"/><Relationship Id="rId13" Type="http://schemas.openxmlformats.org/officeDocument/2006/relationships/image" Target="../media/f0931110_0c72_11ec_8321_003048fd731b_695c4548_11fe_11ef_a5b8_047c1617b14313.jpeg"/><Relationship Id="rId14" Type="http://schemas.openxmlformats.org/officeDocument/2006/relationships/image" Target="../media/f0931112_0c72_11ec_8321_003048fd731b_695c454c_11fe_11ef_a5b8_047c1617b14314.jpeg"/><Relationship Id="rId15" Type="http://schemas.openxmlformats.org/officeDocument/2006/relationships/image" Target="../media/28a1d0da_7e77_11f0_a7a6_047c1617b143_a24fffbb_96ed_11f0_a7c5_047c1617b14315.jpeg"/><Relationship Id="rId16" Type="http://schemas.openxmlformats.org/officeDocument/2006/relationships/image" Target="../media/28a1d0dc_7e77_11f0_a7a6_047c1617b143_d79fde81_96ec_11f0_a7c5_047c1617b14316.jpeg"/><Relationship Id="rId17" Type="http://schemas.openxmlformats.org/officeDocument/2006/relationships/image" Target="../media/28a1d0de_7e77_11f0_a7a6_047c1617b143_a24fffb7_96ed_11f0_a7c5_047c1617b14317.jpeg"/><Relationship Id="rId18" Type="http://schemas.openxmlformats.org/officeDocument/2006/relationships/image" Target="../media/28a1d0e0_7e77_11f0_a7a6_047c1617b143_a24fffb9_96ed_11f0_a7c5_047c1617b14318.jpeg"/><Relationship Id="rId19" Type="http://schemas.openxmlformats.org/officeDocument/2006/relationships/image" Target="../media/a05f35d4_ce20_11eb_82ca_003048fd731b_a15553cc_602e_11ec_a20b_00259070b48719.jpeg"/><Relationship Id="rId20" Type="http://schemas.openxmlformats.org/officeDocument/2006/relationships/image" Target="../media/a05f35d6_ce20_11eb_82ca_003048fd731b_a15553cd_602e_11ec_a20b_00259070b48720.jpeg"/><Relationship Id="rId21" Type="http://schemas.openxmlformats.org/officeDocument/2006/relationships/image" Target="../media/a05f35da_ce20_11eb_82ca_003048fd731b_a15553cf_602e_11ec_a20b_00259070b48721.jpeg"/><Relationship Id="rId22" Type="http://schemas.openxmlformats.org/officeDocument/2006/relationships/image" Target="../media/a05f35dc_ce20_11eb_82ca_003048fd731b_a15553d0_602e_11ec_a20b_00259070b48722.jpeg"/><Relationship Id="rId23" Type="http://schemas.openxmlformats.org/officeDocument/2006/relationships/image" Target="../media/6563d0cb_1094_11ec_8327_003048fd731b_a15553d6_602e_11ec_a20b_00259070b48723.jpeg"/><Relationship Id="rId24" Type="http://schemas.openxmlformats.org/officeDocument/2006/relationships/image" Target="../media/6563d0cd_1094_11ec_8327_003048fd731b_a15553d7_602e_11ec_a20b_00259070b48724.jpeg"/><Relationship Id="rId25" Type="http://schemas.openxmlformats.org/officeDocument/2006/relationships/image" Target="../media/e7a442e6_c2d4_11ee_a54c_047c1617b143_14e1e0df_f93d_11ef_a6ea_047c1617b14325.jpeg"/><Relationship Id="rId26" Type="http://schemas.openxmlformats.org/officeDocument/2006/relationships/image" Target="../media/e7a442e8_c2d4_11ee_a54c_047c1617b143_14e1e0e0_f93d_11ef_a6ea_047c1617b14326.jpeg"/><Relationship Id="rId27" Type="http://schemas.openxmlformats.org/officeDocument/2006/relationships/image" Target="../media/c83f9ca6_f027_11eb_82fb_003048fd731b_62fcddff_11fe_11ef_a5b8_047c1617b14327.jpeg"/><Relationship Id="rId28" Type="http://schemas.openxmlformats.org/officeDocument/2006/relationships/image" Target="../media/c83f9ca8_f027_11eb_82fb_003048fd731b_62fcddfd_11fe_11ef_a5b8_047c1617b14328.jpeg"/><Relationship Id="rId29" Type="http://schemas.openxmlformats.org/officeDocument/2006/relationships/image" Target="../media/c83f9caa_f027_11eb_82fb_003048fd731b_62fcde03_11fe_11ef_a5b8_047c1617b14329.jpeg"/><Relationship Id="rId30" Type="http://schemas.openxmlformats.org/officeDocument/2006/relationships/image" Target="../media/c83f9cac_f027_11eb_82fb_003048fd731b_62fcde01_11fe_11ef_a5b8_047c1617b14330.jpeg"/><Relationship Id="rId31" Type="http://schemas.openxmlformats.org/officeDocument/2006/relationships/image" Target="../media/61991c19_230d_11ed_a307_00259070b487_62fcde05_11fe_11ef_a5b8_047c1617b14331.jpeg"/><Relationship Id="rId32" Type="http://schemas.openxmlformats.org/officeDocument/2006/relationships/image" Target="../media/61991c1b_230d_11ed_a307_00259070b487_62fcddf9_11fe_11ef_a5b8_047c1617b14332.jpeg"/><Relationship Id="rId33" Type="http://schemas.openxmlformats.org/officeDocument/2006/relationships/image" Target="../media/4c4fcfe5_66a3_11ed_a377_047c1617b143_62fcddfb_11fe_11ef_a5b8_047c1617b14333.jpeg"/><Relationship Id="rId34" Type="http://schemas.openxmlformats.org/officeDocument/2006/relationships/image" Target="../media/0d5e411a_d31e_11ed_a411_047c1617b143_62fcde0b_11fe_11ef_a5b8_047c1617b14334.jpeg"/><Relationship Id="rId35" Type="http://schemas.openxmlformats.org/officeDocument/2006/relationships/image" Target="../media/ab08e9a3_3fea_11ee_a4a3_047c1617b143_62fcde07_11fe_11ef_a5b8_047c1617b14335.jpeg"/><Relationship Id="rId36" Type="http://schemas.openxmlformats.org/officeDocument/2006/relationships/image" Target="../media/ab08e9a5_3fea_11ee_a4a3_047c1617b143_62fcde09_11fe_11ef_a5b8_047c1617b14336.jpeg"/><Relationship Id="rId37" Type="http://schemas.openxmlformats.org/officeDocument/2006/relationships/image" Target="../media/ab08e9a7_3fea_11ee_a4a3_047c1617b143_62fcde13_11fe_11ef_a5b8_047c1617b14337.png"/><Relationship Id="rId38" Type="http://schemas.openxmlformats.org/officeDocument/2006/relationships/image" Target="../media/ab08e9a9_3fea_11ee_a4a3_047c1617b143_62fcde0d_11fe_11ef_a5b8_047c1617b14338.png"/><Relationship Id="rId39" Type="http://schemas.openxmlformats.org/officeDocument/2006/relationships/image" Target="../media/ab08e9ab_3fea_11ee_a4a3_047c1617b143_62fcde10_11fe_11ef_a5b8_047c1617b14339.png"/><Relationship Id="rId40" Type="http://schemas.openxmlformats.org/officeDocument/2006/relationships/image" Target="../media/ab08e9ad_3fea_11ee_a4a3_047c1617b143_62fcde16_11fe_11ef_a5b8_047c1617b14340.png"/><Relationship Id="rId41" Type="http://schemas.openxmlformats.org/officeDocument/2006/relationships/image" Target="../media/ab08e9af_3fea_11ee_a4a3_047c1617b143_62fcde19_11fe_11ef_a5b8_047c1617b14341.png"/><Relationship Id="rId42" Type="http://schemas.openxmlformats.org/officeDocument/2006/relationships/image" Target="../media/ea21c120_400c_11ee_a4a3_047c1617b143_695c44ea_11fe_11ef_a5b8_047c1617b14342.png"/><Relationship Id="rId43" Type="http://schemas.openxmlformats.org/officeDocument/2006/relationships/image" Target="../media/fa4c10ec_469b_11ef_a5fc_047c1617b143_0a6f3a09_310d_11f1_a89b_047c1617b14343.jpeg"/><Relationship Id="rId44" Type="http://schemas.openxmlformats.org/officeDocument/2006/relationships/image" Target="../media/fa4c10ee_469b_11ef_a5fc_047c1617b143_0a6f3a0b_310d_11f1_a89b_047c1617b14344.jpeg"/><Relationship Id="rId45" Type="http://schemas.openxmlformats.org/officeDocument/2006/relationships/image" Target="../media/21a39b91_019d_11ef_a5a2_047c1617b143_ae66e5fa_3fbb_11ef_a5f3_047c1617b14345.jpeg"/><Relationship Id="rId46" Type="http://schemas.openxmlformats.org/officeDocument/2006/relationships/image" Target="../media/21a39b93_019d_11ef_a5a2_047c1617b143_ae66e5fb_3fbb_11ef_a5f3_047c1617b14346.jpeg"/><Relationship Id="rId47" Type="http://schemas.openxmlformats.org/officeDocument/2006/relationships/image" Target="../media/21a39b95_019d_11ef_a5a2_047c1617b143_ae66e5fc_3fbb_11ef_a5f3_047c1617b14347.jpeg"/><Relationship Id="rId48" Type="http://schemas.openxmlformats.org/officeDocument/2006/relationships/image" Target="../media/21a39b97_019d_11ef_a5a2_047c1617b143_ae66e5fd_3fbb_11ef_a5f3_047c1617b14348.jpeg"/><Relationship Id="rId49" Type="http://schemas.openxmlformats.org/officeDocument/2006/relationships/image" Target="../media/21a39b99_019d_11ef_a5a2_047c1617b143_ae66e5fe_3fbb_11ef_a5f3_047c1617b14349.jpeg"/><Relationship Id="rId50" Type="http://schemas.openxmlformats.org/officeDocument/2006/relationships/image" Target="../media/21a39b9b_019d_11ef_a5a2_047c1617b143_ae66e5ff_3fbb_11ef_a5f3_047c1617b14350.jpeg"/><Relationship Id="rId51" Type="http://schemas.openxmlformats.org/officeDocument/2006/relationships/image" Target="../media/21a39b9d_019d_11ef_a5a2_047c1617b143_ae66e600_3fbb_11ef_a5f3_047c1617b14351.jpeg"/><Relationship Id="rId52" Type="http://schemas.openxmlformats.org/officeDocument/2006/relationships/image" Target="../media/21a39b9f_019d_11ef_a5a2_047c1617b143_ae66e601_3fbb_11ef_a5f3_047c1617b14352.jpeg"/><Relationship Id="rId53" Type="http://schemas.openxmlformats.org/officeDocument/2006/relationships/image" Target="../media/56fd1bfc_a454_11f0_a7d7_047c1617b143_8f4edd81_b6fe_11f0_a7ef_047c1617b14353.jpeg"/><Relationship Id="rId54" Type="http://schemas.openxmlformats.org/officeDocument/2006/relationships/image" Target="../media/56fd1bfe_a454_11f0_a7d7_047c1617b143_cc52da12_c375_11f0_a800_047c1617b14354.jpeg"/><Relationship Id="rId55" Type="http://schemas.openxmlformats.org/officeDocument/2006/relationships/image" Target="../media/56fd1c00_a454_11f0_a7d7_047c1617b143_8f4edd86_b6fe_11f0_a7ef_047c1617b14355.jpeg"/><Relationship Id="rId56" Type="http://schemas.openxmlformats.org/officeDocument/2006/relationships/image" Target="../media/56fd1c02_a454_11f0_a7d7_047c1617b143_8f4edd89_b6fe_11f0_a7ef_047c1617b14356.jpeg"/><Relationship Id="rId57" Type="http://schemas.openxmlformats.org/officeDocument/2006/relationships/image" Target="../media/56fd1c04_a454_11f0_a7d7_047c1617b143_8f4edd8c_b6fe_11f0_a7ef_047c1617b14357.jpeg"/><Relationship Id="rId58" Type="http://schemas.openxmlformats.org/officeDocument/2006/relationships/image" Target="../media/56fd1c06_a454_11f0_a7d7_047c1617b143_8f4edd8f_b6fe_11f0_a7ef_047c1617b14358.jpeg"/><Relationship Id="rId59" Type="http://schemas.openxmlformats.org/officeDocument/2006/relationships/image" Target="../media/145c8a24_551c_11f0_a76e_047c1617b143_85576911_7c1e_11f0_a7a3_047c1617b14359.jpeg"/><Relationship Id="rId60" Type="http://schemas.openxmlformats.org/officeDocument/2006/relationships/image" Target="../media/145c8a26_551c_11f0_a76e_047c1617b143_8557690d_7c1e_11f0_a7a3_047c1617b14360.jpeg"/><Relationship Id="rId61" Type="http://schemas.openxmlformats.org/officeDocument/2006/relationships/image" Target="../media/77fc5a6d_86a6_11e9_8101_003048fd731b_634a42e9_f953_11e9_810b_003048fd731b61.jpeg"/><Relationship Id="rId62" Type="http://schemas.openxmlformats.org/officeDocument/2006/relationships/image" Target="../media/77fc5a70_86a6_11e9_8101_003048fd731b_634a42ea_f953_11e9_810b_003048fd731b62.jpeg"/><Relationship Id="rId63" Type="http://schemas.openxmlformats.org/officeDocument/2006/relationships/image" Target="../media/77fc5a73_86a6_11e9_8101_003048fd731b_634a42eb_f953_11e9_810b_003048fd731b63.jpeg"/><Relationship Id="rId64" Type="http://schemas.openxmlformats.org/officeDocument/2006/relationships/image" Target="../media/d981da6f_77ea_11ea_8111_003048fd731b_7d28a356_7d94_11ea_8111_003048fd731b64.jpeg"/><Relationship Id="rId65" Type="http://schemas.openxmlformats.org/officeDocument/2006/relationships/image" Target="../media/77fc5a88_86a6_11e9_8101_003048fd731b_5352ef7f_57f4_11ea_810f_003048fd731b65.jpeg"/><Relationship Id="rId66" Type="http://schemas.openxmlformats.org/officeDocument/2006/relationships/image" Target="../media/77fc5a8a_86a6_11e9_8101_003048fd731b_5352ef7e_57f4_11ea_810f_003048fd731b66.png"/><Relationship Id="rId67" Type="http://schemas.openxmlformats.org/officeDocument/2006/relationships/image" Target="../media/05c9cfef_77eb_11ea_8111_003048fd731b_92d88067_5a43_11f0_a775_047c1617b14367.jpeg"/><Relationship Id="rId68" Type="http://schemas.openxmlformats.org/officeDocument/2006/relationships/image" Target="../media/05c9cff1_77eb_11ea_8111_003048fd731b_92d88069_5a43_11f0_a775_047c1617b14368.jpeg"/><Relationship Id="rId69" Type="http://schemas.openxmlformats.org/officeDocument/2006/relationships/image" Target="../media/05c9cff3_77eb_11ea_8111_003048fd731b_92d8806b_5a43_11f0_a775_047c1617b14369.jpeg"/><Relationship Id="rId70" Type="http://schemas.openxmlformats.org/officeDocument/2006/relationships/image" Target="../media/05c9cff5_77eb_11ea_8111_003048fd731b_92d8806d_5a43_11f0_a775_047c1617b14370.jpeg"/><Relationship Id="rId71" Type="http://schemas.openxmlformats.org/officeDocument/2006/relationships/image" Target="../media/05c9cff7_77eb_11ea_8111_003048fd731b_10e2bbc6_310d_11f1_a89b_047c1617b14371.jpeg"/><Relationship Id="rId72" Type="http://schemas.openxmlformats.org/officeDocument/2006/relationships/image" Target="../media/05c9cff9_77eb_11ea_8111_003048fd731b_92d8806f_5a43_11f0_a775_047c1617b14372.jpeg"/><Relationship Id="rId73" Type="http://schemas.openxmlformats.org/officeDocument/2006/relationships/image" Target="../media/05c9cffb_77eb_11ea_8111_003048fd731b_92d88072_5a43_11f0_a775_047c1617b14373.jpeg"/><Relationship Id="rId74" Type="http://schemas.openxmlformats.org/officeDocument/2006/relationships/image" Target="../media/05c9cffd_77eb_11ea_8111_003048fd731b_92d88076_5a43_11f0_a775_047c1617b14374.jpeg"/><Relationship Id="rId75" Type="http://schemas.openxmlformats.org/officeDocument/2006/relationships/image" Target="../media/05c9cfff_77eb_11ea_8111_003048fd731b_92d88077_5a43_11f0_a775_047c1617b14375.jpeg"/><Relationship Id="rId76" Type="http://schemas.openxmlformats.org/officeDocument/2006/relationships/image" Target="../media/05c9d001_77eb_11ea_8111_003048fd731b_92d88078_5a43_11f0_a775_047c1617b14376.jpeg"/><Relationship Id="rId77" Type="http://schemas.openxmlformats.org/officeDocument/2006/relationships/image" Target="../media/05c9d003_77eb_11ea_8111_003048fd731b_92d88061_5a43_11f0_a775_047c1617b14377.jpeg"/><Relationship Id="rId78" Type="http://schemas.openxmlformats.org/officeDocument/2006/relationships/image" Target="../media/05c9d005_77eb_11ea_8111_003048fd731b_92d88064_5a43_11f0_a775_047c1617b14378.jpeg"/><Relationship Id="rId79" Type="http://schemas.openxmlformats.org/officeDocument/2006/relationships/image" Target="../media/05c9d007_77eb_11ea_8111_003048fd731b_92d88079_5a43_11f0_a775_047c1617b14379.jpeg"/><Relationship Id="rId80" Type="http://schemas.openxmlformats.org/officeDocument/2006/relationships/image" Target="../media/05c9d009_77eb_11ea_8111_003048fd731b_92d8807a_5a43_11f0_a775_047c1617b14380.jpeg"/><Relationship Id="rId81" Type="http://schemas.openxmlformats.org/officeDocument/2006/relationships/image" Target="../media/05c9d00b_77eb_11ea_8111_003048fd731b_92d8807b_5a43_11f0_a775_047c1617b14381.jpeg"/><Relationship Id="rId82" Type="http://schemas.openxmlformats.org/officeDocument/2006/relationships/image" Target="../media/05c9d00d_77eb_11ea_8111_003048fd731b_92d8807c_5a43_11f0_a775_047c1617b14382.jpeg"/><Relationship Id="rId83" Type="http://schemas.openxmlformats.org/officeDocument/2006/relationships/image" Target="../media/77fc5a77_86a6_11e9_8101_003048fd731b_5922161b_11fe_11ef_a5b8_047c1617b14383.jpeg"/><Relationship Id="rId84" Type="http://schemas.openxmlformats.org/officeDocument/2006/relationships/image" Target="../media/77fc5a79_86a6_11e9_8101_003048fd731b_5922160f_11fe_11ef_a5b8_047c1617b14384.jpeg"/><Relationship Id="rId85" Type="http://schemas.openxmlformats.org/officeDocument/2006/relationships/image" Target="../media/77fc5a7b_86a6_11e9_8101_003048fd731b_59221610_11fe_11ef_a5b8_047c1617b14385.jpeg"/><Relationship Id="rId86" Type="http://schemas.openxmlformats.org/officeDocument/2006/relationships/image" Target="../media/77fc5a7d_86a6_11e9_8101_003048fd731b_59221613_11fe_11ef_a5b8_047c1617b14386.jpeg"/><Relationship Id="rId87" Type="http://schemas.openxmlformats.org/officeDocument/2006/relationships/image" Target="../media/77fc5a7f_86a6_11e9_8101_003048fd731b_5922161d_11fe_11ef_a5b8_047c1617b14387.jpeg"/><Relationship Id="rId88" Type="http://schemas.openxmlformats.org/officeDocument/2006/relationships/image" Target="../media/77fc5a81_86a6_11e9_8101_003048fd731b_a26f33f4_7c1e_11f0_a7a3_047c1617b14388.jpeg"/><Relationship Id="rId89" Type="http://schemas.openxmlformats.org/officeDocument/2006/relationships/image" Target="../media/77fc5a83_86a6_11e9_8101_003048fd731b_5922161c_11fe_11ef_a5b8_047c1617b14389.jpeg"/><Relationship Id="rId90" Type="http://schemas.openxmlformats.org/officeDocument/2006/relationships/image" Target="../media/77fc5a85_86a6_11e9_8101_003048fd731b_5922160c_11fe_11ef_a5b8_047c1617b14390.jpeg"/><Relationship Id="rId91" Type="http://schemas.openxmlformats.org/officeDocument/2006/relationships/image" Target="../media/e825a810_3767_11ea_810f_003048fd731b_5922160d_11fe_11ef_a5b8_047c1617b14391.jpeg"/><Relationship Id="rId92" Type="http://schemas.openxmlformats.org/officeDocument/2006/relationships/image" Target="../media/43258fd5_68f5_11ea_8111_003048fd731b_08fe4379_7ca2_11ea_8111_003048fd731b92.jpeg"/><Relationship Id="rId93" Type="http://schemas.openxmlformats.org/officeDocument/2006/relationships/image" Target="../media/e3f40c1c_5308_11ee_a4bb_047c1617b143_59221614_11fe_11ef_a5b8_047c1617b14393.jpeg"/><Relationship Id="rId94" Type="http://schemas.openxmlformats.org/officeDocument/2006/relationships/image" Target="../media/a2f573f5_c27f_11ee_a54c_047c1617b143_4396beea_0312_11ef_a5a4_047c1617b14394.jpeg"/><Relationship Id="rId95" Type="http://schemas.openxmlformats.org/officeDocument/2006/relationships/image" Target="../media/a2f573f7_c27f_11ee_a54c_047c1617b143_59221617_11fe_11ef_a5b8_047c1617b14395.jpeg"/><Relationship Id="rId96" Type="http://schemas.openxmlformats.org/officeDocument/2006/relationships/image" Target="../media/f72d370b_5f8f_11eb_822d_003048fd731b_59221611_11fe_11ef_a5b8_047c1617b14396.jpeg"/><Relationship Id="rId97" Type="http://schemas.openxmlformats.org/officeDocument/2006/relationships/image" Target="../media/a05f35f4_ce20_11eb_82ca_003048fd731b_a15553e5_602e_11ec_a20b_00259070b48797.jpeg"/><Relationship Id="rId98" Type="http://schemas.openxmlformats.org/officeDocument/2006/relationships/image" Target="../media/a05f35f6_ce20_11eb_82ca_003048fd731b_59221625_11fe_11ef_a5b8_047c1617b14398.jpeg"/><Relationship Id="rId99" Type="http://schemas.openxmlformats.org/officeDocument/2006/relationships/image" Target="../media/a05f35f8_ce20_11eb_82ca_003048fd731b_59221624_11fe_11ef_a5b8_047c1617b14399.jpeg"/><Relationship Id="rId100" Type="http://schemas.openxmlformats.org/officeDocument/2006/relationships/image" Target="../media/a05f35fc_ce20_11eb_82ca_003048fd731b_a15553e8_602e_11ec_a20b_00259070b487100.jpeg"/><Relationship Id="rId101" Type="http://schemas.openxmlformats.org/officeDocument/2006/relationships/image" Target="../media/a05f35fe_ce20_11eb_82ca_003048fd731b_59221628_11fe_11ef_a5b8_047c1617b143101.jpeg"/><Relationship Id="rId102" Type="http://schemas.openxmlformats.org/officeDocument/2006/relationships/image" Target="../media/a05f3602_ce20_11eb_82ca_003048fd731b_a15553eb_602e_11ec_a20b_00259070b487102.jpeg"/><Relationship Id="rId103" Type="http://schemas.openxmlformats.org/officeDocument/2006/relationships/image" Target="../media/a05f3604_ce20_11eb_82ca_003048fd731b_a15553ec_602e_11ec_a20b_00259070b487103.jpeg"/><Relationship Id="rId104" Type="http://schemas.openxmlformats.org/officeDocument/2006/relationships/image" Target="../media/a05f3608_ce20_11eb_82ca_003048fd731b_a15553ee_602e_11ec_a20b_00259070b487104.jpeg"/><Relationship Id="rId105" Type="http://schemas.openxmlformats.org/officeDocument/2006/relationships/image" Target="../media/a05f360a_ce20_11eb_82ca_003048fd731b_a15553ef_602e_11ec_a20b_00259070b487105.jpeg"/><Relationship Id="rId106" Type="http://schemas.openxmlformats.org/officeDocument/2006/relationships/image" Target="../media/9e5408be_9114_11ed_a3b7_047c1617b143_5922161f_11fe_11ef_a5b8_047c1617b143106.jpeg"/><Relationship Id="rId107" Type="http://schemas.openxmlformats.org/officeDocument/2006/relationships/image" Target="../media/9e5408c0_9114_11ed_a3b7_047c1617b143_59221620_11fe_11ef_a5b8_047c1617b143107.jpeg"/><Relationship Id="rId108" Type="http://schemas.openxmlformats.org/officeDocument/2006/relationships/image" Target="../media/9e5408c2_9114_11ed_a3b7_047c1617b143_59221621_11fe_11ef_a5b8_047c1617b143108.jpeg"/><Relationship Id="rId109" Type="http://schemas.openxmlformats.org/officeDocument/2006/relationships/image" Target="../media/9e5408c4_9114_11ed_a3b7_047c1617b143_59221622_11fe_11ef_a5b8_047c1617b143109.jpeg"/><Relationship Id="rId110" Type="http://schemas.openxmlformats.org/officeDocument/2006/relationships/image" Target="../media/7ca27a8b_9ced_11ed_a3c6_047c1617b143_59221626_11fe_11ef_a5b8_047c1617b143110.jpeg"/><Relationship Id="rId111" Type="http://schemas.openxmlformats.org/officeDocument/2006/relationships/image" Target="../media/7ca27a8d_9ced_11ed_a3c6_047c1617b143_59221627_11fe_11ef_a5b8_047c1617b143111.jpeg"/><Relationship Id="rId112" Type="http://schemas.openxmlformats.org/officeDocument/2006/relationships/image" Target="../media/7ca27a8f_9ced_11ed_a3c6_047c1617b143_59221629_11fe_11ef_a5b8_047c1617b143112.jpeg"/><Relationship Id="rId113" Type="http://schemas.openxmlformats.org/officeDocument/2006/relationships/image" Target="../media/7ca27a91_9ced_11ed_a3c6_047c1617b143_5922161e_11fe_11ef_a5b8_047c1617b143113.jpeg"/><Relationship Id="rId114" Type="http://schemas.openxmlformats.org/officeDocument/2006/relationships/image" Target="../media/ac8e514e_ce27_11ee_a55d_047c1617b143_a26f33f5_7c1e_11f0_a7a3_047c1617b143114.jpeg"/><Relationship Id="rId115" Type="http://schemas.openxmlformats.org/officeDocument/2006/relationships/image" Target="../media/ac8e5150_ce27_11ee_a55d_047c1617b143_a26f33f6_7c1e_11f0_a7a3_047c1617b143115.jpeg"/><Relationship Id="rId116" Type="http://schemas.openxmlformats.org/officeDocument/2006/relationships/image" Target="../media/a71fc601_46c3_11ef_a5fc_047c1617b143_14e1e0bb_f93d_11ef_a6ea_047c1617b143116.jpeg"/><Relationship Id="rId117" Type="http://schemas.openxmlformats.org/officeDocument/2006/relationships/image" Target="../media/a71fc603_46c3_11ef_a5fc_047c1617b143_14e1e0bc_f93d_11ef_a6ea_047c1617b143117.jpeg"/><Relationship Id="rId118" Type="http://schemas.openxmlformats.org/officeDocument/2006/relationships/image" Target="../media/856efa7a_cb53_11ef_a6b0_047c1617b143_14e1e0bd_f93d_11ef_a6ea_047c1617b143118.jpeg"/><Relationship Id="rId119" Type="http://schemas.openxmlformats.org/officeDocument/2006/relationships/image" Target="../media/0683acbf_da17_11ef_a6c3_047c1617b143_a26f33f7_7c1e_11f0_a7a3_047c1617b143119.jpeg"/><Relationship Id="rId120" Type="http://schemas.openxmlformats.org/officeDocument/2006/relationships/image" Target="../media/a05f35cc_ce20_11eb_82ca_003048fd731b_59221633_11fe_11ef_a5b8_047c1617b143120.jpeg"/><Relationship Id="rId121" Type="http://schemas.openxmlformats.org/officeDocument/2006/relationships/image" Target="../media/a05f35ce_ce20_11eb_82ca_003048fd731b_59221634_11fe_11ef_a5b8_047c1617b143121.jpeg"/><Relationship Id="rId122" Type="http://schemas.openxmlformats.org/officeDocument/2006/relationships/image" Target="../media/a05f35d0_ce20_11eb_82ca_003048fd731b_59221636_11fe_11ef_a5b8_047c1617b143122.jpeg"/><Relationship Id="rId123" Type="http://schemas.openxmlformats.org/officeDocument/2006/relationships/image" Target="../media/a05f35d2_ce20_11eb_82ca_003048fd731b_59221637_11fe_11ef_a5b8_047c1617b143123.jpeg"/><Relationship Id="rId124" Type="http://schemas.openxmlformats.org/officeDocument/2006/relationships/image" Target="../media/6563d0c5_1094_11ec_8327_003048fd731b_59221635_11fe_11ef_a5b8_047c1617b143124.jpeg"/><Relationship Id="rId125" Type="http://schemas.openxmlformats.org/officeDocument/2006/relationships/image" Target="../media/6563d0c7_1094_11ec_8327_003048fd731b_59221638_11fe_11ef_a5b8_047c1617b143125.jpeg"/><Relationship Id="rId126" Type="http://schemas.openxmlformats.org/officeDocument/2006/relationships/image" Target="../media/b6583445_823b_11ed_a3a0_047c1617b143_5922162a_11fe_11ef_a5b8_047c1617b143126.jpeg"/><Relationship Id="rId127" Type="http://schemas.openxmlformats.org/officeDocument/2006/relationships/image" Target="../media/b6583447_823b_11ed_a3a0_047c1617b143_5922162b_11fe_11ef_a5b8_047c1617b143127.jpeg"/><Relationship Id="rId128" Type="http://schemas.openxmlformats.org/officeDocument/2006/relationships/image" Target="../media/b6583449_823b_11ed_a3a0_047c1617b143_5922162c_11fe_11ef_a5b8_047c1617b143128.jpeg"/><Relationship Id="rId129" Type="http://schemas.openxmlformats.org/officeDocument/2006/relationships/image" Target="../media/b658344b_823b_11ed_a3a0_047c1617b143_5922162d_11fe_11ef_a5b8_047c1617b143129.jpeg"/><Relationship Id="rId130" Type="http://schemas.openxmlformats.org/officeDocument/2006/relationships/image" Target="../media/b658344d_823b_11ed_a3a0_047c1617b143_5922162e_11fe_11ef_a5b8_047c1617b143130.jpeg"/><Relationship Id="rId131" Type="http://schemas.openxmlformats.org/officeDocument/2006/relationships/image" Target="../media/b6583451_823b_11ed_a3a0_047c1617b143_5922162f_11fe_11ef_a5b8_047c1617b143131.jpeg"/><Relationship Id="rId132" Type="http://schemas.openxmlformats.org/officeDocument/2006/relationships/image" Target="../media/b6583453_823b_11ed_a3a0_047c1617b143_59221630_11fe_11ef_a5b8_047c1617b143132.jpeg"/><Relationship Id="rId133" Type="http://schemas.openxmlformats.org/officeDocument/2006/relationships/image" Target="../media/b6583455_823b_11ed_a3a0_047c1617b143_59221631_11fe_11ef_a5b8_047c1617b143133.jpeg"/><Relationship Id="rId134" Type="http://schemas.openxmlformats.org/officeDocument/2006/relationships/image" Target="../media/b6583457_823b_11ed_a3a0_047c1617b143_59221632_11fe_11ef_a5b8_047c1617b143134.jpeg"/><Relationship Id="rId135" Type="http://schemas.openxmlformats.org/officeDocument/2006/relationships/image" Target="../media/f72d372d_5f8f_11eb_822d_003048fd731b_59221639_11fe_11ef_a5b8_047c1617b143135.jpeg"/><Relationship Id="rId136" Type="http://schemas.openxmlformats.org/officeDocument/2006/relationships/image" Target="../media/41f65cf9_5ed3_11ee_a4ca_047c1617b143_5922163b_11fe_11ef_a5b8_047c1617b143136.jpeg"/><Relationship Id="rId137" Type="http://schemas.openxmlformats.org/officeDocument/2006/relationships/image" Target="../media/997aeb78_ce20_11eb_82ca_003048fd731b_a15553d8_602e_11ec_a20b_00259070b487137.jpeg"/><Relationship Id="rId138" Type="http://schemas.openxmlformats.org/officeDocument/2006/relationships/image" Target="../media/997aeb7a_ce20_11eb_82ca_003048fd731b_a15553d9_602e_11ec_a20b_00259070b487138.jpeg"/><Relationship Id="rId139" Type="http://schemas.openxmlformats.org/officeDocument/2006/relationships/image" Target="../media/997aeb7c_ce20_11eb_82ca_003048fd731b_a15553da_602e_11ec_a20b_00259070b487139.jpeg"/><Relationship Id="rId140" Type="http://schemas.openxmlformats.org/officeDocument/2006/relationships/image" Target="../media/997aeb7e_ce20_11eb_82ca_003048fd731b_a15553db_602e_11ec_a20b_00259070b487140.jpeg"/><Relationship Id="rId141" Type="http://schemas.openxmlformats.org/officeDocument/2006/relationships/image" Target="../media/997aeb80_ce20_11eb_82ca_003048fd731b_a15553dc_602e_11ec_a20b_00259070b487141.jpeg"/><Relationship Id="rId142" Type="http://schemas.openxmlformats.org/officeDocument/2006/relationships/image" Target="../media/997aeb82_ce20_11eb_82ca_003048fd731b_a15553dd_602e_11ec_a20b_00259070b487142.jpeg"/><Relationship Id="rId143" Type="http://schemas.openxmlformats.org/officeDocument/2006/relationships/image" Target="../media/997aeb84_ce20_11eb_82ca_003048fd731b_a15553de_602e_11ec_a20b_00259070b487143.jpeg"/><Relationship Id="rId144" Type="http://schemas.openxmlformats.org/officeDocument/2006/relationships/image" Target="../media/997aeb86_ce20_11eb_82ca_003048fd731b_a15553df_602e_11ec_a20b_00259070b487144.jpeg"/><Relationship Id="rId145" Type="http://schemas.openxmlformats.org/officeDocument/2006/relationships/image" Target="../media/997aeb88_ce20_11eb_82ca_003048fd731b_a15553e0_602e_11ec_a20b_00259070b487145.jpeg"/><Relationship Id="rId146" Type="http://schemas.openxmlformats.org/officeDocument/2006/relationships/image" Target="../media/997aeb8a_ce20_11eb_82ca_003048fd731b_a15553e1_602e_11ec_a20b_00259070b487146.jpeg"/><Relationship Id="rId147" Type="http://schemas.openxmlformats.org/officeDocument/2006/relationships/image" Target="../media/997aeb8c_ce20_11eb_82ca_003048fd731b_a15553e2_602e_11ec_a20b_00259070b487147.jpeg"/><Relationship Id="rId148" Type="http://schemas.openxmlformats.org/officeDocument/2006/relationships/image" Target="../media/997aeb8e_ce20_11eb_82ca_003048fd731b_a15553e3_602e_11ec_a20b_00259070b487148.jpeg"/><Relationship Id="rId149" Type="http://schemas.openxmlformats.org/officeDocument/2006/relationships/image" Target="../media/29b1cba1_3e5b_11ec_836e_003048fd731b_a15553e4_602e_11ec_a20b_00259070b487149.jpeg"/><Relationship Id="rId150" Type="http://schemas.openxmlformats.org/officeDocument/2006/relationships/image" Target="../media/2a13dee4_55f9_11ec_a208_00259070b487_aaacbe30_602e_11ec_a20b_00259070b487150.jpeg"/><Relationship Id="rId151" Type="http://schemas.openxmlformats.org/officeDocument/2006/relationships/image" Target="../media/7ca27a77_9ced_11ed_a3c6_047c1617b143_5922163c_11fe_11ef_a5b8_047c1617b143151.jpeg"/><Relationship Id="rId152" Type="http://schemas.openxmlformats.org/officeDocument/2006/relationships/image" Target="../media/7ca27a79_9ced_11ed_a3c6_047c1617b143_5922163e_11fe_11ef_a5b8_047c1617b143152.jpeg"/><Relationship Id="rId153" Type="http://schemas.openxmlformats.org/officeDocument/2006/relationships/image" Target="../media/7ca27a7b_9ced_11ed_a3c6_047c1617b143_5922163d_11fe_11ef_a5b8_047c1617b143153.jpeg"/><Relationship Id="rId154" Type="http://schemas.openxmlformats.org/officeDocument/2006/relationships/image" Target="../media/7ca27a7d_9ced_11ed_a3c6_047c1617b143_5922163f_11fe_11ef_a5b8_047c1617b143154.jpeg"/><Relationship Id="rId155" Type="http://schemas.openxmlformats.org/officeDocument/2006/relationships/image" Target="../media/7ca27a7f_9ced_11ed_a3c6_047c1617b143_59221640_11fe_11ef_a5b8_047c1617b143155.jpeg"/><Relationship Id="rId156" Type="http://schemas.openxmlformats.org/officeDocument/2006/relationships/image" Target="../media/7ca27a81_9ced_11ed_a3c6_047c1617b143_59221641_11fe_11ef_a5b8_047c1617b143156.jpeg"/><Relationship Id="rId157" Type="http://schemas.openxmlformats.org/officeDocument/2006/relationships/image" Target="../media/0d5e411c_d31e_11ed_a411_047c1617b143_5922163a_11fe_11ef_a5b8_047c1617b143157.jpeg"/><Relationship Id="rId158" Type="http://schemas.openxmlformats.org/officeDocument/2006/relationships/image" Target="../media/e7a442dc_c2d4_11ee_a54c_047c1617b143_59221649_11fe_11ef_a5b8_047c1617b143158.jpeg"/><Relationship Id="rId159" Type="http://schemas.openxmlformats.org/officeDocument/2006/relationships/image" Target="../media/e7a442de_c2d4_11ee_a54c_047c1617b143_5922164b_11fe_11ef_a5b8_047c1617b143159.jpeg"/><Relationship Id="rId160" Type="http://schemas.openxmlformats.org/officeDocument/2006/relationships/image" Target="../media/e7a442e0_c2d4_11ee_a54c_047c1617b143_5922164d_11fe_11ef_a5b8_047c1617b143160.jpeg"/><Relationship Id="rId161" Type="http://schemas.openxmlformats.org/officeDocument/2006/relationships/image" Target="../media/e7a442e2_c2d4_11ee_a54c_047c1617b143_5922164f_11fe_11ef_a5b8_047c1617b143161.jpeg"/><Relationship Id="rId162" Type="http://schemas.openxmlformats.org/officeDocument/2006/relationships/image" Target="../media/a05f35b6_ce20_11eb_82ca_003048fd731b_5922166f_11fe_11ef_a5b8_047c1617b143162.jpeg"/><Relationship Id="rId163" Type="http://schemas.openxmlformats.org/officeDocument/2006/relationships/image" Target="../media/a05f35ba_ce20_11eb_82ca_003048fd731b_a15553f1_602e_11ec_a20b_00259070b487163.jpeg"/><Relationship Id="rId164" Type="http://schemas.openxmlformats.org/officeDocument/2006/relationships/image" Target="../media/a05f35c0_ce20_11eb_82ca_003048fd731b_59221668_11fe_11ef_a5b8_047c1617b143164.jpeg"/><Relationship Id="rId165" Type="http://schemas.openxmlformats.org/officeDocument/2006/relationships/image" Target="../media/a05f35c2_ce20_11eb_82ca_003048fd731b_5922166a_11fe_11ef_a5b8_047c1617b143165.jpeg"/><Relationship Id="rId166" Type="http://schemas.openxmlformats.org/officeDocument/2006/relationships/image" Target="../media/a05f35c4_ce20_11eb_82ca_003048fd731b_59221669_11fe_11ef_a5b8_047c1617b143166.jpeg"/><Relationship Id="rId167" Type="http://schemas.openxmlformats.org/officeDocument/2006/relationships/image" Target="../media/a05f35c6_ce20_11eb_82ca_003048fd731b_5922166c_11fe_11ef_a5b8_047c1617b143167.jpeg"/><Relationship Id="rId168" Type="http://schemas.openxmlformats.org/officeDocument/2006/relationships/image" Target="../media/29b1cba3_3e5b_11ec_836e_003048fd731b_59221664_11fe_11ef_a5b8_047c1617b143168.jpeg"/><Relationship Id="rId169" Type="http://schemas.openxmlformats.org/officeDocument/2006/relationships/image" Target="../media/29b1cba7_3e5b_11ec_836e_003048fd731b_59221663_11fe_11ef_a5b8_047c1617b143169.jpeg"/><Relationship Id="rId170" Type="http://schemas.openxmlformats.org/officeDocument/2006/relationships/image" Target="../media/29b1cbab_3e5b_11ec_836e_003048fd731b_59221666_11fe_11ef_a5b8_047c1617b143170.jpeg"/><Relationship Id="rId171" Type="http://schemas.openxmlformats.org/officeDocument/2006/relationships/image" Target="../media/29b1cbb1_3e5b_11ec_836e_003048fd731b_59221667_11fe_11ef_a5b8_047c1617b143171.jpeg"/><Relationship Id="rId172" Type="http://schemas.openxmlformats.org/officeDocument/2006/relationships/image" Target="../media/2a13deea_55f9_11ec_a208_00259070b487_5922166e_11fe_11ef_a5b8_047c1617b143172.jpeg"/><Relationship Id="rId173" Type="http://schemas.openxmlformats.org/officeDocument/2006/relationships/image" Target="../media/fc27c03f_aa62_11ec_a25d_00259070b487_59221665_11fe_11ef_a5b8_047c1617b143173.jpeg"/><Relationship Id="rId174" Type="http://schemas.openxmlformats.org/officeDocument/2006/relationships/image" Target="../media/fc27c041_aa62_11ec_a25d_00259070b487_5922166d_11fe_11ef_a5b8_047c1617b143174.jpeg"/><Relationship Id="rId175" Type="http://schemas.openxmlformats.org/officeDocument/2006/relationships/image" Target="../media/6652a15b_b63d_11ec_a26a_00259070b487_59221671_11fe_11ef_a5b8_047c1617b143175.jpeg"/><Relationship Id="rId176" Type="http://schemas.openxmlformats.org/officeDocument/2006/relationships/image" Target="../media/6652a159_b63d_11ec_a26a_00259070b487_5922166b_11fe_11ef_a5b8_047c1617b143176.jpeg"/><Relationship Id="rId177" Type="http://schemas.openxmlformats.org/officeDocument/2006/relationships/image" Target="../media/6652a15d_b63d_11ec_a26a_00259070b487_5922165d_11fe_11ef_a5b8_047c1617b143177.jpeg"/><Relationship Id="rId178" Type="http://schemas.openxmlformats.org/officeDocument/2006/relationships/image" Target="../media/6652a15f_b63d_11ec_a26a_00259070b487_59221672_11fe_11ef_a5b8_047c1617b143178.jpeg"/><Relationship Id="rId179" Type="http://schemas.openxmlformats.org/officeDocument/2006/relationships/image" Target="../media/7ca27a83_9ced_11ed_a3c6_047c1617b143_59221673_11fe_11ef_a5b8_047c1617b143179.jpeg"/><Relationship Id="rId180" Type="http://schemas.openxmlformats.org/officeDocument/2006/relationships/image" Target="../media/7ca27a85_9ced_11ed_a3c6_047c1617b143_59221675_11fe_11ef_a5b8_047c1617b143180.jpeg"/><Relationship Id="rId181" Type="http://schemas.openxmlformats.org/officeDocument/2006/relationships/image" Target="../media/7ca27a87_9ced_11ed_a3c6_047c1617b143_5922165b_11fe_11ef_a5b8_047c1617b143181.jpeg"/><Relationship Id="rId182" Type="http://schemas.openxmlformats.org/officeDocument/2006/relationships/image" Target="../media/ab08e9a1_3fea_11ee_a4a3_047c1617b143_5922165f_11fe_11ef_a5b8_047c1617b143182.jpeg"/><Relationship Id="rId183" Type="http://schemas.openxmlformats.org/officeDocument/2006/relationships/image" Target="../media/e7a442e4_c2d4_11ee_a54c_047c1617b143_59221670_11fe_11ef_a5b8_047c1617b143183.jpeg"/><Relationship Id="rId184" Type="http://schemas.openxmlformats.org/officeDocument/2006/relationships/image" Target="../media/ac8e5148_ce27_11ee_a55d_047c1617b143_59221661_11fe_11ef_a5b8_047c1617b143184.jpeg"/><Relationship Id="rId185" Type="http://schemas.openxmlformats.org/officeDocument/2006/relationships/image" Target="../media/fa4c10de_469b_11ef_a5fc_047c1617b143_21d4f5b7_793a_11f0_a79f_047c1617b143185.jpeg"/><Relationship Id="rId186" Type="http://schemas.openxmlformats.org/officeDocument/2006/relationships/image" Target="../media/fa4c10e8_469b_11ef_a5fc_047c1617b143_21d4f5b8_793a_11f0_a79f_047c1617b143186.jpeg"/><Relationship Id="rId187" Type="http://schemas.openxmlformats.org/officeDocument/2006/relationships/image" Target="../media/b2a63125_1e49_11ef_a5c8_047c1617b143_14e1e0c2_f93d_11ef_a6ea_047c1617b143187.jpeg"/><Relationship Id="rId188" Type="http://schemas.openxmlformats.org/officeDocument/2006/relationships/image" Target="../media/fa4c10ea_469b_11ef_a5fc_047c1617b143_14e1e0c3_f93d_11ef_a6ea_047c1617b143188.jpeg"/><Relationship Id="rId189" Type="http://schemas.openxmlformats.org/officeDocument/2006/relationships/image" Target="../media/9b80ee83_3234_11ee_a490_047c1617b143_59221654_11fe_11ef_a5b8_047c1617b143189.jpeg"/><Relationship Id="rId190" Type="http://schemas.openxmlformats.org/officeDocument/2006/relationships/image" Target="../media/0575d945_7822_11ee_a4ea_047c1617b143_59221651_11fe_11ef_a5b8_047c1617b143190.jpeg"/><Relationship Id="rId191" Type="http://schemas.openxmlformats.org/officeDocument/2006/relationships/image" Target="../media/0575d947_7822_11ee_a4ea_047c1617b143_59221658_11fe_11ef_a5b8_047c1617b143191.jpeg"/><Relationship Id="rId192" Type="http://schemas.openxmlformats.org/officeDocument/2006/relationships/image" Target="../media/8811366f_37d2_11ef_a5e9_047c1617b143_14e1e1b2_f93d_11ef_a6ea_047c1617b143192.jpeg"/><Relationship Id="rId193" Type="http://schemas.openxmlformats.org/officeDocument/2006/relationships/image" Target="../media/b44e42a8_245f_11f0_a725_047c1617b143_0a6f3a61_310d_11f1_a89b_047c1617b143193.jpeg"/><Relationship Id="rId194" Type="http://schemas.openxmlformats.org/officeDocument/2006/relationships/image" Target="../media/b44e42aa_245f_11f0_a725_047c1617b143_0a6f3a62_310d_11f1_a89b_047c1617b143194.jpeg"/><Relationship Id="rId195" Type="http://schemas.openxmlformats.org/officeDocument/2006/relationships/image" Target="../media/ae0ac930_cdfe_11eb_82ca_003048fd731b_5922168e_11fe_11ef_a5b8_047c1617b143195.jpeg"/><Relationship Id="rId196" Type="http://schemas.openxmlformats.org/officeDocument/2006/relationships/image" Target="../media/ae0ac932_cdfe_11eb_82ca_003048fd731b_59221690_11fe_11ef_a5b8_047c1617b143196.jpeg"/><Relationship Id="rId197" Type="http://schemas.openxmlformats.org/officeDocument/2006/relationships/image" Target="../media/acb0bedf_7c2b_11ec_a214_00259070b487_59221692_11fe_11ef_a5b8_047c1617b143197.jpeg"/><Relationship Id="rId198" Type="http://schemas.openxmlformats.org/officeDocument/2006/relationships/image" Target="../media/acb0bee1_7c2b_11ec_a214_00259070b487_59221694_11fe_11ef_a5b8_047c1617b143198.jpeg"/><Relationship Id="rId199" Type="http://schemas.openxmlformats.org/officeDocument/2006/relationships/image" Target="../media/acb0bee3_7c2b_11ec_a214_00259070b487_59221696_11fe_11ef_a5b8_047c1617b143199.jpeg"/><Relationship Id="rId200" Type="http://schemas.openxmlformats.org/officeDocument/2006/relationships/image" Target="../media/acb0bee5_7c2b_11ec_a214_00259070b487_59221698_11fe_11ef_a5b8_047c1617b143200.jpeg"/><Relationship Id="rId201" Type="http://schemas.openxmlformats.org/officeDocument/2006/relationships/image" Target="../media/acb0bee7_7c2b_11ec_a214_00259070b487_5922169a_11fe_11ef_a5b8_047c1617b143201.jpeg"/><Relationship Id="rId202" Type="http://schemas.openxmlformats.org/officeDocument/2006/relationships/image" Target="../media/acb0bee9_7c2b_11ec_a214_00259070b487_14e1e0c9_f93d_11ef_a6ea_047c1617b143202.jpeg"/><Relationship Id="rId203" Type="http://schemas.openxmlformats.org/officeDocument/2006/relationships/image" Target="../media/fc27c02b_aa62_11ec_a25d_00259070b487_5922169c_11fe_11ef_a5b8_047c1617b143203.jpeg"/><Relationship Id="rId204" Type="http://schemas.openxmlformats.org/officeDocument/2006/relationships/image" Target="../media/fa4c10e6_469b_11ef_a5fc_047c1617b143_a26f33fc_7c1e_11f0_a7a3_047c1617b143204.jpeg"/><Relationship Id="rId205" Type="http://schemas.openxmlformats.org/officeDocument/2006/relationships/image" Target="../media/ae0ac902_cdfe_11eb_82ca_003048fd731b_592216a0_11fe_11ef_a5b8_047c1617b143205.jpeg"/><Relationship Id="rId206" Type="http://schemas.openxmlformats.org/officeDocument/2006/relationships/image" Target="../media/ae0ac904_cdfe_11eb_82ca_003048fd731b_592216a2_11fe_11ef_a5b8_047c1617b143206.jpeg"/><Relationship Id="rId207" Type="http://schemas.openxmlformats.org/officeDocument/2006/relationships/image" Target="../media/ae0ac906_cdfe_11eb_82ca_003048fd731b_592216a6_11fe_11ef_a5b8_047c1617b143207.jpeg"/><Relationship Id="rId208" Type="http://schemas.openxmlformats.org/officeDocument/2006/relationships/image" Target="../media/ae0ac908_cdfe_11eb_82ca_003048fd731b_592216a8_11fe_11ef_a5b8_047c1617b143208.jpeg"/><Relationship Id="rId209" Type="http://schemas.openxmlformats.org/officeDocument/2006/relationships/image" Target="../media/ae0ac90a_cdfe_11eb_82ca_003048fd731b_592216ae_11fe_11ef_a5b8_047c1617b143209.jpeg"/><Relationship Id="rId210" Type="http://schemas.openxmlformats.org/officeDocument/2006/relationships/image" Target="../media/ae0ac914_cdfe_11eb_82ca_003048fd731b_592216cc_11fe_11ef_a5b8_047c1617b143210.jpeg"/><Relationship Id="rId211" Type="http://schemas.openxmlformats.org/officeDocument/2006/relationships/image" Target="../media/ae0ac922_cdfe_11eb_82ca_003048fd731b_592216b0_11fe_11ef_a5b8_047c1617b143211.jpeg"/><Relationship Id="rId212" Type="http://schemas.openxmlformats.org/officeDocument/2006/relationships/image" Target="../media/ae0ac924_cdfe_11eb_82ca_003048fd731b_592216b2_11fe_11ef_a5b8_047c1617b143212.jpeg"/><Relationship Id="rId213" Type="http://schemas.openxmlformats.org/officeDocument/2006/relationships/image" Target="../media/ae0ac926_cdfe_11eb_82ca_003048fd731b_592216b4_11fe_11ef_a5b8_047c1617b143213.jpeg"/><Relationship Id="rId214" Type="http://schemas.openxmlformats.org/officeDocument/2006/relationships/image" Target="../media/ae0ac928_cdfe_11eb_82ca_003048fd731b_592216b6_11fe_11ef_a5b8_047c1617b143214.jpeg"/><Relationship Id="rId215" Type="http://schemas.openxmlformats.org/officeDocument/2006/relationships/image" Target="../media/ae0ac92a_cdfe_11eb_82ca_003048fd731b_592216b8_11fe_11ef_a5b8_047c1617b143215.jpeg"/><Relationship Id="rId216" Type="http://schemas.openxmlformats.org/officeDocument/2006/relationships/image" Target="../media/ae0ac92c_cdfe_11eb_82ca_003048fd731b_592216ba_11fe_11ef_a5b8_047c1617b143216.jpeg"/><Relationship Id="rId217" Type="http://schemas.openxmlformats.org/officeDocument/2006/relationships/image" Target="../media/ae0ac92e_cdfe_11eb_82ca_003048fd731b_592216bc_11fe_11ef_a5b8_047c1617b143217.jpeg"/><Relationship Id="rId218" Type="http://schemas.openxmlformats.org/officeDocument/2006/relationships/image" Target="../media/997aeb58_ce20_11eb_82ca_003048fd731b_592216ce_11fe_11ef_a5b8_047c1617b143218.jpeg"/><Relationship Id="rId219" Type="http://schemas.openxmlformats.org/officeDocument/2006/relationships/image" Target="../media/997aeb5a_ce20_11eb_82ca_003048fd731b_592216d0_11fe_11ef_a5b8_047c1617b143219.jpeg"/><Relationship Id="rId220" Type="http://schemas.openxmlformats.org/officeDocument/2006/relationships/image" Target="../media/997aeb5c_ce20_11eb_82ca_003048fd731b_592216d2_11fe_11ef_a5b8_047c1617b143220.jpeg"/><Relationship Id="rId221" Type="http://schemas.openxmlformats.org/officeDocument/2006/relationships/image" Target="../media/997aeb5e_ce20_11eb_82ca_003048fd731b_62fcdd9d_11fe_11ef_a5b8_047c1617b143221.jpeg"/><Relationship Id="rId222" Type="http://schemas.openxmlformats.org/officeDocument/2006/relationships/image" Target="../media/997aeb68_ce20_11eb_82ca_003048fd731b_592216be_11fe_11ef_a5b8_047c1617b143222.jpeg"/><Relationship Id="rId223" Type="http://schemas.openxmlformats.org/officeDocument/2006/relationships/image" Target="../media/997aeb6a_ce20_11eb_82ca_003048fd731b_592216c0_11fe_11ef_a5b8_047c1617b143223.jpeg"/><Relationship Id="rId224" Type="http://schemas.openxmlformats.org/officeDocument/2006/relationships/image" Target="../media/997aeb6c_ce20_11eb_82ca_003048fd731b_592216c2_11fe_11ef_a5b8_047c1617b143224.jpeg"/><Relationship Id="rId225" Type="http://schemas.openxmlformats.org/officeDocument/2006/relationships/image" Target="../media/997aeb6e_ce20_11eb_82ca_003048fd731b_592216c4_11fe_11ef_a5b8_047c1617b143225.jpeg"/><Relationship Id="rId226" Type="http://schemas.openxmlformats.org/officeDocument/2006/relationships/image" Target="../media/2a13ded8_55f9_11ec_a208_00259070b487_592216aa_11fe_11ef_a5b8_047c1617b143226.jpeg"/><Relationship Id="rId227" Type="http://schemas.openxmlformats.org/officeDocument/2006/relationships/image" Target="../media/fc27c02d_aa62_11ec_a25d_00259070b487_592216c6_11fe_11ef_a5b8_047c1617b143227.jpeg"/><Relationship Id="rId228" Type="http://schemas.openxmlformats.org/officeDocument/2006/relationships/image" Target="../media/fc27c02f_aa62_11ec_a25d_00259070b487_592216c8_11fe_11ef_a5b8_047c1617b143228.jpeg"/><Relationship Id="rId229" Type="http://schemas.openxmlformats.org/officeDocument/2006/relationships/image" Target="../media/fc27c031_aa62_11ec_a25d_00259070b487_592216ca_11fe_11ef_a5b8_047c1617b143229.jpeg"/><Relationship Id="rId230" Type="http://schemas.openxmlformats.org/officeDocument/2006/relationships/image" Target="../media/adcdd9ab_05b7_11ee_a455_047c1617b143_5922169e_11fe_11ef_a5b8_047c1617b143230.jpeg"/><Relationship Id="rId231" Type="http://schemas.openxmlformats.org/officeDocument/2006/relationships/image" Target="../media/adcdd9ad_05b7_11ee_a455_047c1617b143_592216a4_11fe_11ef_a5b8_047c1617b143231.jpeg"/><Relationship Id="rId232" Type="http://schemas.openxmlformats.org/officeDocument/2006/relationships/image" Target="../media/adcdd9af_05b7_11ee_a455_047c1617b143_592216ac_11fe_11ef_a5b8_047c1617b143232.jpeg"/><Relationship Id="rId233" Type="http://schemas.openxmlformats.org/officeDocument/2006/relationships/image" Target="../media/fa4c10e0_469b_11ef_a5fc_047c1617b143_14e1e0c4_f93d_11ef_a6ea_047c1617b143233.jpeg"/><Relationship Id="rId234" Type="http://schemas.openxmlformats.org/officeDocument/2006/relationships/image" Target="../media/fa4c10e2_469b_11ef_a5fc_047c1617b143_14e1e0c6_f93d_11ef_a6ea_047c1617b143234.jpeg"/><Relationship Id="rId235" Type="http://schemas.openxmlformats.org/officeDocument/2006/relationships/image" Target="../media/fa4c10e4_469b_11ef_a5fc_047c1617b143_14e1e0c8_f93d_11ef_a6ea_047c1617b143235.jpeg"/><Relationship Id="rId236" Type="http://schemas.openxmlformats.org/officeDocument/2006/relationships/image" Target="../media/ae0ac90c_cdfe_11eb_82ca_003048fd731b_62fcdd9f_11fe_11ef_a5b8_047c1617b143236.jpeg"/><Relationship Id="rId237" Type="http://schemas.openxmlformats.org/officeDocument/2006/relationships/image" Target="../media/ae0ac90e_cdfe_11eb_82ca_003048fd731b_62fcdda1_11fe_11ef_a5b8_047c1617b143237.jpeg"/><Relationship Id="rId238" Type="http://schemas.openxmlformats.org/officeDocument/2006/relationships/image" Target="../media/ae0ac910_cdfe_11eb_82ca_003048fd731b_62fcdda3_11fe_11ef_a5b8_047c1617b143238.jpeg"/><Relationship Id="rId239" Type="http://schemas.openxmlformats.org/officeDocument/2006/relationships/image" Target="../media/ae0ac912_cdfe_11eb_82ca_003048fd731b_62fcdda5_11fe_11ef_a5b8_047c1617b143239.jpeg"/><Relationship Id="rId240" Type="http://schemas.openxmlformats.org/officeDocument/2006/relationships/image" Target="../media/ae0ac916_cdfe_11eb_82ca_003048fd731b_62fcddc1_11fe_11ef_a5b8_047c1617b143240.jpeg"/><Relationship Id="rId241" Type="http://schemas.openxmlformats.org/officeDocument/2006/relationships/image" Target="../media/ae0ac918_cdfe_11eb_82ca_003048fd731b_62fcddc3_11fe_11ef_a5b8_047c1617b143241.jpeg"/><Relationship Id="rId242" Type="http://schemas.openxmlformats.org/officeDocument/2006/relationships/image" Target="../media/ae0ac91a_cdfe_11eb_82ca_003048fd731b_62fcddc5_11fe_11ef_a5b8_047c1617b143242.jpeg"/><Relationship Id="rId243" Type="http://schemas.openxmlformats.org/officeDocument/2006/relationships/image" Target="../media/ae0ac91c_cdfe_11eb_82ca_003048fd731b_62fcddc7_11fe_11ef_a5b8_047c1617b143243.jpeg"/><Relationship Id="rId244" Type="http://schemas.openxmlformats.org/officeDocument/2006/relationships/image" Target="../media/ae0ac91e_cdfe_11eb_82ca_003048fd731b_62fcddc9_11fe_11ef_a5b8_047c1617b143244.jpeg"/><Relationship Id="rId245" Type="http://schemas.openxmlformats.org/officeDocument/2006/relationships/image" Target="../media/ae0ac920_cdfe_11eb_82ca_003048fd731b_62fcddcb_11fe_11ef_a5b8_047c1617b143245.jpeg"/><Relationship Id="rId246" Type="http://schemas.openxmlformats.org/officeDocument/2006/relationships/image" Target="../media/ae0ac934_cdfe_11eb_82ca_003048fd731b_62fcdda9_11fe_11ef_a5b8_047c1617b143246.jpeg"/><Relationship Id="rId247" Type="http://schemas.openxmlformats.org/officeDocument/2006/relationships/image" Target="../media/ae0ac936_cdfe_11eb_82ca_003048fd731b_62fcddab_11fe_11ef_a5b8_047c1617b143247.jpeg"/><Relationship Id="rId248" Type="http://schemas.openxmlformats.org/officeDocument/2006/relationships/image" Target="../media/ae0ac938_cdfe_11eb_82ca_003048fd731b_62fcddad_11fe_11ef_a5b8_047c1617b143248.jpeg"/><Relationship Id="rId249" Type="http://schemas.openxmlformats.org/officeDocument/2006/relationships/image" Target="../media/ae0ac93a_cdfe_11eb_82ca_003048fd731b_62fcddaf_11fe_11ef_a5b8_047c1617b143249.jpeg"/><Relationship Id="rId250" Type="http://schemas.openxmlformats.org/officeDocument/2006/relationships/image" Target="../media/997aeb54_ce20_11eb_82ca_003048fd731b_62fcddb1_11fe_11ef_a5b8_047c1617b143250.jpeg"/><Relationship Id="rId251" Type="http://schemas.openxmlformats.org/officeDocument/2006/relationships/image" Target="../media/997aeb56_ce20_11eb_82ca_003048fd731b_62fcddb3_11fe_11ef_a5b8_047c1617b143251.jpeg"/><Relationship Id="rId252" Type="http://schemas.openxmlformats.org/officeDocument/2006/relationships/image" Target="../media/997aeb60_ce20_11eb_82ca_003048fd731b_62fcddd7_11fe_11ef_a5b8_047c1617b143252.jpeg"/><Relationship Id="rId253" Type="http://schemas.openxmlformats.org/officeDocument/2006/relationships/image" Target="../media/997aeb62_ce20_11eb_82ca_003048fd731b_62fcddd9_11fe_11ef_a5b8_047c1617b143253.jpeg"/><Relationship Id="rId254" Type="http://schemas.openxmlformats.org/officeDocument/2006/relationships/image" Target="../media/997aeb64_ce20_11eb_82ca_003048fd731b_62fcdddb_11fe_11ef_a5b8_047c1617b143254.jpeg"/><Relationship Id="rId255" Type="http://schemas.openxmlformats.org/officeDocument/2006/relationships/image" Target="../media/997aeb66_ce20_11eb_82ca_003048fd731b_62fcdddd_11fe_11ef_a5b8_047c1617b143255.jpeg"/><Relationship Id="rId256" Type="http://schemas.openxmlformats.org/officeDocument/2006/relationships/image" Target="../media/997aeb70_ce20_11eb_82ca_003048fd731b_62fcddb5_11fe_11ef_a5b8_047c1617b143256.jpeg"/><Relationship Id="rId257" Type="http://schemas.openxmlformats.org/officeDocument/2006/relationships/image" Target="../media/997aeb72_ce20_11eb_82ca_003048fd731b_62fcddb7_11fe_11ef_a5b8_047c1617b143257.jpeg"/><Relationship Id="rId258" Type="http://schemas.openxmlformats.org/officeDocument/2006/relationships/image" Target="../media/997aeb74_ce20_11eb_82ca_003048fd731b_62fcddbb_11fe_11ef_a5b8_047c1617b143258.jpeg"/><Relationship Id="rId259" Type="http://schemas.openxmlformats.org/officeDocument/2006/relationships/image" Target="../media/997aeb76_ce20_11eb_82ca_003048fd731b_62fcddbd_11fe_11ef_a5b8_047c1617b143259.jpeg"/><Relationship Id="rId260" Type="http://schemas.openxmlformats.org/officeDocument/2006/relationships/image" Target="../media/2a13deda_55f9_11ec_a208_00259070b487_62fcdda7_11fe_11ef_a5b8_047c1617b143260.jpeg"/><Relationship Id="rId261" Type="http://schemas.openxmlformats.org/officeDocument/2006/relationships/image" Target="../media/2a13dedc_55f9_11ec_a208_00259070b487_62fcdde0_11fe_11ef_a5b8_047c1617b143261.jpeg"/><Relationship Id="rId262" Type="http://schemas.openxmlformats.org/officeDocument/2006/relationships/image" Target="../media/2a13dede_55f9_11ec_a208_00259070b487_62fcdde1_11fe_11ef_a5b8_047c1617b143262.jpeg"/><Relationship Id="rId263" Type="http://schemas.openxmlformats.org/officeDocument/2006/relationships/image" Target="../media/2a13dee0_55f9_11ec_a208_00259070b487_62fcdde2_11fe_11ef_a5b8_047c1617b143263.jpeg"/><Relationship Id="rId264" Type="http://schemas.openxmlformats.org/officeDocument/2006/relationships/image" Target="../media/2a13dee2_55f9_11ec_a208_00259070b487_62fcddb9_11fe_11ef_a5b8_047c1617b143264.jpeg"/><Relationship Id="rId265" Type="http://schemas.openxmlformats.org/officeDocument/2006/relationships/image" Target="../media/acb0beeb_7c2b_11ec_a214_00259070b487_62fcdddf_11fe_11ef_a5b8_047c1617b143265.jpeg"/><Relationship Id="rId266" Type="http://schemas.openxmlformats.org/officeDocument/2006/relationships/image" Target="../media/acb0beed_7c2b_11ec_a214_00259070b487_62fcdde3_11fe_11ef_a5b8_047c1617b143266.jpeg"/><Relationship Id="rId267" Type="http://schemas.openxmlformats.org/officeDocument/2006/relationships/image" Target="../media/fc27c033_aa62_11ec_a25d_00259070b487_62fcddbf_11fe_11ef_a5b8_047c1617b143267.jpeg"/><Relationship Id="rId268" Type="http://schemas.openxmlformats.org/officeDocument/2006/relationships/image" Target="../media/fc27c035_aa62_11ec_a25d_00259070b487_62fcddcd_11fe_11ef_a5b8_047c1617b143268.jpeg"/><Relationship Id="rId269" Type="http://schemas.openxmlformats.org/officeDocument/2006/relationships/image" Target="../media/fc27c037_aa62_11ec_a25d_00259070b487_62fcddcf_11fe_11ef_a5b8_047c1617b143269.jpeg"/><Relationship Id="rId270" Type="http://schemas.openxmlformats.org/officeDocument/2006/relationships/image" Target="../media/fc27c039_aa62_11ec_a25d_00259070b487_62fcddd1_11fe_11ef_a5b8_047c1617b143270.jpeg"/><Relationship Id="rId271" Type="http://schemas.openxmlformats.org/officeDocument/2006/relationships/image" Target="../media/fc27c03b_aa62_11ec_a25d_00259070b487_62fcddd3_11fe_11ef_a5b8_047c1617b143271.jpeg"/><Relationship Id="rId272" Type="http://schemas.openxmlformats.org/officeDocument/2006/relationships/image" Target="../media/fc27c03d_aa62_11ec_a25d_00259070b487_62fcddd5_11fe_11ef_a5b8_047c1617b143272.jpeg"/><Relationship Id="rId273" Type="http://schemas.openxmlformats.org/officeDocument/2006/relationships/image" Target="../media/e825a7fa_3767_11ea_810f_003048fd731b_8229595e_3773_11ea_810f_003048fd731b273.jpeg"/><Relationship Id="rId274" Type="http://schemas.openxmlformats.org/officeDocument/2006/relationships/image" Target="../media/45f5927a_4009_11ec_8370_003048fd731b_d92286a8_f1db_11ef_a6e1_047c1617b143274.jpeg"/><Relationship Id="rId275" Type="http://schemas.openxmlformats.org/officeDocument/2006/relationships/image" Target="../media/997aeb90_ce20_11eb_82ca_003048fd731b_a1555423_602e_11ec_a20b_00259070b487275.jpeg"/><Relationship Id="rId276" Type="http://schemas.openxmlformats.org/officeDocument/2006/relationships/image" Target="../media/997aeb92_ce20_11eb_82ca_003048fd731b_a1555424_602e_11ec_a20b_00259070b487276.jpeg"/><Relationship Id="rId277" Type="http://schemas.openxmlformats.org/officeDocument/2006/relationships/image" Target="../media/a05f35b4_ce20_11eb_82ca_003048fd731b_a1555425_602e_11ec_a20b_00259070b487277.jpeg"/><Relationship Id="rId278" Type="http://schemas.openxmlformats.org/officeDocument/2006/relationships/image" Target="../media/a05f35b8_ce20_11eb_82ca_003048fd731b_a1555426_602e_11ec_a20b_00259070b487278.jpeg"/><Relationship Id="rId279" Type="http://schemas.openxmlformats.org/officeDocument/2006/relationships/image" Target="../media/a05f35bc_ce20_11eb_82ca_003048fd731b_a1555427_602e_11ec_a20b_00259070b487279.jpeg"/><Relationship Id="rId280" Type="http://schemas.openxmlformats.org/officeDocument/2006/relationships/image" Target="../media/a05f35be_ce20_11eb_82ca_003048fd731b_a1555428_602e_11ec_a20b_00259070b487280.jpeg"/><Relationship Id="rId281" Type="http://schemas.openxmlformats.org/officeDocument/2006/relationships/image" Target="../media/a05f35c8_ce20_11eb_82ca_003048fd731b_a1555429_602e_11ec_a20b_00259070b487281.jpeg"/><Relationship Id="rId282" Type="http://schemas.openxmlformats.org/officeDocument/2006/relationships/image" Target="../media/a05f35ca_ce20_11eb_82ca_003048fd731b_a155542a_602e_11ec_a20b_00259070b487282.jpeg"/><Relationship Id="rId283" Type="http://schemas.openxmlformats.org/officeDocument/2006/relationships/image" Target="../media/29b1cba5_3e5b_11ec_836e_003048fd731b_a155542b_602e_11ec_a20b_00259070b487283.jpeg"/><Relationship Id="rId284" Type="http://schemas.openxmlformats.org/officeDocument/2006/relationships/image" Target="../media/29b1cba9_3e5b_11ec_836e_003048fd731b_a155542c_602e_11ec_a20b_00259070b487284.jpeg"/><Relationship Id="rId285" Type="http://schemas.openxmlformats.org/officeDocument/2006/relationships/image" Target="../media/29b1cbaf_3e5b_11ec_836e_003048fd731b_a155542d_602e_11ec_a20b_00259070b487285.jpeg"/><Relationship Id="rId286" Type="http://schemas.openxmlformats.org/officeDocument/2006/relationships/image" Target="../media/2a13dee6_55f9_11ec_a208_00259070b487_aaacbe31_602e_11ec_a20b_00259070b487286.jpeg"/><Relationship Id="rId287" Type="http://schemas.openxmlformats.org/officeDocument/2006/relationships/image" Target="../media/2a13dee8_55f9_11ec_a208_00259070b487_aaacbe32_602e_11ec_a20b_00259070b487287.jpeg"/><Relationship Id="rId288" Type="http://schemas.openxmlformats.org/officeDocument/2006/relationships/image" Target="../media/fc27c043_aa62_11ec_a25d_00259070b487_59221688_11fe_11ef_a5b8_047c1617b143288.jpeg"/><Relationship Id="rId289" Type="http://schemas.openxmlformats.org/officeDocument/2006/relationships/image" Target="../media/fc27c045_aa62_11ec_a25d_00259070b487_5922168a_11fe_11ef_a5b8_047c1617b143289.jpeg"/><Relationship Id="rId290" Type="http://schemas.openxmlformats.org/officeDocument/2006/relationships/image" Target="../media/ab08e99d_3fea_11ee_a4a3_047c1617b143_5922168c_11fe_11ef_a5b8_047c1617b143290.jpeg"/><Relationship Id="rId291" Type="http://schemas.openxmlformats.org/officeDocument/2006/relationships/image" Target="../media/ab08e99f_3fea_11ee_a4a3_047c1617b143_5922168d_11fe_11ef_a5b8_047c1617b143291.jpeg"/><Relationship Id="rId292" Type="http://schemas.openxmlformats.org/officeDocument/2006/relationships/image" Target="../media/e825a802_3767_11ea_810f_003048fd731b_5922167a_11fe_11ef_a5b8_047c1617b143292.png"/><Relationship Id="rId293" Type="http://schemas.openxmlformats.org/officeDocument/2006/relationships/image" Target="../media/e825a804_3767_11ea_810f_003048fd731b_5922167e_11fe_11ef_a5b8_047c1617b143293.png"/><Relationship Id="rId294" Type="http://schemas.openxmlformats.org/officeDocument/2006/relationships/image" Target="../media/e825a806_3767_11ea_810f_003048fd731b_eed7e2e1_3767_11ea_810f_003048fd731b294.jpeg"/><Relationship Id="rId295" Type="http://schemas.openxmlformats.org/officeDocument/2006/relationships/image" Target="../media/e825a808_3767_11ea_810f_003048fd731b_59221678_11fe_11ef_a5b8_047c1617b143295.png"/><Relationship Id="rId296" Type="http://schemas.openxmlformats.org/officeDocument/2006/relationships/image" Target="../media/6563d0c9_1094_11ec_8327_003048fd731b_a155542e_602e_11ec_a20b_00259070b487296.jpeg"/><Relationship Id="rId297" Type="http://schemas.openxmlformats.org/officeDocument/2006/relationships/image" Target="../media/29b1cbad_3e5b_11ec_836e_003048fd731b_59221684_11fe_11ef_a5b8_047c1617b143297.jpeg"/><Relationship Id="rId298" Type="http://schemas.openxmlformats.org/officeDocument/2006/relationships/image" Target="../media/29b1cbb3_3e5b_11ec_836e_003048fd731b_59221687_11fe_11ef_a5b8_047c1617b143298.jpeg"/><Relationship Id="rId299" Type="http://schemas.openxmlformats.org/officeDocument/2006/relationships/image" Target="../media/29b1cbb5_3e5b_11ec_836e_003048fd731b_59221686_11fe_11ef_a5b8_047c1617b143299.jpeg"/><Relationship Id="rId300" Type="http://schemas.openxmlformats.org/officeDocument/2006/relationships/image" Target="../media/9e5408b6_9114_11ed_a3b7_047c1617b143_59221682_11fe_11ef_a5b8_047c1617b143300.jpeg"/><Relationship Id="rId301" Type="http://schemas.openxmlformats.org/officeDocument/2006/relationships/image" Target="../media/19176330_f3c8_11eb_82ff_003048fd731b_59221642_11fe_11ef_a5b8_047c1617b143301.jpeg"/><Relationship Id="rId302" Type="http://schemas.openxmlformats.org/officeDocument/2006/relationships/image" Target="../media/19176336_f3c8_11eb_82ff_003048fd731b_59221645_11fe_11ef_a5b8_047c1617b143302.png"/><Relationship Id="rId303" Type="http://schemas.openxmlformats.org/officeDocument/2006/relationships/image" Target="../media/85dc95f8_9062_11ed_a3b6_047c1617b143_59221643_11fe_11ef_a5b8_047c1617b143303.jpeg"/><Relationship Id="rId304" Type="http://schemas.openxmlformats.org/officeDocument/2006/relationships/image" Target="../media/85dc95fa_9062_11ed_a3b6_047c1617b143_a26f33fa_7c1e_11f0_a7a3_047c1617b143304.jpeg"/><Relationship Id="rId305" Type="http://schemas.openxmlformats.org/officeDocument/2006/relationships/image" Target="../media/aff82a98_1073_11ee_a463_047c1617b143_64c8bb9c_5a46_11f0_a775_047c1617b143305.jpeg"/><Relationship Id="rId306" Type="http://schemas.openxmlformats.org/officeDocument/2006/relationships/image" Target="../media/1f13c460_37d2_11ef_a5e9_047c1617b143_64c8bb9d_5a46_11f0_a775_047c1617b143306.jpeg"/><Relationship Id="rId307" Type="http://schemas.openxmlformats.org/officeDocument/2006/relationships/image" Target="../media/1f13c462_37d2_11ef_a5e9_047c1617b143_a26f33f9_7c1e_11f0_a7a3_047c1617b143307.jpeg"/><Relationship Id="rId308" Type="http://schemas.openxmlformats.org/officeDocument/2006/relationships/image" Target="../media/9476d33a_40b1_11f0_a74b_047c1617b143_83eb96bd_5d58_11f0_a779_047c1617b143308.jpeg"/><Relationship Id="rId309" Type="http://schemas.openxmlformats.org/officeDocument/2006/relationships/image" Target="../media/9476d33c_40b1_11f0_a74b_047c1617b143_83eb96c1_5d58_11f0_a779_047c1617b143309.jpeg"/><Relationship Id="rId310" Type="http://schemas.openxmlformats.org/officeDocument/2006/relationships/image" Target="../media/9476d33e_40b1_11f0_a74b_047c1617b143_83eb96c5_5d58_11f0_a779_047c1617b143310.jpeg"/><Relationship Id="rId311" Type="http://schemas.openxmlformats.org/officeDocument/2006/relationships/image" Target="../media/21a39ba1_019d_11ef_a5a2_047c1617b143_ae66e602_3fbb_11ef_a5f3_047c1617b143311.jpeg"/><Relationship Id="rId312" Type="http://schemas.openxmlformats.org/officeDocument/2006/relationships/image" Target="../media/8ae373d6_8239_11ed_a3a0_047c1617b143_62fcddf5_11fe_11ef_a5b8_047c1617b143312.png"/><Relationship Id="rId313" Type="http://schemas.openxmlformats.org/officeDocument/2006/relationships/image" Target="../media/77fc5a45_86a6_11e9_8101_003048fd731b_62fcdde8_11fe_11ef_a5b8_047c1617b143313.jpeg"/><Relationship Id="rId314" Type="http://schemas.openxmlformats.org/officeDocument/2006/relationships/image" Target="../media/77fc5a47_86a6_11e9_8101_003048fd731b_62fcdde4_11fe_11ef_a5b8_047c1617b143314.jpeg"/><Relationship Id="rId315" Type="http://schemas.openxmlformats.org/officeDocument/2006/relationships/image" Target="../media/bde62654_091f_11eb_81b8_003048fd731b_62fcddec_11fe_11ef_a5b8_047c1617b143315.png"/><Relationship Id="rId316" Type="http://schemas.openxmlformats.org/officeDocument/2006/relationships/image" Target="../media/bde62656_091f_11eb_81b8_003048fd731b_a043d914_14ec_11eb_81c7_003048fd731b316.png"/><Relationship Id="rId317" Type="http://schemas.openxmlformats.org/officeDocument/2006/relationships/image" Target="../media/f0931114_0c72_11ec_8321_003048fd731b_62fcdded_11fe_11ef_a5b8_047c1617b143317.png"/><Relationship Id="rId318" Type="http://schemas.openxmlformats.org/officeDocument/2006/relationships/image" Target="../media/3e8472e0_afd7_11ef_a68d_047c1617b143_d92286ac_f1db_11ef_a6e1_047c1617b143318.jpeg"/><Relationship Id="rId319" Type="http://schemas.openxmlformats.org/officeDocument/2006/relationships/image" Target="../media/f72d372b_5f8f_11eb_822d_003048fd731b_62fcddf1_11fe_11ef_a5b8_047c1617b143319.jpeg"/><Relationship Id="rId320" Type="http://schemas.openxmlformats.org/officeDocument/2006/relationships/image" Target="../media/be281c94_f776_11ee_a595_047c1617b143_14e1e114_f93d_11ef_a6ea_047c1617b143320.jpeg"/><Relationship Id="rId321" Type="http://schemas.openxmlformats.org/officeDocument/2006/relationships/image" Target="../media/9e5408bc_9114_11ed_a3b7_047c1617b143_59221623_11fe_11ef_a5b8_047c1617b143321.jpeg"/><Relationship Id="rId322" Type="http://schemas.openxmlformats.org/officeDocument/2006/relationships/image" Target="../media/5a6d7b17_847d_11ef_a64e_047c1617b143_1b5db385_f93d_11ef_a6ea_047c1617b143322.jpeg"/><Relationship Id="rId323" Type="http://schemas.openxmlformats.org/officeDocument/2006/relationships/image" Target="../media/5a6d7b19_847d_11ef_a64e_047c1617b143_1b5db386_f93d_11ef_a6ea_047c1617b143323.jpeg"/><Relationship Id="rId324" Type="http://schemas.openxmlformats.org/officeDocument/2006/relationships/image" Target="../media/9182bdfe_eeb6_11ef_a6dd_047c1617b143_a26f33fb_7c1e_11f0_a7a3_047c1617b14332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6" name="Image_43" descr="Image_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5" name="Image_54" descr="Image_54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6" name="Image_55" descr="Image_5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7" name="Image_56" descr="Image_5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8" name="Image_57" descr="Image_5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9" name="Image_58" descr="Image_58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0" name="Image_59" descr="Image_59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1" name="Image_60" descr="Image_60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2" name="Image_61" descr="Image_6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3" name="Image_63" descr="Image_63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4" name="Image_64" descr="Image_64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5" name="Image_65" descr="Image_65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6" name="Image_66" descr="Image_66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7" name="Image_67" descr="Image_67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8" name="Image_68" descr="Image_68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9" name="Image_71" descr="Image_71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0" name="Image_72" descr="Image_72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1" name="Image_73" descr="Image_73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2" name="Image_74" descr="Image_74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3" name="Image_75" descr="Image_75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4" name="Image_76" descr="Image_76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5" name="Image_78" descr="Image_78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6" name="Image_79" descr="Image_79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7" name="Image_80" descr="Image_80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8" name="Image_81" descr="Image_81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69" name="Image_82" descr="Image_82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0" name="Image_83" descr="Image_83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1" name="Image_84" descr="Image_84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2" name="Image_85" descr="Image_85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3" name="Image_86" descr="Image_86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4" name="Image_87" descr="Image_87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5" name="Image_88" descr="Image_88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6" name="Image_89" descr="Image_89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7" name="Image_90" descr="Image_90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8" name="Image_91" descr="Image_91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9" name="Image_92" descr="Image_92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0" name="Image_93" descr="Image_93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1" name="Image_94" descr="Image_94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2" name="Image_95" descr="Image_95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3" name="Image_97" descr="Image_97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4" name="Image_98" descr="Image_98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5" name="Image_99" descr="Image_9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6" name="Image_100" descr="Image_100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7" name="Image_101" descr="Image_101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8" name="Image_102" descr="Image_10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9" name="Image_103" descr="Image_103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0" name="Image_104" descr="Image_104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1" name="Image_105" descr="Image_105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2" name="Image_106" descr="Image_106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3" name="Image_107" descr="Image_107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4" name="Image_108" descr="Image_108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5" name="Image_109" descr="Image_109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6" name="Image_110" descr="Image_110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7" name="Image_112" descr="Image_112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8" name="Image_113" descr="Image_113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9" name="Image_114" descr="Image_114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0" name="Image_115" descr="Image_115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1" name="Image_116" descr="Image_116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2" name="Image_117" descr="Image_117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3" name="Image_118" descr="Image_118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4" name="Image_119" descr="Image_119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5" name="Image_120" descr="Image_120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6" name="Image_121" descr="Image_121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7" name="Image_122" descr="Image_122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8" name="Image_123" descr="Image_123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9" name="Image_124" descr="Image_124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0" name="Image_125" descr="Image_125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1" name="Image_126" descr="Image_126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2" name="Image_127" descr="Image_127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3" name="Image_128" descr="Image_128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4" name="Image_129" descr="Image_129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5" name="Image_130" descr="Image_130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6" name="Image_131" descr="Image_131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7" name="Image_132" descr="Image_132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8" name="Image_133" descr="Image_133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9" name="Image_134" descr="Image_134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0" name="Image_138" descr="Image_138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1" name="Image_139" descr="Image_139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2" name="Image_140" descr="Image_140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3" name="Image_141" descr="Image_141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4" name="Image_142" descr="Image_142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5" name="Image_143" descr="Image_143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6" name="Image_145" descr="Image_145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27" name="Image_146" descr="Image_146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28" name="Image_147" descr="Image_147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29" name="Image_148" descr="Image_148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0" name="Image_149" descr="Image_149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1" name="Image_150" descr="Image_150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2" name="Image_151" descr="Image_151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3" name="Image_152" descr="Image_152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4" name="Image_153" descr="Image_153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35" name="Image_163" descr="Image_163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36" name="Image_164" descr="Image_164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37" name="Image_165" descr="Image_165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38" name="Image_166" descr="Image_166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39" name="Image_167" descr="Image_167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0" name="Image_168" descr="Image_168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41" name="Image_169" descr="Image_169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42" name="Image_170" descr="Image_170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43" name="Image_171" descr="Image_171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44" name="Image_172" descr="Image_172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45" name="Image_173" descr="Image_173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46" name="Image_174" descr="Image_174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47" name="Image_175" descr="Image_175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48" name="Image_176" descr="Image_176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49" name="Image_177" descr="Image_177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0" name="Image_178" descr="Image_178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51" name="Image_179" descr="Image_179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52" name="Image_180" descr="Image_180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53" name="Image_181" descr="Image_181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54" name="Image_182" descr="Image_182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55" name="Image_183" descr="Image_183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56" name="Image_184" descr="Image_184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57" name="Image_185" descr="Image_185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58" name="Image_186" descr="Image_186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59" name="Image_187" descr="Image_187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60" name="Image_188" descr="Image_188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61" name="Image_189" descr="Image_189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62" name="Image_192" descr="Image_192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63" name="Image_193" descr="Image_193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64" name="Image_194" descr="Image_194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65" name="Image_195" descr="Image_195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66" name="Image_196" descr="Image_196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67" name="Image_197" descr="Image_197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68" name="Image_198" descr="Image_198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69" name="Image_199" descr="Image_199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70" name="Image_200" descr="Image_200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71" name="Image_201" descr="Image_201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72" name="Image_202" descr="Image_202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73" name="Image_203" descr="Image_203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74" name="Image_204" descr="Image_204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75" name="Image_205" descr="Image_205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76" name="Image_206" descr="Image_206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77" name="Image_207" descr="Image_207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78" name="Image_208" descr="Image_208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79" name="Image_209" descr="Image_209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80" name="Image_210" descr="Image_210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81" name="Image_211" descr="Image_211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82" name="Image_212" descr="Image_212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83" name="Image_213" descr="Image_213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84" name="Image_214" descr="Image_214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85" name="Image_215" descr="Image_215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86" name="Image_216" descr="Image_216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87" name="Image_217" descr="Image_217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88" name="Image_218" descr="Image_218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89" name="Image_220" descr="Image_220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90" name="Image_221" descr="Image_221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191" name="Image_222" descr="Image_222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192" name="Image_223" descr="Image_223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193" name="Image_224" descr="Image_224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194" name="Image_225" descr="Image_225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195" name="Image_230" descr="Image_230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196" name="Image_231" descr="Image_231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197" name="Image_232" descr="Image_232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198" name="Image_233" descr="Image_233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199" name="Image_234" descr="Image_234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00" name="Image_235" descr="Image_235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01" name="Image_236" descr="Image_236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02" name="Image_237" descr="Image_237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03" name="Image_238" descr="Image_238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04" name="Image_239" descr="Image_239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05" name="Image_241" descr="Image_241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06" name="Image_242" descr="Image_242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07" name="Image_243" descr="Image_243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08" name="Image_244" descr="Image_244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09" name="Image_245" descr="Image_245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10" name="Image_246" descr="Image_246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11" name="Image_247" descr="Image_247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12" name="Image_248" descr="Image_248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13" name="Image_249" descr="Image_249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14" name="Image_250" descr="Image_250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15" name="Image_251" descr="Image_251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16" name="Image_252" descr="Image_252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17" name="Image_253" descr="Image_253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18" name="Image_254" descr="Image_254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19" name="Image_255" descr="Image_255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20" name="Image_256" descr="Image_256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21" name="Image_257" descr="Image_257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22" name="Image_258" descr="Image_258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23" name="Image_259" descr="Image_259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24" name="Image_260" descr="Image_260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25" name="Image_261" descr="Image_261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26" name="Image_262" descr="Image_262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27" name="Image_263" descr="Image_263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28" name="Image_264" descr="Image_264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29" name="Image_265" descr="Image_265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30" name="Image_266" descr="Image_266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31" name="Image_267" descr="Image_267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32" name="Image_268" descr="Image_268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33" name="Image_269" descr="Image_269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34" name="Image_270" descr="Image_270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35" name="Image_271" descr="Image_271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36" name="Image_273" descr="Image_273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37" name="Image_274" descr="Image_274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38" name="Image_275" descr="Image_275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39" name="Image_276" descr="Image_276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40" name="Image_277" descr="Image_277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41" name="Image_278" descr="Image_278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42" name="Image_279" descr="Image_279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43" name="Image_280" descr="Image_280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44" name="Image_281" descr="Image_281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45" name="Image_282" descr="Image_282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46" name="Image_283" descr="Image_283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47" name="Image_284" descr="Image_284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48" name="Image_285" descr="Image_285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49" name="Image_286" descr="Image_286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50" name="Image_287" descr="Image_287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51" name="Image_288" descr="Image_288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52" name="Image_289" descr="Image_289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53" name="Image_290" descr="Image_290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54" name="Image_291" descr="Image_291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55" name="Image_292" descr="Image_292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56" name="Image_293" descr="Image_293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57" name="Image_294" descr="Image_294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58" name="Image_295" descr="Image_295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59" name="Image_296" descr="Image_296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60" name="Image_297" descr="Image_297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61" name="Image_298" descr="Image_298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62" name="Image_299" descr="Image_299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63" name="Image_300" descr="Image_300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64" name="Image_301" descr="Image_301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65" name="Image_302" descr="Image_302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66" name="Image_303" descr="Image_303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67" name="Image_304" descr="Image_304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68" name="Image_305" descr="Image_305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69" name="Image_306" descr="Image_306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70" name="Image_307" descr="Image_307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71" name="Image_308" descr="Image_308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72" name="Image_309" descr="Image_309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273" name="Image_312" descr="Image_312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274" name="Image_313" descr="Image_313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275" name="Image_314" descr="Image_314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276" name="Image_315" descr="Image_315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277" name="Image_316" descr="Image_316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278" name="Image_317" descr="Image_317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279" name="Image_318" descr="Image_318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280" name="Image_319" descr="Image_319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281" name="Image_320" descr="Image_320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282" name="Image_321" descr="Image_321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283" name="Image_322" descr="Image_322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284" name="Image_323" descr="Image_323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285" name="Image_324" descr="Image_324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286" name="Image_325" descr="Image_325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287" name="Image_326" descr="Image_326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288" name="Image_327" descr="Image_327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289" name="Image_328" descr="Image_328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290" name="Image_329" descr="Image_329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291" name="Image_330" descr="Image_330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292" name="Image_333" descr="Image_333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293" name="Image_334" descr="Image_334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447800"/>
    <xdr:pic>
      <xdr:nvPicPr>
        <xdr:cNvPr id="294" name="Image_335" descr="Image_335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295" name="Image_336" descr="Image_336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296" name="Image_338" descr="Image_338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297" name="Image_339" descr="Image_339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298" name="Image_340" descr="Image_340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299" name="Image_341" descr="Image_341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00" name="Image_342" descr="Image_342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01" name="Image_345" descr="Image_345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02" name="Image_346" descr="Image_346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03" name="Image_347" descr="Image_347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04" name="Image_348" descr="Image_348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05" name="Image_349" descr="Image_349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06" name="Image_350" descr="Image_350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07" name="Image_351" descr="Image_351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08" name="Image_353" descr="Image_353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09" name="Image_354" descr="Image_354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10" name="Image_355" descr="Image_355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11" name="Image_357" descr="Image_357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12" name="Image_358" descr="Image_358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13" name="Image_360" descr="Image_360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14" name="Image_361" descr="Image_361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15" name="Image_363" descr="Image_363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16" name="Image_364" descr="Image_364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17" name="Image_365" descr="Image_365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18" name="Image_366" descr="Image_366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19" name="Image_367" descr="Image_367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20" name="Image_369" descr="Image_369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21" name="Image_370" descr="Image_370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22" name="Image_372" descr="Image_372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23" name="Image_373" descr="Image_373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24" name="Image_374" descr="Image_374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7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SUM(J2:J374)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822224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3</v>
      </c>
      <c r="H5" s="2" t="s">
        <v>17</v>
      </c>
      <c r="I5" s="1">
        <v>0</v>
      </c>
      <c r="J5" s="3" t="s">
        <v>18</v>
      </c>
      <c r="K5" s="2" t="str">
        <f>J5*3989.00</f>
        <v>0</v>
      </c>
      <c r="L5" s="5"/>
    </row>
    <row r="6" spans="1:12" customHeight="1" ht="105" outlineLevel="4">
      <c r="A6" s="1"/>
      <c r="B6" s="1">
        <v>822225</v>
      </c>
      <c r="C6" s="1" t="s">
        <v>19</v>
      </c>
      <c r="D6" s="1" t="s">
        <v>20</v>
      </c>
      <c r="E6" s="2" t="s">
        <v>21</v>
      </c>
      <c r="F6" s="2" t="s">
        <v>16</v>
      </c>
      <c r="G6" s="2" t="s">
        <v>22</v>
      </c>
      <c r="H6" s="2" t="s">
        <v>23</v>
      </c>
      <c r="I6" s="1">
        <v>0</v>
      </c>
      <c r="J6" s="3" t="s">
        <v>18</v>
      </c>
      <c r="K6" s="2" t="str">
        <f>J6*3989.00</f>
        <v>0</v>
      </c>
      <c r="L6" s="5"/>
    </row>
    <row r="7" spans="1:12" customHeight="1" ht="105" outlineLevel="4">
      <c r="A7" s="1"/>
      <c r="B7" s="1">
        <v>822226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6</v>
      </c>
      <c r="H7" s="2" t="s">
        <v>23</v>
      </c>
      <c r="I7" s="1">
        <v>0</v>
      </c>
      <c r="J7" s="3" t="s">
        <v>18</v>
      </c>
      <c r="K7" s="2" t="str">
        <f>J7*4311.00</f>
        <v>0</v>
      </c>
      <c r="L7" s="5"/>
    </row>
    <row r="8" spans="1:12" customHeight="1" ht="105" outlineLevel="4">
      <c r="A8" s="1"/>
      <c r="B8" s="1">
        <v>822227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0</v>
      </c>
      <c r="H8" s="2">
        <v>0</v>
      </c>
      <c r="I8" s="1">
        <v>0</v>
      </c>
      <c r="J8" s="3" t="s">
        <v>18</v>
      </c>
      <c r="K8" s="2" t="str">
        <f>J8*8117.00</f>
        <v>0</v>
      </c>
      <c r="L8" s="5"/>
    </row>
    <row r="9" spans="1:12" customHeight="1" ht="105" outlineLevel="4">
      <c r="A9" s="1"/>
      <c r="B9" s="1">
        <v>822228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1</v>
      </c>
      <c r="H9" s="2">
        <v>0</v>
      </c>
      <c r="I9" s="1">
        <v>0</v>
      </c>
      <c r="J9" s="3" t="s">
        <v>18</v>
      </c>
      <c r="K9" s="2" t="str">
        <f>J9*8286.00</f>
        <v>0</v>
      </c>
      <c r="L9" s="5"/>
    </row>
    <row r="10" spans="1:12" customHeight="1" ht="105" outlineLevel="4">
      <c r="A10" s="1"/>
      <c r="B10" s="1">
        <v>822229</v>
      </c>
      <c r="C10" s="1" t="s">
        <v>36</v>
      </c>
      <c r="D10" s="1" t="s">
        <v>37</v>
      </c>
      <c r="E10" s="2" t="s">
        <v>38</v>
      </c>
      <c r="F10" s="2" t="s">
        <v>39</v>
      </c>
      <c r="G10" s="2" t="s">
        <v>22</v>
      </c>
      <c r="H10" s="2" t="s">
        <v>23</v>
      </c>
      <c r="I10" s="1">
        <v>0</v>
      </c>
      <c r="J10" s="3" t="s">
        <v>18</v>
      </c>
      <c r="K10" s="2" t="str">
        <f>J10*4186.00</f>
        <v>0</v>
      </c>
      <c r="L10" s="5"/>
    </row>
    <row r="11" spans="1:12" customHeight="1" ht="105" outlineLevel="4">
      <c r="A11" s="1"/>
      <c r="B11" s="1">
        <v>822230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8</v>
      </c>
      <c r="H11" s="2">
        <v>0</v>
      </c>
      <c r="I11" s="1">
        <v>0</v>
      </c>
      <c r="J11" s="3" t="s">
        <v>18</v>
      </c>
      <c r="K11" s="2" t="str">
        <f>J11*8077.00</f>
        <v>0</v>
      </c>
      <c r="L11" s="5"/>
    </row>
    <row r="12" spans="1:12" customHeight="1" ht="105" outlineLevel="4">
      <c r="A12" s="1"/>
      <c r="B12" s="1">
        <v>822231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4</v>
      </c>
      <c r="H12" s="2" t="s">
        <v>23</v>
      </c>
      <c r="I12" s="1">
        <v>0</v>
      </c>
      <c r="J12" s="3" t="s">
        <v>18</v>
      </c>
      <c r="K12" s="2" t="str">
        <f>J12*4301.00</f>
        <v>0</v>
      </c>
      <c r="L12" s="5"/>
    </row>
    <row r="13" spans="1:12" customHeight="1" ht="105" outlineLevel="4">
      <c r="A13" s="1"/>
      <c r="B13" s="1">
        <v>822232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7</v>
      </c>
      <c r="H13" s="2" t="s">
        <v>17</v>
      </c>
      <c r="I13" s="1">
        <v>0</v>
      </c>
      <c r="J13" s="3" t="s">
        <v>18</v>
      </c>
      <c r="K13" s="2" t="str">
        <f>J13*4498.00</f>
        <v>0</v>
      </c>
      <c r="L13" s="5"/>
    </row>
    <row r="14" spans="1:12" customHeight="1" ht="105" outlineLevel="4">
      <c r="A14" s="1"/>
      <c r="B14" s="1">
        <v>822233</v>
      </c>
      <c r="C14" s="1" t="s">
        <v>52</v>
      </c>
      <c r="D14" s="1" t="s">
        <v>53</v>
      </c>
      <c r="E14" s="2" t="s">
        <v>54</v>
      </c>
      <c r="F14" s="2" t="s">
        <v>55</v>
      </c>
      <c r="G14" s="2" t="s">
        <v>22</v>
      </c>
      <c r="H14" s="2">
        <v>0</v>
      </c>
      <c r="I14" s="1">
        <v>0</v>
      </c>
      <c r="J14" s="3" t="s">
        <v>18</v>
      </c>
      <c r="K14" s="2" t="str">
        <f>J14*8456.00</f>
        <v>0</v>
      </c>
      <c r="L14" s="5"/>
    </row>
    <row r="15" spans="1:12" customHeight="1" ht="105" outlineLevel="4">
      <c r="A15" s="1"/>
      <c r="B15" s="1">
        <v>822236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1</v>
      </c>
      <c r="H15" s="2" t="s">
        <v>17</v>
      </c>
      <c r="I15" s="1">
        <v>0</v>
      </c>
      <c r="J15" s="3" t="s">
        <v>18</v>
      </c>
      <c r="K15" s="2" t="str">
        <f>J15*6037.00</f>
        <v>0</v>
      </c>
      <c r="L15" s="5"/>
    </row>
    <row r="16" spans="1:12" outlineLevel="2">
      <c r="A16" s="8" t="s">
        <v>60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5"/>
    </row>
    <row r="17" spans="1:12" customHeight="1" ht="105" outlineLevel="4">
      <c r="A17" s="1"/>
      <c r="B17" s="1">
        <v>837111</v>
      </c>
      <c r="C17" s="1" t="s">
        <v>61</v>
      </c>
      <c r="D17" s="1" t="s">
        <v>62</v>
      </c>
      <c r="E17" s="2" t="s">
        <v>63</v>
      </c>
      <c r="F17" s="2" t="s">
        <v>64</v>
      </c>
      <c r="G17" s="2">
        <v>-1</v>
      </c>
      <c r="H17" s="2">
        <v>0</v>
      </c>
      <c r="I17" s="1">
        <v>2</v>
      </c>
      <c r="J17" s="3" t="s">
        <v>18</v>
      </c>
      <c r="K17" s="2" t="str">
        <f>J17*7045.71</f>
        <v>0</v>
      </c>
      <c r="L17" s="5"/>
    </row>
    <row r="18" spans="1:12" customHeight="1" ht="105" outlineLevel="4">
      <c r="A18" s="1"/>
      <c r="B18" s="1">
        <v>837112</v>
      </c>
      <c r="C18" s="1" t="s">
        <v>65</v>
      </c>
      <c r="D18" s="1" t="s">
        <v>66</v>
      </c>
      <c r="E18" s="2" t="s">
        <v>63</v>
      </c>
      <c r="F18" s="2" t="s">
        <v>67</v>
      </c>
      <c r="G18" s="2">
        <v>-3</v>
      </c>
      <c r="H18" s="2">
        <v>0</v>
      </c>
      <c r="I18" s="1">
        <v>5</v>
      </c>
      <c r="J18" s="3" t="s">
        <v>18</v>
      </c>
      <c r="K18" s="2" t="str">
        <f>J18*7042.77</f>
        <v>0</v>
      </c>
      <c r="L18" s="5"/>
    </row>
    <row r="19" spans="1:12" customHeight="1" ht="105" outlineLevel="4">
      <c r="A19" s="1"/>
      <c r="B19" s="1">
        <v>837113</v>
      </c>
      <c r="C19" s="1" t="s">
        <v>68</v>
      </c>
      <c r="D19" s="1" t="s">
        <v>69</v>
      </c>
      <c r="E19" s="2" t="s">
        <v>63</v>
      </c>
      <c r="F19" s="2" t="s">
        <v>70</v>
      </c>
      <c r="G19" s="2">
        <v>3</v>
      </c>
      <c r="H19" s="2">
        <v>0</v>
      </c>
      <c r="I19" s="1">
        <v>0</v>
      </c>
      <c r="J19" s="3" t="s">
        <v>18</v>
      </c>
      <c r="K19" s="2" t="str">
        <f>J19*8112.93</f>
        <v>0</v>
      </c>
      <c r="L19" s="5"/>
    </row>
    <row r="20" spans="1:12" customHeight="1" ht="105" outlineLevel="4">
      <c r="A20" s="1"/>
      <c r="B20" s="1">
        <v>954805</v>
      </c>
      <c r="C20" s="1" t="s">
        <v>71</v>
      </c>
      <c r="D20" s="1" t="s">
        <v>72</v>
      </c>
      <c r="E20" s="2" t="s">
        <v>73</v>
      </c>
      <c r="F20" s="2" t="s">
        <v>74</v>
      </c>
      <c r="G20" s="2">
        <v>4</v>
      </c>
      <c r="H20" s="2">
        <v>0</v>
      </c>
      <c r="I20" s="1">
        <v>0</v>
      </c>
      <c r="J20" s="3" t="s">
        <v>18</v>
      </c>
      <c r="K20" s="2" t="str">
        <f>J20*8677.41</f>
        <v>0</v>
      </c>
      <c r="L20" s="5"/>
    </row>
    <row r="21" spans="1:12" customHeight="1" ht="105" outlineLevel="4">
      <c r="A21" s="1"/>
      <c r="B21" s="1">
        <v>954806</v>
      </c>
      <c r="C21" s="1" t="s">
        <v>75</v>
      </c>
      <c r="D21" s="1" t="s">
        <v>76</v>
      </c>
      <c r="E21" s="2" t="s">
        <v>77</v>
      </c>
      <c r="F21" s="2" t="s">
        <v>78</v>
      </c>
      <c r="G21" s="2">
        <v>3</v>
      </c>
      <c r="H21" s="2">
        <v>0</v>
      </c>
      <c r="I21" s="1">
        <v>0</v>
      </c>
      <c r="J21" s="3" t="s">
        <v>18</v>
      </c>
      <c r="K21" s="2" t="str">
        <f>J21*8994.93</f>
        <v>0</v>
      </c>
      <c r="L21" s="5"/>
    </row>
    <row r="22" spans="1:12" customHeight="1" ht="105" outlineLevel="4">
      <c r="A22" s="1"/>
      <c r="B22" s="1">
        <v>954807</v>
      </c>
      <c r="C22" s="1" t="s">
        <v>79</v>
      </c>
      <c r="D22" s="1" t="s">
        <v>80</v>
      </c>
      <c r="E22" s="2" t="s">
        <v>77</v>
      </c>
      <c r="F22" s="2" t="s">
        <v>81</v>
      </c>
      <c r="G22" s="2">
        <v>3</v>
      </c>
      <c r="H22" s="2">
        <v>0</v>
      </c>
      <c r="I22" s="1">
        <v>0</v>
      </c>
      <c r="J22" s="3" t="s">
        <v>18</v>
      </c>
      <c r="K22" s="2" t="str">
        <f>J22*9162.51</f>
        <v>0</v>
      </c>
      <c r="L22" s="5"/>
    </row>
    <row r="23" spans="1:12" customHeight="1" ht="105" outlineLevel="4">
      <c r="A23" s="1"/>
      <c r="B23" s="1">
        <v>954808</v>
      </c>
      <c r="C23" s="1" t="s">
        <v>82</v>
      </c>
      <c r="D23" s="1" t="s">
        <v>83</v>
      </c>
      <c r="E23" s="2" t="s">
        <v>77</v>
      </c>
      <c r="F23" s="2" t="s">
        <v>81</v>
      </c>
      <c r="G23" s="2">
        <v>0</v>
      </c>
      <c r="H23" s="2">
        <v>0</v>
      </c>
      <c r="I23" s="1">
        <v>0</v>
      </c>
      <c r="J23" s="3" t="s">
        <v>18</v>
      </c>
      <c r="K23" s="2" t="str">
        <f>J23*9162.51</f>
        <v>0</v>
      </c>
      <c r="L23" s="5"/>
    </row>
    <row r="24" spans="1:12" outlineLevel="2">
      <c r="A24" s="8" t="s">
        <v>84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5"/>
    </row>
    <row r="25" spans="1:12" customHeight="1" ht="105" outlineLevel="4">
      <c r="A25" s="1"/>
      <c r="B25" s="1">
        <v>834464</v>
      </c>
      <c r="C25" s="1" t="s">
        <v>85</v>
      </c>
      <c r="D25" s="1" t="s">
        <v>86</v>
      </c>
      <c r="E25" s="2" t="s">
        <v>87</v>
      </c>
      <c r="F25" s="2" t="s">
        <v>88</v>
      </c>
      <c r="G25" s="2">
        <v>4</v>
      </c>
      <c r="H25" s="2">
        <v>0</v>
      </c>
      <c r="I25" s="1">
        <v>0</v>
      </c>
      <c r="J25" s="3" t="s">
        <v>18</v>
      </c>
      <c r="K25" s="2" t="str">
        <f>J25*3289.57</f>
        <v>0</v>
      </c>
      <c r="L25" s="5"/>
    </row>
    <row r="26" spans="1:12" customHeight="1" ht="105" outlineLevel="4">
      <c r="A26" s="1"/>
      <c r="B26" s="1">
        <v>834465</v>
      </c>
      <c r="C26" s="1" t="s">
        <v>89</v>
      </c>
      <c r="D26" s="1" t="s">
        <v>90</v>
      </c>
      <c r="E26" s="2" t="s">
        <v>91</v>
      </c>
      <c r="F26" s="2" t="s">
        <v>92</v>
      </c>
      <c r="G26" s="2">
        <v>6</v>
      </c>
      <c r="H26" s="2">
        <v>0</v>
      </c>
      <c r="I26" s="1">
        <v>0</v>
      </c>
      <c r="J26" s="3" t="s">
        <v>18</v>
      </c>
      <c r="K26" s="2" t="str">
        <f>J26*3584.94</f>
        <v>0</v>
      </c>
      <c r="L26" s="5"/>
    </row>
    <row r="27" spans="1:12" customHeight="1" ht="105" outlineLevel="4">
      <c r="A27" s="1"/>
      <c r="B27" s="1">
        <v>834467</v>
      </c>
      <c r="C27" s="1" t="s">
        <v>93</v>
      </c>
      <c r="D27" s="1" t="s">
        <v>94</v>
      </c>
      <c r="E27" s="2" t="s">
        <v>95</v>
      </c>
      <c r="F27" s="2" t="s">
        <v>96</v>
      </c>
      <c r="G27" s="2">
        <v>3</v>
      </c>
      <c r="H27" s="2">
        <v>0</v>
      </c>
      <c r="I27" s="1">
        <v>0</v>
      </c>
      <c r="J27" s="3" t="s">
        <v>18</v>
      </c>
      <c r="K27" s="2" t="str">
        <f>J27*3563.30</f>
        <v>0</v>
      </c>
      <c r="L27" s="5"/>
    </row>
    <row r="28" spans="1:12" customHeight="1" ht="105" outlineLevel="4">
      <c r="A28" s="1"/>
      <c r="B28" s="1">
        <v>834468</v>
      </c>
      <c r="C28" s="1" t="s">
        <v>97</v>
      </c>
      <c r="D28" s="1" t="s">
        <v>98</v>
      </c>
      <c r="E28" s="2" t="s">
        <v>99</v>
      </c>
      <c r="F28" s="2" t="s">
        <v>100</v>
      </c>
      <c r="G28" s="2">
        <v>4</v>
      </c>
      <c r="H28" s="2">
        <v>0</v>
      </c>
      <c r="I28" s="1">
        <v>0</v>
      </c>
      <c r="J28" s="3" t="s">
        <v>18</v>
      </c>
      <c r="K28" s="2" t="str">
        <f>J28*3864.19</f>
        <v>0</v>
      </c>
      <c r="L28" s="5"/>
    </row>
    <row r="29" spans="1:12" customHeight="1" ht="105" outlineLevel="4">
      <c r="A29" s="1"/>
      <c r="B29" s="1">
        <v>835196</v>
      </c>
      <c r="C29" s="1" t="s">
        <v>101</v>
      </c>
      <c r="D29" s="1" t="s">
        <v>102</v>
      </c>
      <c r="E29" s="2" t="s">
        <v>103</v>
      </c>
      <c r="F29" s="2" t="s">
        <v>104</v>
      </c>
      <c r="G29" s="2">
        <v>1</v>
      </c>
      <c r="H29" s="2">
        <v>0</v>
      </c>
      <c r="I29" s="1">
        <v>0</v>
      </c>
      <c r="J29" s="3" t="s">
        <v>18</v>
      </c>
      <c r="K29" s="2" t="str">
        <f>J29*3534.17</f>
        <v>0</v>
      </c>
      <c r="L29" s="5"/>
    </row>
    <row r="30" spans="1:12" customHeight="1" ht="105" outlineLevel="4">
      <c r="A30" s="1"/>
      <c r="B30" s="1">
        <v>835197</v>
      </c>
      <c r="C30" s="1" t="s">
        <v>105</v>
      </c>
      <c r="D30" s="1" t="s">
        <v>106</v>
      </c>
      <c r="E30" s="2" t="s">
        <v>107</v>
      </c>
      <c r="F30" s="2" t="s">
        <v>108</v>
      </c>
      <c r="G30" s="2">
        <v>7</v>
      </c>
      <c r="H30" s="2">
        <v>0</v>
      </c>
      <c r="I30" s="1">
        <v>0</v>
      </c>
      <c r="J30" s="3" t="s">
        <v>18</v>
      </c>
      <c r="K30" s="2" t="str">
        <f>J30*3775.52</f>
        <v>0</v>
      </c>
      <c r="L30" s="5"/>
    </row>
    <row r="31" spans="1:12" customHeight="1" ht="105" outlineLevel="4">
      <c r="A31" s="1"/>
      <c r="B31" s="1">
        <v>885524</v>
      </c>
      <c r="C31" s="1" t="s">
        <v>109</v>
      </c>
      <c r="D31" s="1" t="s">
        <v>110</v>
      </c>
      <c r="E31" s="2" t="s">
        <v>87</v>
      </c>
      <c r="F31" s="2" t="s">
        <v>111</v>
      </c>
      <c r="G31" s="2" t="s">
        <v>22</v>
      </c>
      <c r="H31" s="2">
        <v>0</v>
      </c>
      <c r="I31" s="1">
        <v>0</v>
      </c>
      <c r="J31" s="3" t="s">
        <v>18</v>
      </c>
      <c r="K31" s="2" t="str">
        <f>J31*2517.24</f>
        <v>0</v>
      </c>
      <c r="L31" s="5"/>
    </row>
    <row r="32" spans="1:12" customHeight="1" ht="105" outlineLevel="4">
      <c r="A32" s="1"/>
      <c r="B32" s="1">
        <v>885525</v>
      </c>
      <c r="C32" s="1" t="s">
        <v>112</v>
      </c>
      <c r="D32" s="1" t="s">
        <v>113</v>
      </c>
      <c r="E32" s="2" t="s">
        <v>91</v>
      </c>
      <c r="F32" s="2" t="s">
        <v>114</v>
      </c>
      <c r="G32" s="2">
        <v>8</v>
      </c>
      <c r="H32" s="2">
        <v>0</v>
      </c>
      <c r="I32" s="1">
        <v>0</v>
      </c>
      <c r="J32" s="3" t="s">
        <v>18</v>
      </c>
      <c r="K32" s="2" t="str">
        <f>J32*2725.49</f>
        <v>0</v>
      </c>
      <c r="L32" s="5"/>
    </row>
    <row r="33" spans="1:12" outlineLevel="2">
      <c r="A33" s="8" t="s">
        <v>115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customHeight="1" ht="105" outlineLevel="4">
      <c r="A34" s="1"/>
      <c r="B34" s="1">
        <v>834505</v>
      </c>
      <c r="C34" s="1" t="s">
        <v>116</v>
      </c>
      <c r="D34" s="1" t="s">
        <v>117</v>
      </c>
      <c r="E34" s="2" t="s">
        <v>118</v>
      </c>
      <c r="F34" s="2" t="s">
        <v>119</v>
      </c>
      <c r="G34" s="2">
        <v>6</v>
      </c>
      <c r="H34" s="2">
        <v>0</v>
      </c>
      <c r="I34" s="1">
        <v>0</v>
      </c>
      <c r="J34" s="3" t="s">
        <v>18</v>
      </c>
      <c r="K34" s="2" t="str">
        <f>J34*4695.19</f>
        <v>0</v>
      </c>
      <c r="L34" s="5"/>
    </row>
    <row r="35" spans="1:12" customHeight="1" ht="105" outlineLevel="4">
      <c r="A35" s="1"/>
      <c r="B35" s="1">
        <v>834506</v>
      </c>
      <c r="C35" s="1" t="s">
        <v>120</v>
      </c>
      <c r="D35" s="1" t="s">
        <v>121</v>
      </c>
      <c r="E35" s="2" t="s">
        <v>122</v>
      </c>
      <c r="F35" s="2" t="s">
        <v>123</v>
      </c>
      <c r="G35" s="2">
        <v>6</v>
      </c>
      <c r="H35" s="2">
        <v>0</v>
      </c>
      <c r="I35" s="1">
        <v>0</v>
      </c>
      <c r="J35" s="3" t="s">
        <v>18</v>
      </c>
      <c r="K35" s="2" t="str">
        <f>J35*4225.67</f>
        <v>0</v>
      </c>
      <c r="L35" s="5"/>
    </row>
    <row r="36" spans="1:12" customHeight="1" ht="105" outlineLevel="4">
      <c r="A36" s="1"/>
      <c r="B36" s="1">
        <v>834507</v>
      </c>
      <c r="C36" s="1" t="s">
        <v>124</v>
      </c>
      <c r="D36" s="1" t="s">
        <v>125</v>
      </c>
      <c r="E36" s="2" t="s">
        <v>126</v>
      </c>
      <c r="F36" s="2" t="s">
        <v>127</v>
      </c>
      <c r="G36" s="2">
        <v>9</v>
      </c>
      <c r="H36" s="2">
        <v>0</v>
      </c>
      <c r="I36" s="1">
        <v>0</v>
      </c>
      <c r="J36" s="3" t="s">
        <v>18</v>
      </c>
      <c r="K36" s="2" t="str">
        <f>J36*4656.04</f>
        <v>0</v>
      </c>
      <c r="L36" s="5"/>
    </row>
    <row r="37" spans="1:12" customHeight="1" ht="105" outlineLevel="4">
      <c r="A37" s="1"/>
      <c r="B37" s="1">
        <v>834508</v>
      </c>
      <c r="C37" s="1" t="s">
        <v>128</v>
      </c>
      <c r="D37" s="1" t="s">
        <v>129</v>
      </c>
      <c r="E37" s="2" t="s">
        <v>130</v>
      </c>
      <c r="F37" s="2" t="s">
        <v>131</v>
      </c>
      <c r="G37" s="2" t="s">
        <v>22</v>
      </c>
      <c r="H37" s="2">
        <v>0</v>
      </c>
      <c r="I37" s="1">
        <v>0</v>
      </c>
      <c r="J37" s="3" t="s">
        <v>18</v>
      </c>
      <c r="K37" s="2" t="str">
        <f>J37*4887.70</f>
        <v>0</v>
      </c>
      <c r="L37" s="5"/>
    </row>
    <row r="38" spans="1:12" customHeight="1" ht="105" outlineLevel="4">
      <c r="A38" s="1"/>
      <c r="B38" s="1">
        <v>869370</v>
      </c>
      <c r="C38" s="1" t="s">
        <v>132</v>
      </c>
      <c r="D38" s="1" t="s">
        <v>133</v>
      </c>
      <c r="E38" s="2" t="s">
        <v>134</v>
      </c>
      <c r="F38" s="2" t="s">
        <v>135</v>
      </c>
      <c r="G38" s="2">
        <v>2</v>
      </c>
      <c r="H38" s="2">
        <v>0</v>
      </c>
      <c r="I38" s="1">
        <v>0</v>
      </c>
      <c r="J38" s="3" t="s">
        <v>18</v>
      </c>
      <c r="K38" s="2" t="str">
        <f>J38*8070.63</f>
        <v>0</v>
      </c>
      <c r="L38" s="5"/>
    </row>
    <row r="39" spans="1:12" customHeight="1" ht="105" outlineLevel="4">
      <c r="A39" s="1"/>
      <c r="B39" s="1">
        <v>869371</v>
      </c>
      <c r="C39" s="1" t="s">
        <v>136</v>
      </c>
      <c r="D39" s="1" t="s">
        <v>137</v>
      </c>
      <c r="E39" s="2" t="s">
        <v>138</v>
      </c>
      <c r="F39" s="2" t="s">
        <v>139</v>
      </c>
      <c r="G39" s="2">
        <v>0</v>
      </c>
      <c r="H39" s="2">
        <v>0</v>
      </c>
      <c r="I39" s="1">
        <v>0</v>
      </c>
      <c r="J39" s="3" t="s">
        <v>18</v>
      </c>
      <c r="K39" s="2" t="str">
        <f>J39*8586.66</f>
        <v>0</v>
      </c>
      <c r="L39" s="5"/>
    </row>
    <row r="40" spans="1:12" customHeight="1" ht="105" outlineLevel="4">
      <c r="A40" s="1"/>
      <c r="B40" s="1">
        <v>871588</v>
      </c>
      <c r="C40" s="1" t="s">
        <v>140</v>
      </c>
      <c r="D40" s="1" t="s">
        <v>141</v>
      </c>
      <c r="E40" s="2" t="s">
        <v>142</v>
      </c>
      <c r="F40" s="2" t="s">
        <v>143</v>
      </c>
      <c r="G40" s="2">
        <v>9</v>
      </c>
      <c r="H40" s="2">
        <v>0</v>
      </c>
      <c r="I40" s="1">
        <v>0</v>
      </c>
      <c r="J40" s="3" t="s">
        <v>18</v>
      </c>
      <c r="K40" s="2" t="str">
        <f>J40*5230.30</f>
        <v>0</v>
      </c>
      <c r="L40" s="5"/>
    </row>
    <row r="41" spans="1:12" customHeight="1" ht="105" outlineLevel="4">
      <c r="A41" s="1"/>
      <c r="B41" s="1">
        <v>877762</v>
      </c>
      <c r="C41" s="1" t="s">
        <v>144</v>
      </c>
      <c r="D41" s="1" t="s">
        <v>145</v>
      </c>
      <c r="E41" s="2" t="s">
        <v>146</v>
      </c>
      <c r="F41" s="2" t="s">
        <v>147</v>
      </c>
      <c r="G41" s="2">
        <v>1</v>
      </c>
      <c r="H41" s="2">
        <v>0</v>
      </c>
      <c r="I41" s="1">
        <v>0</v>
      </c>
      <c r="J41" s="3" t="s">
        <v>18</v>
      </c>
      <c r="K41" s="2" t="str">
        <f>J41*8376.69</f>
        <v>0</v>
      </c>
      <c r="L41" s="5"/>
    </row>
    <row r="42" spans="1:12" customHeight="1" ht="105" outlineLevel="4">
      <c r="A42" s="1"/>
      <c r="B42" s="1">
        <v>879335</v>
      </c>
      <c r="C42" s="1" t="s">
        <v>148</v>
      </c>
      <c r="D42" s="1" t="s">
        <v>149</v>
      </c>
      <c r="E42" s="2" t="s">
        <v>150</v>
      </c>
      <c r="F42" s="2" t="s">
        <v>151</v>
      </c>
      <c r="G42" s="2">
        <v>6</v>
      </c>
      <c r="H42" s="2">
        <v>0</v>
      </c>
      <c r="I42" s="1">
        <v>0</v>
      </c>
      <c r="J42" s="3" t="s">
        <v>18</v>
      </c>
      <c r="K42" s="2" t="str">
        <f>J42*4622.98</f>
        <v>0</v>
      </c>
      <c r="L42" s="5"/>
    </row>
    <row r="43" spans="1:12" customHeight="1" ht="105" outlineLevel="4">
      <c r="A43" s="1"/>
      <c r="B43" s="1">
        <v>879336</v>
      </c>
      <c r="C43" s="1" t="s">
        <v>152</v>
      </c>
      <c r="D43" s="1" t="s">
        <v>153</v>
      </c>
      <c r="E43" s="2" t="s">
        <v>154</v>
      </c>
      <c r="F43" s="2" t="s">
        <v>155</v>
      </c>
      <c r="G43" s="2" t="s">
        <v>22</v>
      </c>
      <c r="H43" s="2">
        <v>0</v>
      </c>
      <c r="I43" s="1">
        <v>0</v>
      </c>
      <c r="J43" s="3" t="s">
        <v>18</v>
      </c>
      <c r="K43" s="2" t="str">
        <f>J43*5001.90</f>
        <v>0</v>
      </c>
      <c r="L43" s="5"/>
    </row>
    <row r="44" spans="1:12" outlineLevel="2">
      <c r="A44" s="8" t="s">
        <v>156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5"/>
    </row>
    <row r="45" spans="1:12" customHeight="1" ht="105" outlineLevel="4">
      <c r="A45" s="1"/>
      <c r="B45" s="1">
        <v>879337</v>
      </c>
      <c r="C45" s="1" t="s">
        <v>157</v>
      </c>
      <c r="D45" s="1" t="s">
        <v>158</v>
      </c>
      <c r="E45" s="2" t="s">
        <v>159</v>
      </c>
      <c r="F45" s="2" t="s">
        <v>160</v>
      </c>
      <c r="G45" s="2">
        <v>0</v>
      </c>
      <c r="H45" s="2">
        <v>0</v>
      </c>
      <c r="I45" s="1">
        <v>0</v>
      </c>
      <c r="J45" s="3" t="s">
        <v>18</v>
      </c>
      <c r="K45" s="2" t="str">
        <f>J45*8905.67</f>
        <v>0</v>
      </c>
      <c r="L45" s="5"/>
    </row>
    <row r="46" spans="1:12" customHeight="1" ht="105" outlineLevel="4">
      <c r="A46" s="1"/>
      <c r="B46" s="1">
        <v>879338</v>
      </c>
      <c r="C46" s="1" t="s">
        <v>161</v>
      </c>
      <c r="D46" s="1" t="s">
        <v>162</v>
      </c>
      <c r="E46" s="2" t="s">
        <v>163</v>
      </c>
      <c r="F46" s="2" t="s">
        <v>164</v>
      </c>
      <c r="G46" s="2">
        <v>0</v>
      </c>
      <c r="H46" s="2">
        <v>0</v>
      </c>
      <c r="I46" s="1">
        <v>0</v>
      </c>
      <c r="J46" s="3" t="s">
        <v>18</v>
      </c>
      <c r="K46" s="2" t="str">
        <f>J46*16944.27</f>
        <v>0</v>
      </c>
      <c r="L46" s="5"/>
    </row>
    <row r="47" spans="1:12" customHeight="1" ht="105" outlineLevel="4">
      <c r="A47" s="1"/>
      <c r="B47" s="1">
        <v>879339</v>
      </c>
      <c r="C47" s="1" t="s">
        <v>165</v>
      </c>
      <c r="D47" s="1" t="s">
        <v>166</v>
      </c>
      <c r="E47" s="2" t="s">
        <v>167</v>
      </c>
      <c r="F47" s="2" t="s">
        <v>168</v>
      </c>
      <c r="G47" s="2">
        <v>1</v>
      </c>
      <c r="H47" s="2">
        <v>0</v>
      </c>
      <c r="I47" s="1">
        <v>0</v>
      </c>
      <c r="J47" s="3" t="s">
        <v>18</v>
      </c>
      <c r="K47" s="2" t="str">
        <f>J47*24906.42</f>
        <v>0</v>
      </c>
      <c r="L47" s="5"/>
    </row>
    <row r="48" spans="1:12" customHeight="1" ht="105" outlineLevel="4">
      <c r="A48" s="1"/>
      <c r="B48" s="1">
        <v>879340</v>
      </c>
      <c r="C48" s="1" t="s">
        <v>169</v>
      </c>
      <c r="D48" s="1" t="s">
        <v>170</v>
      </c>
      <c r="E48" s="2" t="s">
        <v>171</v>
      </c>
      <c r="F48" s="2" t="s">
        <v>172</v>
      </c>
      <c r="G48" s="2">
        <v>1</v>
      </c>
      <c r="H48" s="2">
        <v>0</v>
      </c>
      <c r="I48" s="1">
        <v>0</v>
      </c>
      <c r="J48" s="3" t="s">
        <v>18</v>
      </c>
      <c r="K48" s="2" t="str">
        <f>J48*25229.88</f>
        <v>0</v>
      </c>
      <c r="L48" s="5"/>
    </row>
    <row r="49" spans="1:12" customHeight="1" ht="105" outlineLevel="4">
      <c r="A49" s="1"/>
      <c r="B49" s="1">
        <v>879341</v>
      </c>
      <c r="C49" s="1" t="s">
        <v>173</v>
      </c>
      <c r="D49" s="1" t="s">
        <v>174</v>
      </c>
      <c r="E49" s="2" t="s">
        <v>175</v>
      </c>
      <c r="F49" s="2" t="s">
        <v>176</v>
      </c>
      <c r="G49" s="2">
        <v>0</v>
      </c>
      <c r="H49" s="2">
        <v>0</v>
      </c>
      <c r="I49" s="1">
        <v>0</v>
      </c>
      <c r="J49" s="3" t="s">
        <v>18</v>
      </c>
      <c r="K49" s="2" t="str">
        <f>J49*28995.58</f>
        <v>0</v>
      </c>
      <c r="L49" s="5"/>
    </row>
    <row r="50" spans="1:12" customHeight="1" ht="105" outlineLevel="4">
      <c r="A50" s="1"/>
      <c r="B50" s="1">
        <v>879342</v>
      </c>
      <c r="C50" s="1" t="s">
        <v>177</v>
      </c>
      <c r="D50" s="1" t="s">
        <v>178</v>
      </c>
      <c r="E50" s="2" t="s">
        <v>179</v>
      </c>
      <c r="F50" s="2" t="s">
        <v>180</v>
      </c>
      <c r="G50" s="2">
        <v>0</v>
      </c>
      <c r="H50" s="2">
        <v>0</v>
      </c>
      <c r="I50" s="1">
        <v>0</v>
      </c>
      <c r="J50" s="3" t="s">
        <v>18</v>
      </c>
      <c r="K50" s="2" t="str">
        <f>J50*32175.35</f>
        <v>0</v>
      </c>
      <c r="L50" s="5"/>
    </row>
    <row r="51" spans="1:12" customHeight="1" ht="105" outlineLevel="4">
      <c r="A51" s="1"/>
      <c r="B51" s="1">
        <v>883384</v>
      </c>
      <c r="C51" s="1" t="s">
        <v>181</v>
      </c>
      <c r="D51" s="1" t="s">
        <v>182</v>
      </c>
      <c r="E51" s="2" t="s">
        <v>183</v>
      </c>
      <c r="F51" s="2" t="s">
        <v>184</v>
      </c>
      <c r="G51" s="2">
        <v>1</v>
      </c>
      <c r="H51" s="2">
        <v>0</v>
      </c>
      <c r="I51" s="1">
        <v>0</v>
      </c>
      <c r="J51" s="3" t="s">
        <v>18</v>
      </c>
      <c r="K51" s="2" t="str">
        <f>J51*34384.48</f>
        <v>0</v>
      </c>
      <c r="L51" s="5"/>
    </row>
    <row r="52" spans="1:12" customHeight="1" ht="105" outlineLevel="4">
      <c r="A52" s="1"/>
      <c r="B52" s="1">
        <v>883385</v>
      </c>
      <c r="C52" s="1" t="s">
        <v>185</v>
      </c>
      <c r="D52" s="1" t="s">
        <v>186</v>
      </c>
      <c r="E52" s="2" t="s">
        <v>187</v>
      </c>
      <c r="F52" s="2" t="s">
        <v>188</v>
      </c>
      <c r="G52" s="2">
        <v>1</v>
      </c>
      <c r="H52" s="2">
        <v>0</v>
      </c>
      <c r="I52" s="1">
        <v>0</v>
      </c>
      <c r="J52" s="3" t="s">
        <v>18</v>
      </c>
      <c r="K52" s="2" t="str">
        <f>J52*38206.87</f>
        <v>0</v>
      </c>
      <c r="L52" s="5"/>
    </row>
    <row r="53" spans="1:12" outlineLevel="2">
      <c r="A53" s="8" t="s">
        <v>189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5"/>
    </row>
    <row r="54" spans="1:12" customHeight="1" ht="105" outlineLevel="4">
      <c r="A54" s="1"/>
      <c r="B54" s="1">
        <v>882944</v>
      </c>
      <c r="C54" s="1" t="s">
        <v>190</v>
      </c>
      <c r="D54" s="1"/>
      <c r="E54" s="2" t="s">
        <v>191</v>
      </c>
      <c r="F54" s="2" t="s">
        <v>192</v>
      </c>
      <c r="G54" s="2">
        <v>8</v>
      </c>
      <c r="H54" s="2">
        <v>0</v>
      </c>
      <c r="I54" s="1">
        <v>0</v>
      </c>
      <c r="J54" s="3" t="s">
        <v>18</v>
      </c>
      <c r="K54" s="2" t="str">
        <f>J54*7716.20</f>
        <v>0</v>
      </c>
      <c r="L54" s="5"/>
    </row>
    <row r="55" spans="1:12" customHeight="1" ht="105" outlineLevel="4">
      <c r="A55" s="1"/>
      <c r="B55" s="1">
        <v>882945</v>
      </c>
      <c r="C55" s="1" t="s">
        <v>193</v>
      </c>
      <c r="D55" s="1"/>
      <c r="E55" s="2" t="s">
        <v>194</v>
      </c>
      <c r="F55" s="2" t="s">
        <v>195</v>
      </c>
      <c r="G55" s="2">
        <v>3</v>
      </c>
      <c r="H55" s="2">
        <v>0</v>
      </c>
      <c r="I55" s="1">
        <v>0</v>
      </c>
      <c r="J55" s="3" t="s">
        <v>18</v>
      </c>
      <c r="K55" s="2" t="str">
        <f>J55*7957.43</f>
        <v>0</v>
      </c>
      <c r="L55" s="5"/>
    </row>
    <row r="56" spans="1:12" customHeight="1" ht="105" outlineLevel="4">
      <c r="A56" s="1"/>
      <c r="B56" s="1">
        <v>882946</v>
      </c>
      <c r="C56" s="1" t="s">
        <v>196</v>
      </c>
      <c r="D56" s="1"/>
      <c r="E56" s="2" t="s">
        <v>197</v>
      </c>
      <c r="F56" s="2" t="s">
        <v>198</v>
      </c>
      <c r="G56" s="2">
        <v>5</v>
      </c>
      <c r="H56" s="2">
        <v>0</v>
      </c>
      <c r="I56" s="1">
        <v>0</v>
      </c>
      <c r="J56" s="3" t="s">
        <v>18</v>
      </c>
      <c r="K56" s="2" t="str">
        <f>J56*7877.17</f>
        <v>0</v>
      </c>
      <c r="L56" s="5"/>
    </row>
    <row r="57" spans="1:12" customHeight="1" ht="105" outlineLevel="4">
      <c r="A57" s="1"/>
      <c r="B57" s="1">
        <v>882947</v>
      </c>
      <c r="C57" s="1" t="s">
        <v>199</v>
      </c>
      <c r="D57" s="1"/>
      <c r="E57" s="2" t="s">
        <v>200</v>
      </c>
      <c r="F57" s="2" t="s">
        <v>201</v>
      </c>
      <c r="G57" s="2">
        <v>5</v>
      </c>
      <c r="H57" s="2">
        <v>0</v>
      </c>
      <c r="I57" s="1">
        <v>0</v>
      </c>
      <c r="J57" s="3" t="s">
        <v>18</v>
      </c>
      <c r="K57" s="2" t="str">
        <f>J57*8198.42</f>
        <v>0</v>
      </c>
      <c r="L57" s="5"/>
    </row>
    <row r="58" spans="1:12" customHeight="1" ht="105" outlineLevel="4">
      <c r="A58" s="1"/>
      <c r="B58" s="1">
        <v>882948</v>
      </c>
      <c r="C58" s="1" t="s">
        <v>202</v>
      </c>
      <c r="D58" s="1"/>
      <c r="E58" s="2" t="s">
        <v>203</v>
      </c>
      <c r="F58" s="2" t="s">
        <v>204</v>
      </c>
      <c r="G58" s="2">
        <v>7</v>
      </c>
      <c r="H58" s="2">
        <v>0</v>
      </c>
      <c r="I58" s="1">
        <v>0</v>
      </c>
      <c r="J58" s="3" t="s">
        <v>18</v>
      </c>
      <c r="K58" s="2" t="str">
        <f>J58*12217.61</f>
        <v>0</v>
      </c>
      <c r="L58" s="5"/>
    </row>
    <row r="59" spans="1:12" customHeight="1" ht="105" outlineLevel="4">
      <c r="A59" s="1"/>
      <c r="B59" s="1">
        <v>882949</v>
      </c>
      <c r="C59" s="1" t="s">
        <v>205</v>
      </c>
      <c r="D59" s="1"/>
      <c r="E59" s="2" t="s">
        <v>206</v>
      </c>
      <c r="F59" s="2" t="s">
        <v>201</v>
      </c>
      <c r="G59" s="2">
        <v>4</v>
      </c>
      <c r="H59" s="2">
        <v>0</v>
      </c>
      <c r="I59" s="1">
        <v>0</v>
      </c>
      <c r="J59" s="3" t="s">
        <v>18</v>
      </c>
      <c r="K59" s="2" t="str">
        <f>J59*8198.42</f>
        <v>0</v>
      </c>
      <c r="L59" s="5"/>
    </row>
    <row r="60" spans="1:12" customHeight="1" ht="105" outlineLevel="4">
      <c r="A60" s="1"/>
      <c r="B60" s="1">
        <v>882950</v>
      </c>
      <c r="C60" s="1" t="s">
        <v>207</v>
      </c>
      <c r="D60" s="1"/>
      <c r="E60" s="2" t="s">
        <v>208</v>
      </c>
      <c r="F60" s="2" t="s">
        <v>209</v>
      </c>
      <c r="G60" s="2">
        <v>7</v>
      </c>
      <c r="H60" s="2">
        <v>0</v>
      </c>
      <c r="I60" s="1">
        <v>0</v>
      </c>
      <c r="J60" s="3" t="s">
        <v>18</v>
      </c>
      <c r="K60" s="2" t="str">
        <f>J60*8520.13</f>
        <v>0</v>
      </c>
      <c r="L60" s="5"/>
    </row>
    <row r="61" spans="1:12" customHeight="1" ht="105" outlineLevel="4">
      <c r="A61" s="1"/>
      <c r="B61" s="1">
        <v>882951</v>
      </c>
      <c r="C61" s="1" t="s">
        <v>210</v>
      </c>
      <c r="D61" s="1"/>
      <c r="E61" s="2" t="s">
        <v>211</v>
      </c>
      <c r="F61" s="2" t="s">
        <v>212</v>
      </c>
      <c r="G61" s="2">
        <v>6</v>
      </c>
      <c r="H61" s="2">
        <v>0</v>
      </c>
      <c r="I61" s="1">
        <v>0</v>
      </c>
      <c r="J61" s="3" t="s">
        <v>18</v>
      </c>
      <c r="K61" s="2" t="str">
        <f>J61*13101.79</f>
        <v>0</v>
      </c>
      <c r="L61" s="5"/>
    </row>
    <row r="62" spans="1:12" outlineLevel="2">
      <c r="A62" s="8" t="s">
        <v>213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5"/>
    </row>
    <row r="63" spans="1:12" customHeight="1" ht="105" outlineLevel="4">
      <c r="A63" s="1"/>
      <c r="B63" s="1">
        <v>890511</v>
      </c>
      <c r="C63" s="1" t="s">
        <v>214</v>
      </c>
      <c r="D63" s="1" t="s">
        <v>215</v>
      </c>
      <c r="E63" s="2" t="s">
        <v>216</v>
      </c>
      <c r="F63" s="2" t="s">
        <v>217</v>
      </c>
      <c r="G63" s="2">
        <v>8</v>
      </c>
      <c r="H63" s="2">
        <v>0</v>
      </c>
      <c r="I63" s="1">
        <v>0</v>
      </c>
      <c r="J63" s="3" t="s">
        <v>18</v>
      </c>
      <c r="K63" s="2" t="str">
        <f>J63*2399.04</f>
        <v>0</v>
      </c>
      <c r="L63" s="5"/>
    </row>
    <row r="64" spans="1:12" customHeight="1" ht="105" outlineLevel="4">
      <c r="A64" s="1"/>
      <c r="B64" s="1">
        <v>890512</v>
      </c>
      <c r="C64" s="1" t="s">
        <v>218</v>
      </c>
      <c r="D64" s="1" t="s">
        <v>219</v>
      </c>
      <c r="E64" s="2" t="s">
        <v>220</v>
      </c>
      <c r="F64" s="2" t="s">
        <v>221</v>
      </c>
      <c r="G64" s="2">
        <v>6</v>
      </c>
      <c r="H64" s="2">
        <v>0</v>
      </c>
      <c r="I64" s="1">
        <v>0</v>
      </c>
      <c r="J64" s="3" t="s">
        <v>18</v>
      </c>
      <c r="K64" s="2" t="str">
        <f>J64*2508.71</f>
        <v>0</v>
      </c>
      <c r="L64" s="5"/>
    </row>
    <row r="65" spans="1:12" customHeight="1" ht="105" outlineLevel="4">
      <c r="A65" s="1"/>
      <c r="B65" s="1">
        <v>890513</v>
      </c>
      <c r="C65" s="1" t="s">
        <v>222</v>
      </c>
      <c r="D65" s="1" t="s">
        <v>223</v>
      </c>
      <c r="E65" s="2" t="s">
        <v>224</v>
      </c>
      <c r="F65" s="2" t="s">
        <v>225</v>
      </c>
      <c r="G65" s="2">
        <v>4</v>
      </c>
      <c r="H65" s="2">
        <v>0</v>
      </c>
      <c r="I65" s="1">
        <v>0</v>
      </c>
      <c r="J65" s="3" t="s">
        <v>18</v>
      </c>
      <c r="K65" s="2" t="str">
        <f>J65*4600.07</f>
        <v>0</v>
      </c>
      <c r="L65" s="5"/>
    </row>
    <row r="66" spans="1:12" customHeight="1" ht="105" outlineLevel="4">
      <c r="A66" s="1"/>
      <c r="B66" s="1">
        <v>890514</v>
      </c>
      <c r="C66" s="1" t="s">
        <v>226</v>
      </c>
      <c r="D66" s="1" t="s">
        <v>227</v>
      </c>
      <c r="E66" s="2" t="s">
        <v>228</v>
      </c>
      <c r="F66" s="2" t="s">
        <v>229</v>
      </c>
      <c r="G66" s="2">
        <v>4</v>
      </c>
      <c r="H66" s="2">
        <v>0</v>
      </c>
      <c r="I66" s="1">
        <v>0</v>
      </c>
      <c r="J66" s="3" t="s">
        <v>18</v>
      </c>
      <c r="K66" s="2" t="str">
        <f>J66*2594.01</f>
        <v>0</v>
      </c>
      <c r="L66" s="5"/>
    </row>
    <row r="67" spans="1:12" customHeight="1" ht="105" outlineLevel="4">
      <c r="A67" s="1"/>
      <c r="B67" s="1">
        <v>890515</v>
      </c>
      <c r="C67" s="1" t="s">
        <v>230</v>
      </c>
      <c r="D67" s="1" t="s">
        <v>231</v>
      </c>
      <c r="E67" s="2" t="s">
        <v>232</v>
      </c>
      <c r="F67" s="2" t="s">
        <v>233</v>
      </c>
      <c r="G67" s="2">
        <v>5</v>
      </c>
      <c r="H67" s="2">
        <v>0</v>
      </c>
      <c r="I67" s="1">
        <v>0</v>
      </c>
      <c r="J67" s="3" t="s">
        <v>18</v>
      </c>
      <c r="K67" s="2" t="str">
        <f>J67*2689.96</f>
        <v>0</v>
      </c>
      <c r="L67" s="5"/>
    </row>
    <row r="68" spans="1:12" customHeight="1" ht="105" outlineLevel="4">
      <c r="A68" s="1"/>
      <c r="B68" s="1">
        <v>890516</v>
      </c>
      <c r="C68" s="1" t="s">
        <v>234</v>
      </c>
      <c r="D68" s="1" t="s">
        <v>235</v>
      </c>
      <c r="E68" s="2" t="s">
        <v>236</v>
      </c>
      <c r="F68" s="2" t="s">
        <v>237</v>
      </c>
      <c r="G68" s="2">
        <v>4</v>
      </c>
      <c r="H68" s="2">
        <v>0</v>
      </c>
      <c r="I68" s="1">
        <v>0</v>
      </c>
      <c r="J68" s="3" t="s">
        <v>18</v>
      </c>
      <c r="K68" s="2" t="str">
        <f>J68*4752.39</f>
        <v>0</v>
      </c>
      <c r="L68" s="5"/>
    </row>
    <row r="69" spans="1:12" outlineLevel="1">
      <c r="A69" s="7" t="s">
        <v>238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5"/>
    </row>
    <row r="70" spans="1:12" outlineLevel="2">
      <c r="A70" s="8" t="s">
        <v>239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5"/>
    </row>
    <row r="71" spans="1:12" customHeight="1" ht="105" outlineLevel="4">
      <c r="A71" s="1"/>
      <c r="B71" s="1">
        <v>890091</v>
      </c>
      <c r="C71" s="1" t="s">
        <v>240</v>
      </c>
      <c r="D71" s="1" t="s">
        <v>241</v>
      </c>
      <c r="E71" s="2" t="s">
        <v>242</v>
      </c>
      <c r="F71" s="2" t="s">
        <v>243</v>
      </c>
      <c r="G71" s="2">
        <v>1</v>
      </c>
      <c r="H71" s="2" t="s">
        <v>244</v>
      </c>
      <c r="I71" s="1">
        <v>0</v>
      </c>
      <c r="J71" s="3" t="s">
        <v>18</v>
      </c>
      <c r="K71" s="2" t="str">
        <f>J71*3020.00</f>
        <v>0</v>
      </c>
      <c r="L71" s="5"/>
    </row>
    <row r="72" spans="1:12" customHeight="1" ht="105" outlineLevel="4">
      <c r="A72" s="1"/>
      <c r="B72" s="1">
        <v>890092</v>
      </c>
      <c r="C72" s="1" t="s">
        <v>245</v>
      </c>
      <c r="D72" s="1" t="s">
        <v>246</v>
      </c>
      <c r="E72" s="2" t="s">
        <v>247</v>
      </c>
      <c r="F72" s="2" t="s">
        <v>248</v>
      </c>
      <c r="G72" s="2">
        <v>5</v>
      </c>
      <c r="H72" s="2" t="s">
        <v>17</v>
      </c>
      <c r="I72" s="1">
        <v>0</v>
      </c>
      <c r="J72" s="3" t="s">
        <v>18</v>
      </c>
      <c r="K72" s="2" t="str">
        <f>J72*3098.00</f>
        <v>0</v>
      </c>
      <c r="L72" s="5"/>
    </row>
    <row r="73" spans="1:12" customHeight="1" ht="105" outlineLevel="4">
      <c r="A73" s="1"/>
      <c r="B73" s="1">
        <v>822251</v>
      </c>
      <c r="C73" s="1" t="s">
        <v>249</v>
      </c>
      <c r="D73" s="1" t="s">
        <v>250</v>
      </c>
      <c r="E73" s="2" t="s">
        <v>251</v>
      </c>
      <c r="F73" s="2" t="s">
        <v>252</v>
      </c>
      <c r="G73" s="2">
        <v>3</v>
      </c>
      <c r="H73" s="2" t="s">
        <v>244</v>
      </c>
      <c r="I73" s="1">
        <v>0</v>
      </c>
      <c r="J73" s="3" t="s">
        <v>18</v>
      </c>
      <c r="K73" s="2" t="str">
        <f>J73*2828.00</f>
        <v>0</v>
      </c>
      <c r="L73" s="5"/>
    </row>
    <row r="74" spans="1:12" customHeight="1" ht="105" outlineLevel="4">
      <c r="A74" s="1"/>
      <c r="B74" s="1">
        <v>822252</v>
      </c>
      <c r="C74" s="1" t="s">
        <v>253</v>
      </c>
      <c r="D74" s="1" t="s">
        <v>254</v>
      </c>
      <c r="E74" s="2" t="s">
        <v>255</v>
      </c>
      <c r="F74" s="2" t="s">
        <v>256</v>
      </c>
      <c r="G74" s="2" t="s">
        <v>244</v>
      </c>
      <c r="H74" s="2" t="s">
        <v>23</v>
      </c>
      <c r="I74" s="1">
        <v>0</v>
      </c>
      <c r="J74" s="3" t="s">
        <v>18</v>
      </c>
      <c r="K74" s="2" t="str">
        <f>J74*654.00</f>
        <v>0</v>
      </c>
      <c r="L74" s="5"/>
    </row>
    <row r="75" spans="1:12" customHeight="1" ht="105" outlineLevel="4">
      <c r="A75" s="1"/>
      <c r="B75" s="1">
        <v>822253</v>
      </c>
      <c r="C75" s="1" t="s">
        <v>257</v>
      </c>
      <c r="D75" s="1" t="s">
        <v>258</v>
      </c>
      <c r="E75" s="2" t="s">
        <v>259</v>
      </c>
      <c r="F75" s="2" t="s">
        <v>260</v>
      </c>
      <c r="G75" s="2" t="s">
        <v>244</v>
      </c>
      <c r="H75" s="2" t="s">
        <v>23</v>
      </c>
      <c r="I75" s="1">
        <v>0</v>
      </c>
      <c r="J75" s="3" t="s">
        <v>18</v>
      </c>
      <c r="K75" s="2" t="str">
        <f>J75*697.00</f>
        <v>0</v>
      </c>
      <c r="L75" s="5"/>
    </row>
    <row r="76" spans="1:12" customHeight="1" ht="105" outlineLevel="4">
      <c r="A76" s="1"/>
      <c r="B76" s="1">
        <v>825485</v>
      </c>
      <c r="C76" s="1" t="s">
        <v>261</v>
      </c>
      <c r="D76" s="1" t="s">
        <v>262</v>
      </c>
      <c r="E76" s="2" t="s">
        <v>263</v>
      </c>
      <c r="F76" s="2" t="s">
        <v>264</v>
      </c>
      <c r="G76" s="2">
        <v>2</v>
      </c>
      <c r="H76" s="2" t="s">
        <v>244</v>
      </c>
      <c r="I76" s="1">
        <v>0</v>
      </c>
      <c r="J76" s="3" t="s">
        <v>18</v>
      </c>
      <c r="K76" s="2" t="str">
        <f>J76*2555.00</f>
        <v>0</v>
      </c>
      <c r="L76" s="5"/>
    </row>
    <row r="77" spans="1:12" outlineLevel="2">
      <c r="A77" s="8" t="s">
        <v>265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5"/>
    </row>
    <row r="78" spans="1:12" customHeight="1" ht="105" outlineLevel="4">
      <c r="A78" s="1"/>
      <c r="B78" s="1">
        <v>822262</v>
      </c>
      <c r="C78" s="1" t="s">
        <v>266</v>
      </c>
      <c r="D78" s="1"/>
      <c r="E78" s="2" t="s">
        <v>267</v>
      </c>
      <c r="F78" s="2" t="s">
        <v>268</v>
      </c>
      <c r="G78" s="2">
        <v>0</v>
      </c>
      <c r="H78" s="2">
        <v>0</v>
      </c>
      <c r="I78" s="1">
        <v>0</v>
      </c>
      <c r="J78" s="3" t="s">
        <v>18</v>
      </c>
      <c r="K78" s="2" t="str">
        <f>J78*845.41</f>
        <v>0</v>
      </c>
      <c r="L78" s="5"/>
    </row>
    <row r="79" spans="1:12" customHeight="1" ht="105" outlineLevel="4">
      <c r="A79" s="1"/>
      <c r="B79" s="1">
        <v>822263</v>
      </c>
      <c r="C79" s="1" t="s">
        <v>269</v>
      </c>
      <c r="D79" s="1"/>
      <c r="E79" s="2" t="s">
        <v>270</v>
      </c>
      <c r="F79" s="2" t="s">
        <v>271</v>
      </c>
      <c r="G79" s="2">
        <v>6</v>
      </c>
      <c r="H79" s="2">
        <v>0</v>
      </c>
      <c r="I79" s="1">
        <v>0</v>
      </c>
      <c r="J79" s="3" t="s">
        <v>18</v>
      </c>
      <c r="K79" s="2" t="str">
        <f>J79*1529.83</f>
        <v>0</v>
      </c>
      <c r="L79" s="5"/>
    </row>
    <row r="80" spans="1:12" customHeight="1" ht="105" outlineLevel="4">
      <c r="A80" s="1"/>
      <c r="B80" s="1">
        <v>826217</v>
      </c>
      <c r="C80" s="1" t="s">
        <v>272</v>
      </c>
      <c r="D80" s="1"/>
      <c r="E80" s="2" t="s">
        <v>273</v>
      </c>
      <c r="F80" s="2" t="s">
        <v>274</v>
      </c>
      <c r="G80" s="2">
        <v>0</v>
      </c>
      <c r="H80" s="2">
        <v>0</v>
      </c>
      <c r="I80" s="1">
        <v>0</v>
      </c>
      <c r="J80" s="3" t="s">
        <v>18</v>
      </c>
      <c r="K80" s="2" t="str">
        <f>J80*1264.29</f>
        <v>0</v>
      </c>
      <c r="L80" s="5"/>
    </row>
    <row r="81" spans="1:12" customHeight="1" ht="105" outlineLevel="4">
      <c r="A81" s="1"/>
      <c r="B81" s="1">
        <v>826218</v>
      </c>
      <c r="C81" s="1" t="s">
        <v>275</v>
      </c>
      <c r="D81" s="1"/>
      <c r="E81" s="2" t="s">
        <v>276</v>
      </c>
      <c r="F81" s="2" t="s">
        <v>277</v>
      </c>
      <c r="G81" s="2">
        <v>0</v>
      </c>
      <c r="H81" s="2">
        <v>0</v>
      </c>
      <c r="I81" s="1">
        <v>0</v>
      </c>
      <c r="J81" s="3" t="s">
        <v>18</v>
      </c>
      <c r="K81" s="2" t="str">
        <f>J81*1276.36</f>
        <v>0</v>
      </c>
      <c r="L81" s="5"/>
    </row>
    <row r="82" spans="1:12" customHeight="1" ht="105" outlineLevel="4">
      <c r="A82" s="1"/>
      <c r="B82" s="1">
        <v>826219</v>
      </c>
      <c r="C82" s="1" t="s">
        <v>278</v>
      </c>
      <c r="D82" s="1"/>
      <c r="E82" s="2" t="s">
        <v>279</v>
      </c>
      <c r="F82" s="2" t="s">
        <v>280</v>
      </c>
      <c r="G82" s="2">
        <v>0</v>
      </c>
      <c r="H82" s="2">
        <v>0</v>
      </c>
      <c r="I82" s="1">
        <v>0</v>
      </c>
      <c r="J82" s="3" t="s">
        <v>18</v>
      </c>
      <c r="K82" s="2" t="str">
        <f>J82*1780.24</f>
        <v>0</v>
      </c>
      <c r="L82" s="5"/>
    </row>
    <row r="83" spans="1:12" customHeight="1" ht="105" outlineLevel="4">
      <c r="A83" s="1"/>
      <c r="B83" s="1">
        <v>826220</v>
      </c>
      <c r="C83" s="1" t="s">
        <v>281</v>
      </c>
      <c r="D83" s="1"/>
      <c r="E83" s="2" t="s">
        <v>282</v>
      </c>
      <c r="F83" s="2" t="s">
        <v>283</v>
      </c>
      <c r="G83" s="2">
        <v>0</v>
      </c>
      <c r="H83" s="2">
        <v>0</v>
      </c>
      <c r="I83" s="1">
        <v>0</v>
      </c>
      <c r="J83" s="3" t="s">
        <v>18</v>
      </c>
      <c r="K83" s="2" t="str">
        <f>J83*1118.94</f>
        <v>0</v>
      </c>
      <c r="L83" s="5"/>
    </row>
    <row r="84" spans="1:12" customHeight="1" ht="105" outlineLevel="4">
      <c r="A84" s="1"/>
      <c r="B84" s="1">
        <v>826221</v>
      </c>
      <c r="C84" s="1" t="s">
        <v>284</v>
      </c>
      <c r="D84" s="1"/>
      <c r="E84" s="2" t="s">
        <v>285</v>
      </c>
      <c r="F84" s="2" t="s">
        <v>286</v>
      </c>
      <c r="G84" s="2">
        <v>0</v>
      </c>
      <c r="H84" s="2">
        <v>0</v>
      </c>
      <c r="I84" s="1">
        <v>0</v>
      </c>
      <c r="J84" s="3" t="s">
        <v>18</v>
      </c>
      <c r="K84" s="2" t="str">
        <f>J84*0.00</f>
        <v>0</v>
      </c>
      <c r="L84" s="5"/>
    </row>
    <row r="85" spans="1:12" customHeight="1" ht="105" outlineLevel="4">
      <c r="A85" s="1"/>
      <c r="B85" s="1">
        <v>826222</v>
      </c>
      <c r="C85" s="1" t="s">
        <v>287</v>
      </c>
      <c r="D85" s="1"/>
      <c r="E85" s="2" t="s">
        <v>288</v>
      </c>
      <c r="F85" s="2" t="s">
        <v>289</v>
      </c>
      <c r="G85" s="2">
        <v>0</v>
      </c>
      <c r="H85" s="2">
        <v>0</v>
      </c>
      <c r="I85" s="1">
        <v>0</v>
      </c>
      <c r="J85" s="3" t="s">
        <v>18</v>
      </c>
      <c r="K85" s="2" t="str">
        <f>J85*1234.54</f>
        <v>0</v>
      </c>
      <c r="L85" s="5"/>
    </row>
    <row r="86" spans="1:12" customHeight="1" ht="105" outlineLevel="4">
      <c r="A86" s="1"/>
      <c r="B86" s="1">
        <v>826223</v>
      </c>
      <c r="C86" s="1" t="s">
        <v>290</v>
      </c>
      <c r="D86" s="1"/>
      <c r="E86" s="2" t="s">
        <v>291</v>
      </c>
      <c r="F86" s="2" t="s">
        <v>292</v>
      </c>
      <c r="G86" s="2">
        <v>0</v>
      </c>
      <c r="H86" s="2">
        <v>0</v>
      </c>
      <c r="I86" s="1">
        <v>0</v>
      </c>
      <c r="J86" s="3" t="s">
        <v>18</v>
      </c>
      <c r="K86" s="2" t="str">
        <f>J86*1109.42</f>
        <v>0</v>
      </c>
      <c r="L86" s="5"/>
    </row>
    <row r="87" spans="1:12" customHeight="1" ht="105" outlineLevel="4">
      <c r="A87" s="1"/>
      <c r="B87" s="1">
        <v>826224</v>
      </c>
      <c r="C87" s="1" t="s">
        <v>293</v>
      </c>
      <c r="D87" s="1"/>
      <c r="E87" s="2" t="s">
        <v>294</v>
      </c>
      <c r="F87" s="2" t="s">
        <v>295</v>
      </c>
      <c r="G87" s="2">
        <v>0</v>
      </c>
      <c r="H87" s="2">
        <v>0</v>
      </c>
      <c r="I87" s="1">
        <v>0</v>
      </c>
      <c r="J87" s="3" t="s">
        <v>18</v>
      </c>
      <c r="K87" s="2" t="str">
        <f>J87*918.51</f>
        <v>0</v>
      </c>
      <c r="L87" s="5"/>
    </row>
    <row r="88" spans="1:12" customHeight="1" ht="105" outlineLevel="4">
      <c r="A88" s="1"/>
      <c r="B88" s="1">
        <v>826225</v>
      </c>
      <c r="C88" s="1" t="s">
        <v>296</v>
      </c>
      <c r="D88" s="1"/>
      <c r="E88" s="2" t="s">
        <v>297</v>
      </c>
      <c r="F88" s="2" t="s">
        <v>298</v>
      </c>
      <c r="G88" s="2">
        <v>0</v>
      </c>
      <c r="H88" s="2">
        <v>0</v>
      </c>
      <c r="I88" s="1">
        <v>0</v>
      </c>
      <c r="J88" s="3" t="s">
        <v>18</v>
      </c>
      <c r="K88" s="2" t="str">
        <f>J88*1017.28</f>
        <v>0</v>
      </c>
      <c r="L88" s="5"/>
    </row>
    <row r="89" spans="1:12" customHeight="1" ht="105" outlineLevel="4">
      <c r="A89" s="1"/>
      <c r="B89" s="1">
        <v>826226</v>
      </c>
      <c r="C89" s="1" t="s">
        <v>299</v>
      </c>
      <c r="D89" s="1"/>
      <c r="E89" s="2" t="s">
        <v>300</v>
      </c>
      <c r="F89" s="2" t="s">
        <v>301</v>
      </c>
      <c r="G89" s="2">
        <v>0</v>
      </c>
      <c r="H89" s="2">
        <v>0</v>
      </c>
      <c r="I89" s="1">
        <v>0</v>
      </c>
      <c r="J89" s="3" t="s">
        <v>18</v>
      </c>
      <c r="K89" s="2" t="str">
        <f>J89*1417.46</f>
        <v>0</v>
      </c>
      <c r="L89" s="5"/>
    </row>
    <row r="90" spans="1:12" customHeight="1" ht="105" outlineLevel="4">
      <c r="A90" s="1"/>
      <c r="B90" s="1">
        <v>826227</v>
      </c>
      <c r="C90" s="1" t="s">
        <v>302</v>
      </c>
      <c r="D90" s="1"/>
      <c r="E90" s="2" t="s">
        <v>303</v>
      </c>
      <c r="F90" s="2" t="s">
        <v>304</v>
      </c>
      <c r="G90" s="2">
        <v>0</v>
      </c>
      <c r="H90" s="2">
        <v>0</v>
      </c>
      <c r="I90" s="1">
        <v>0</v>
      </c>
      <c r="J90" s="3" t="s">
        <v>18</v>
      </c>
      <c r="K90" s="2" t="str">
        <f>J90*6650.74</f>
        <v>0</v>
      </c>
      <c r="L90" s="5"/>
    </row>
    <row r="91" spans="1:12" customHeight="1" ht="105" outlineLevel="4">
      <c r="A91" s="1"/>
      <c r="B91" s="1">
        <v>826228</v>
      </c>
      <c r="C91" s="1" t="s">
        <v>305</v>
      </c>
      <c r="D91" s="1"/>
      <c r="E91" s="2" t="s">
        <v>306</v>
      </c>
      <c r="F91" s="2" t="s">
        <v>307</v>
      </c>
      <c r="G91" s="2">
        <v>0</v>
      </c>
      <c r="H91" s="2">
        <v>0</v>
      </c>
      <c r="I91" s="1">
        <v>0</v>
      </c>
      <c r="J91" s="3" t="s">
        <v>18</v>
      </c>
      <c r="K91" s="2" t="str">
        <f>J91*4651.18</f>
        <v>0</v>
      </c>
      <c r="L91" s="5"/>
    </row>
    <row r="92" spans="1:12" customHeight="1" ht="105" outlineLevel="4">
      <c r="A92" s="1"/>
      <c r="B92" s="1">
        <v>826229</v>
      </c>
      <c r="C92" s="1" t="s">
        <v>308</v>
      </c>
      <c r="D92" s="1"/>
      <c r="E92" s="2" t="s">
        <v>309</v>
      </c>
      <c r="F92" s="2" t="s">
        <v>310</v>
      </c>
      <c r="G92" s="2">
        <v>0</v>
      </c>
      <c r="H92" s="2">
        <v>0</v>
      </c>
      <c r="I92" s="1">
        <v>0</v>
      </c>
      <c r="J92" s="3" t="s">
        <v>18</v>
      </c>
      <c r="K92" s="2" t="str">
        <f>J92*4137.12</f>
        <v>0</v>
      </c>
      <c r="L92" s="5"/>
    </row>
    <row r="93" spans="1:12" customHeight="1" ht="105" outlineLevel="4">
      <c r="A93" s="1"/>
      <c r="B93" s="1">
        <v>826230</v>
      </c>
      <c r="C93" s="1" t="s">
        <v>311</v>
      </c>
      <c r="D93" s="1"/>
      <c r="E93" s="2" t="s">
        <v>312</v>
      </c>
      <c r="F93" s="2" t="s">
        <v>313</v>
      </c>
      <c r="G93" s="2">
        <v>0</v>
      </c>
      <c r="H93" s="2">
        <v>0</v>
      </c>
      <c r="I93" s="1">
        <v>0</v>
      </c>
      <c r="J93" s="3" t="s">
        <v>18</v>
      </c>
      <c r="K93" s="2" t="str">
        <f>J93*1067.77</f>
        <v>0</v>
      </c>
      <c r="L93" s="5"/>
    </row>
    <row r="94" spans="1:12" customHeight="1" ht="105" outlineLevel="4">
      <c r="A94" s="1"/>
      <c r="B94" s="1">
        <v>826231</v>
      </c>
      <c r="C94" s="1" t="s">
        <v>314</v>
      </c>
      <c r="D94" s="1"/>
      <c r="E94" s="2" t="s">
        <v>315</v>
      </c>
      <c r="F94" s="2" t="s">
        <v>316</v>
      </c>
      <c r="G94" s="2">
        <v>0</v>
      </c>
      <c r="H94" s="2">
        <v>0</v>
      </c>
      <c r="I94" s="1">
        <v>0</v>
      </c>
      <c r="J94" s="3" t="s">
        <v>18</v>
      </c>
      <c r="K94" s="2" t="str">
        <f>J94*3381.30</f>
        <v>0</v>
      </c>
      <c r="L94" s="5"/>
    </row>
    <row r="95" spans="1:12" customHeight="1" ht="105" outlineLevel="4">
      <c r="A95" s="1"/>
      <c r="B95" s="1">
        <v>826232</v>
      </c>
      <c r="C95" s="1" t="s">
        <v>317</v>
      </c>
      <c r="D95" s="1"/>
      <c r="E95" s="2" t="s">
        <v>318</v>
      </c>
      <c r="F95" s="2" t="s">
        <v>319</v>
      </c>
      <c r="G95" s="2">
        <v>0</v>
      </c>
      <c r="H95" s="2">
        <v>0</v>
      </c>
      <c r="I95" s="1">
        <v>0</v>
      </c>
      <c r="J95" s="3" t="s">
        <v>18</v>
      </c>
      <c r="K95" s="2" t="str">
        <f>J95*1957.72</f>
        <v>0</v>
      </c>
      <c r="L95" s="5"/>
    </row>
    <row r="96" spans="1:12" outlineLevel="2">
      <c r="A96" s="8" t="s">
        <v>320</v>
      </c>
      <c r="B96" s="8"/>
      <c r="C96" s="8"/>
      <c r="D96" s="8"/>
      <c r="E96" s="8"/>
      <c r="F96" s="8"/>
      <c r="G96" s="8"/>
      <c r="H96" s="8"/>
      <c r="I96" s="8"/>
      <c r="J96" s="8"/>
      <c r="K96" s="8"/>
      <c r="L96" s="5"/>
    </row>
    <row r="97" spans="1:12" customHeight="1" ht="105" outlineLevel="4">
      <c r="A97" s="1"/>
      <c r="B97" s="1">
        <v>822254</v>
      </c>
      <c r="C97" s="1" t="s">
        <v>321</v>
      </c>
      <c r="D97" s="1" t="s">
        <v>322</v>
      </c>
      <c r="E97" s="2" t="s">
        <v>323</v>
      </c>
      <c r="F97" s="2" t="s">
        <v>324</v>
      </c>
      <c r="G97" s="2" t="s">
        <v>244</v>
      </c>
      <c r="H97" s="2">
        <v>0</v>
      </c>
      <c r="I97" s="1">
        <v>0</v>
      </c>
      <c r="J97" s="3" t="s">
        <v>18</v>
      </c>
      <c r="K97" s="2" t="str">
        <f>J97*341.04</f>
        <v>0</v>
      </c>
      <c r="L97" s="5"/>
    </row>
    <row r="98" spans="1:12" customHeight="1" ht="105" outlineLevel="4">
      <c r="A98" s="1"/>
      <c r="B98" s="1">
        <v>822255</v>
      </c>
      <c r="C98" s="1" t="s">
        <v>325</v>
      </c>
      <c r="D98" s="1" t="s">
        <v>326</v>
      </c>
      <c r="E98" s="2" t="s">
        <v>327</v>
      </c>
      <c r="F98" s="2" t="s">
        <v>328</v>
      </c>
      <c r="G98" s="2">
        <v>7</v>
      </c>
      <c r="H98" s="2">
        <v>0</v>
      </c>
      <c r="I98" s="1">
        <v>0</v>
      </c>
      <c r="J98" s="3" t="s">
        <v>18</v>
      </c>
      <c r="K98" s="2" t="str">
        <f>J98*2072.70</f>
        <v>0</v>
      </c>
      <c r="L98" s="5"/>
    </row>
    <row r="99" spans="1:12" customHeight="1" ht="105" outlineLevel="4">
      <c r="A99" s="1"/>
      <c r="B99" s="1">
        <v>822256</v>
      </c>
      <c r="C99" s="1" t="s">
        <v>329</v>
      </c>
      <c r="D99" s="1" t="s">
        <v>330</v>
      </c>
      <c r="E99" s="2" t="s">
        <v>331</v>
      </c>
      <c r="F99" s="2" t="s">
        <v>332</v>
      </c>
      <c r="G99" s="2">
        <v>3</v>
      </c>
      <c r="H99" s="2">
        <v>0</v>
      </c>
      <c r="I99" s="1">
        <v>0</v>
      </c>
      <c r="J99" s="3" t="s">
        <v>18</v>
      </c>
      <c r="K99" s="2" t="str">
        <f>J99*1800.75</f>
        <v>0</v>
      </c>
      <c r="L99" s="5"/>
    </row>
    <row r="100" spans="1:12" customHeight="1" ht="105" outlineLevel="4">
      <c r="A100" s="1"/>
      <c r="B100" s="1">
        <v>822257</v>
      </c>
      <c r="C100" s="1" t="s">
        <v>333</v>
      </c>
      <c r="D100" s="1" t="s">
        <v>334</v>
      </c>
      <c r="E100" s="2" t="s">
        <v>335</v>
      </c>
      <c r="F100" s="2" t="s">
        <v>336</v>
      </c>
      <c r="G100" s="2" t="s">
        <v>22</v>
      </c>
      <c r="H100" s="2">
        <v>0</v>
      </c>
      <c r="I100" s="1">
        <v>0</v>
      </c>
      <c r="J100" s="3" t="s">
        <v>18</v>
      </c>
      <c r="K100" s="2" t="str">
        <f>J100*676.20</f>
        <v>0</v>
      </c>
      <c r="L100" s="5"/>
    </row>
    <row r="101" spans="1:12" customHeight="1" ht="105" outlineLevel="4">
      <c r="A101" s="1"/>
      <c r="B101" s="1">
        <v>822258</v>
      </c>
      <c r="C101" s="1" t="s">
        <v>337</v>
      </c>
      <c r="D101" s="1" t="s">
        <v>338</v>
      </c>
      <c r="E101" s="2" t="s">
        <v>339</v>
      </c>
      <c r="F101" s="2" t="s">
        <v>340</v>
      </c>
      <c r="G101" s="2" t="s">
        <v>22</v>
      </c>
      <c r="H101" s="2">
        <v>0</v>
      </c>
      <c r="I101" s="1">
        <v>0</v>
      </c>
      <c r="J101" s="3" t="s">
        <v>18</v>
      </c>
      <c r="K101" s="2" t="str">
        <f>J101*455.70</f>
        <v>0</v>
      </c>
      <c r="L101" s="5"/>
    </row>
    <row r="102" spans="1:12" customHeight="1" ht="105" outlineLevel="4">
      <c r="A102" s="1"/>
      <c r="B102" s="1">
        <v>822259</v>
      </c>
      <c r="C102" s="1" t="s">
        <v>341</v>
      </c>
      <c r="D102" s="1" t="s">
        <v>342</v>
      </c>
      <c r="E102" s="2" t="s">
        <v>343</v>
      </c>
      <c r="F102" s="2" t="s">
        <v>344</v>
      </c>
      <c r="G102" s="2">
        <v>0</v>
      </c>
      <c r="H102" s="2">
        <v>0</v>
      </c>
      <c r="I102" s="1">
        <v>0</v>
      </c>
      <c r="J102" s="3" t="s">
        <v>18</v>
      </c>
      <c r="K102" s="2" t="str">
        <f>J102*408.66</f>
        <v>0</v>
      </c>
      <c r="L102" s="5"/>
    </row>
    <row r="103" spans="1:12" customHeight="1" ht="105" outlineLevel="4">
      <c r="A103" s="1"/>
      <c r="B103" s="1">
        <v>822260</v>
      </c>
      <c r="C103" s="1" t="s">
        <v>345</v>
      </c>
      <c r="D103" s="1" t="s">
        <v>346</v>
      </c>
      <c r="E103" s="2" t="s">
        <v>347</v>
      </c>
      <c r="F103" s="2" t="s">
        <v>348</v>
      </c>
      <c r="G103" s="2">
        <v>5</v>
      </c>
      <c r="H103" s="2">
        <v>0</v>
      </c>
      <c r="I103" s="1">
        <v>0</v>
      </c>
      <c r="J103" s="3" t="s">
        <v>18</v>
      </c>
      <c r="K103" s="2" t="str">
        <f>J103*770.28</f>
        <v>0</v>
      </c>
      <c r="L103" s="5"/>
    </row>
    <row r="104" spans="1:12" customHeight="1" ht="105" outlineLevel="4">
      <c r="A104" s="1"/>
      <c r="B104" s="1">
        <v>822261</v>
      </c>
      <c r="C104" s="1" t="s">
        <v>349</v>
      </c>
      <c r="D104" s="1" t="s">
        <v>350</v>
      </c>
      <c r="E104" s="2" t="s">
        <v>351</v>
      </c>
      <c r="F104" s="2" t="s">
        <v>352</v>
      </c>
      <c r="G104" s="2">
        <v>5</v>
      </c>
      <c r="H104" s="2">
        <v>0</v>
      </c>
      <c r="I104" s="1">
        <v>0</v>
      </c>
      <c r="J104" s="3" t="s">
        <v>18</v>
      </c>
      <c r="K104" s="2" t="str">
        <f>J104*2000.67</f>
        <v>0</v>
      </c>
      <c r="L104" s="5"/>
    </row>
    <row r="105" spans="1:12" customHeight="1" ht="105" outlineLevel="4">
      <c r="A105" s="1"/>
      <c r="B105" s="1">
        <v>825019</v>
      </c>
      <c r="C105" s="1" t="s">
        <v>353</v>
      </c>
      <c r="D105" s="1" t="s">
        <v>354</v>
      </c>
      <c r="E105" s="2" t="s">
        <v>355</v>
      </c>
      <c r="F105" s="2" t="s">
        <v>356</v>
      </c>
      <c r="G105" s="2">
        <v>4</v>
      </c>
      <c r="H105" s="2">
        <v>0</v>
      </c>
      <c r="I105" s="1">
        <v>0</v>
      </c>
      <c r="J105" s="3" t="s">
        <v>18</v>
      </c>
      <c r="K105" s="2" t="str">
        <f>J105*2213.82</f>
        <v>0</v>
      </c>
      <c r="L105" s="5"/>
    </row>
    <row r="106" spans="1:12" customHeight="1" ht="105" outlineLevel="4">
      <c r="A106" s="1"/>
      <c r="B106" s="1">
        <v>825408</v>
      </c>
      <c r="C106" s="1" t="s">
        <v>357</v>
      </c>
      <c r="D106" s="1" t="s">
        <v>358</v>
      </c>
      <c r="E106" s="2" t="s">
        <v>359</v>
      </c>
      <c r="F106" s="2" t="s">
        <v>360</v>
      </c>
      <c r="G106" s="2">
        <v>8</v>
      </c>
      <c r="H106" s="2">
        <v>0</v>
      </c>
      <c r="I106" s="1">
        <v>0</v>
      </c>
      <c r="J106" s="3" t="s">
        <v>18</v>
      </c>
      <c r="K106" s="2" t="str">
        <f>J106*411.60</f>
        <v>0</v>
      </c>
      <c r="L106" s="5"/>
    </row>
    <row r="107" spans="1:12" customHeight="1" ht="105" outlineLevel="4">
      <c r="A107" s="1"/>
      <c r="B107" s="1">
        <v>879962</v>
      </c>
      <c r="C107" s="1" t="s">
        <v>361</v>
      </c>
      <c r="D107" s="1" t="s">
        <v>362</v>
      </c>
      <c r="E107" s="2" t="s">
        <v>363</v>
      </c>
      <c r="F107" s="2" t="s">
        <v>364</v>
      </c>
      <c r="G107" s="2">
        <v>4</v>
      </c>
      <c r="H107" s="2">
        <v>0</v>
      </c>
      <c r="I107" s="1">
        <v>0</v>
      </c>
      <c r="J107" s="3" t="s">
        <v>18</v>
      </c>
      <c r="K107" s="2" t="str">
        <f>J107*3705.87</f>
        <v>0</v>
      </c>
      <c r="L107" s="5"/>
    </row>
    <row r="108" spans="1:12" customHeight="1" ht="105" outlineLevel="4">
      <c r="A108" s="1"/>
      <c r="B108" s="1">
        <v>882873</v>
      </c>
      <c r="C108" s="1" t="s">
        <v>365</v>
      </c>
      <c r="D108" s="1" t="s">
        <v>366</v>
      </c>
      <c r="E108" s="2" t="s">
        <v>367</v>
      </c>
      <c r="F108" s="2" t="s">
        <v>368</v>
      </c>
      <c r="G108" s="2" t="s">
        <v>22</v>
      </c>
      <c r="H108" s="2">
        <v>0</v>
      </c>
      <c r="I108" s="1">
        <v>0</v>
      </c>
      <c r="J108" s="3" t="s">
        <v>18</v>
      </c>
      <c r="K108" s="2" t="str">
        <f>J108*2816.52</f>
        <v>0</v>
      </c>
      <c r="L108" s="5"/>
    </row>
    <row r="109" spans="1:12" customHeight="1" ht="105" outlineLevel="4">
      <c r="A109" s="1"/>
      <c r="B109" s="1">
        <v>882874</v>
      </c>
      <c r="C109" s="1" t="s">
        <v>369</v>
      </c>
      <c r="D109" s="1" t="s">
        <v>370</v>
      </c>
      <c r="E109" s="2" t="s">
        <v>371</v>
      </c>
      <c r="F109" s="2" t="s">
        <v>372</v>
      </c>
      <c r="G109" s="2" t="s">
        <v>22</v>
      </c>
      <c r="H109" s="2">
        <v>0</v>
      </c>
      <c r="I109" s="1">
        <v>0</v>
      </c>
      <c r="J109" s="3" t="s">
        <v>18</v>
      </c>
      <c r="K109" s="2" t="str">
        <f>J109*2850.33</f>
        <v>0</v>
      </c>
      <c r="L109" s="5"/>
    </row>
    <row r="110" spans="1:12" customHeight="1" ht="105" outlineLevel="4">
      <c r="A110" s="1"/>
      <c r="B110" s="1">
        <v>882096</v>
      </c>
      <c r="C110" s="1" t="s">
        <v>373</v>
      </c>
      <c r="D110" s="1" t="s">
        <v>374</v>
      </c>
      <c r="E110" s="2" t="s">
        <v>375</v>
      </c>
      <c r="F110" s="2" t="s">
        <v>376</v>
      </c>
      <c r="G110" s="2">
        <v>5</v>
      </c>
      <c r="H110" s="2">
        <v>0</v>
      </c>
      <c r="I110" s="1">
        <v>0</v>
      </c>
      <c r="J110" s="3" t="s">
        <v>18</v>
      </c>
      <c r="K110" s="2" t="str">
        <f>J110*637.98</f>
        <v>0</v>
      </c>
      <c r="L110" s="5"/>
    </row>
    <row r="111" spans="1:12" outlineLevel="2">
      <c r="A111" s="8" t="s">
        <v>377</v>
      </c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5"/>
    </row>
    <row r="112" spans="1:12" customHeight="1" ht="105" outlineLevel="4">
      <c r="A112" s="1"/>
      <c r="B112" s="1">
        <v>833412</v>
      </c>
      <c r="C112" s="1" t="s">
        <v>378</v>
      </c>
      <c r="D112" s="1" t="s">
        <v>379</v>
      </c>
      <c r="E112" s="2" t="s">
        <v>380</v>
      </c>
      <c r="F112" s="2" t="s">
        <v>381</v>
      </c>
      <c r="G112" s="2">
        <v>8</v>
      </c>
      <c r="H112" s="2">
        <v>0</v>
      </c>
      <c r="I112" s="1">
        <v>0</v>
      </c>
      <c r="J112" s="3" t="s">
        <v>18</v>
      </c>
      <c r="K112" s="2" t="str">
        <f>J112*3534.62</f>
        <v>0</v>
      </c>
      <c r="L112" s="5"/>
    </row>
    <row r="113" spans="1:12" customHeight="1" ht="105" outlineLevel="4">
      <c r="A113" s="1"/>
      <c r="B113" s="1">
        <v>833413</v>
      </c>
      <c r="C113" s="1" t="s">
        <v>382</v>
      </c>
      <c r="D113" s="1" t="s">
        <v>383</v>
      </c>
      <c r="E113" s="2" t="s">
        <v>384</v>
      </c>
      <c r="F113" s="2" t="s">
        <v>385</v>
      </c>
      <c r="G113" s="2">
        <v>9</v>
      </c>
      <c r="H113" s="2">
        <v>0</v>
      </c>
      <c r="I113" s="1">
        <v>0</v>
      </c>
      <c r="J113" s="3" t="s">
        <v>18</v>
      </c>
      <c r="K113" s="2" t="str">
        <f>J113*3953.94</f>
        <v>0</v>
      </c>
      <c r="L113" s="5"/>
    </row>
    <row r="114" spans="1:12" customHeight="1" ht="105" outlineLevel="4">
      <c r="A114" s="1"/>
      <c r="B114" s="1">
        <v>833414</v>
      </c>
      <c r="C114" s="1" t="s">
        <v>386</v>
      </c>
      <c r="D114" s="1" t="s">
        <v>387</v>
      </c>
      <c r="E114" s="2" t="s">
        <v>388</v>
      </c>
      <c r="F114" s="2" t="s">
        <v>389</v>
      </c>
      <c r="G114" s="2">
        <v>10</v>
      </c>
      <c r="H114" s="2">
        <v>0</v>
      </c>
      <c r="I114" s="1">
        <v>0</v>
      </c>
      <c r="J114" s="3" t="s">
        <v>18</v>
      </c>
      <c r="K114" s="2" t="str">
        <f>J114*2848.56</f>
        <v>0</v>
      </c>
      <c r="L114" s="5"/>
    </row>
    <row r="115" spans="1:12" customHeight="1" ht="105" outlineLevel="4">
      <c r="A115" s="1"/>
      <c r="B115" s="1">
        <v>833416</v>
      </c>
      <c r="C115" s="1" t="s">
        <v>390</v>
      </c>
      <c r="D115" s="1" t="s">
        <v>391</v>
      </c>
      <c r="E115" s="2" t="s">
        <v>392</v>
      </c>
      <c r="F115" s="2" t="s">
        <v>393</v>
      </c>
      <c r="G115" s="2" t="s">
        <v>22</v>
      </c>
      <c r="H115" s="2">
        <v>0</v>
      </c>
      <c r="I115" s="1">
        <v>0</v>
      </c>
      <c r="J115" s="3" t="s">
        <v>18</v>
      </c>
      <c r="K115" s="2" t="str">
        <f>J115*3164.40</f>
        <v>0</v>
      </c>
      <c r="L115" s="5"/>
    </row>
    <row r="116" spans="1:12" customHeight="1" ht="105" outlineLevel="4">
      <c r="A116" s="1"/>
      <c r="B116" s="1">
        <v>833417</v>
      </c>
      <c r="C116" s="1" t="s">
        <v>394</v>
      </c>
      <c r="D116" s="1" t="s">
        <v>395</v>
      </c>
      <c r="E116" s="2" t="s">
        <v>396</v>
      </c>
      <c r="F116" s="2" t="s">
        <v>397</v>
      </c>
      <c r="G116" s="2">
        <v>5</v>
      </c>
      <c r="H116" s="2">
        <v>0</v>
      </c>
      <c r="I116" s="1">
        <v>0</v>
      </c>
      <c r="J116" s="3" t="s">
        <v>18</v>
      </c>
      <c r="K116" s="2" t="str">
        <f>J116*3303.41</f>
        <v>0</v>
      </c>
      <c r="L116" s="5"/>
    </row>
    <row r="117" spans="1:12" customHeight="1" ht="105" outlineLevel="4">
      <c r="A117" s="1"/>
      <c r="B117" s="1">
        <v>833419</v>
      </c>
      <c r="C117" s="1" t="s">
        <v>398</v>
      </c>
      <c r="D117" s="1" t="s">
        <v>399</v>
      </c>
      <c r="E117" s="2" t="s">
        <v>400</v>
      </c>
      <c r="F117" s="2" t="s">
        <v>401</v>
      </c>
      <c r="G117" s="2" t="s">
        <v>244</v>
      </c>
      <c r="H117" s="2">
        <v>0</v>
      </c>
      <c r="I117" s="1">
        <v>0</v>
      </c>
      <c r="J117" s="3" t="s">
        <v>18</v>
      </c>
      <c r="K117" s="2" t="str">
        <f>J117*505.44</f>
        <v>0</v>
      </c>
      <c r="L117" s="5"/>
    </row>
    <row r="118" spans="1:12" customHeight="1" ht="105" outlineLevel="4">
      <c r="A118" s="1"/>
      <c r="B118" s="1">
        <v>833420</v>
      </c>
      <c r="C118" s="1" t="s">
        <v>402</v>
      </c>
      <c r="D118" s="1" t="s">
        <v>403</v>
      </c>
      <c r="E118" s="2" t="s">
        <v>404</v>
      </c>
      <c r="F118" s="2" t="s">
        <v>405</v>
      </c>
      <c r="G118" s="2">
        <v>0</v>
      </c>
      <c r="H118" s="2">
        <v>0</v>
      </c>
      <c r="I118" s="1">
        <v>0</v>
      </c>
      <c r="J118" s="3" t="s">
        <v>18</v>
      </c>
      <c r="K118" s="2" t="str">
        <f>J118*471.74</f>
        <v>0</v>
      </c>
      <c r="L118" s="5"/>
    </row>
    <row r="119" spans="1:12" customHeight="1" ht="105" outlineLevel="4">
      <c r="A119" s="1"/>
      <c r="B119" s="1">
        <v>833422</v>
      </c>
      <c r="C119" s="1" t="s">
        <v>406</v>
      </c>
      <c r="D119" s="1" t="s">
        <v>407</v>
      </c>
      <c r="E119" s="2" t="s">
        <v>408</v>
      </c>
      <c r="F119" s="2" t="s">
        <v>409</v>
      </c>
      <c r="G119" s="2" t="s">
        <v>244</v>
      </c>
      <c r="H119" s="2">
        <v>0</v>
      </c>
      <c r="I119" s="1">
        <v>0</v>
      </c>
      <c r="J119" s="3" t="s">
        <v>18</v>
      </c>
      <c r="K119" s="2" t="str">
        <f>J119*595.45</f>
        <v>0</v>
      </c>
      <c r="L119" s="5"/>
    </row>
    <row r="120" spans="1:12" customHeight="1" ht="105" outlineLevel="4">
      <c r="A120" s="1"/>
      <c r="B120" s="1">
        <v>833423</v>
      </c>
      <c r="C120" s="1" t="s">
        <v>410</v>
      </c>
      <c r="D120" s="1" t="s">
        <v>411</v>
      </c>
      <c r="E120" s="2" t="s">
        <v>412</v>
      </c>
      <c r="F120" s="2" t="s">
        <v>413</v>
      </c>
      <c r="G120" s="2" t="s">
        <v>244</v>
      </c>
      <c r="H120" s="2">
        <v>0</v>
      </c>
      <c r="I120" s="1">
        <v>0</v>
      </c>
      <c r="J120" s="3" t="s">
        <v>18</v>
      </c>
      <c r="K120" s="2" t="str">
        <f>J120*670.41</f>
        <v>0</v>
      </c>
      <c r="L120" s="5"/>
    </row>
    <row r="121" spans="1:12" customHeight="1" ht="105" outlineLevel="4">
      <c r="A121" s="1"/>
      <c r="B121" s="1">
        <v>873444</v>
      </c>
      <c r="C121" s="1" t="s">
        <v>414</v>
      </c>
      <c r="D121" s="1" t="s">
        <v>415</v>
      </c>
      <c r="E121" s="2" t="s">
        <v>416</v>
      </c>
      <c r="F121" s="2" t="s">
        <v>417</v>
      </c>
      <c r="G121" s="2">
        <v>0</v>
      </c>
      <c r="H121" s="2">
        <v>0</v>
      </c>
      <c r="I121" s="1">
        <v>0</v>
      </c>
      <c r="J121" s="3" t="s">
        <v>18</v>
      </c>
      <c r="K121" s="2" t="str">
        <f>J121*994.36</f>
        <v>0</v>
      </c>
      <c r="L121" s="5"/>
    </row>
    <row r="122" spans="1:12" customHeight="1" ht="105" outlineLevel="4">
      <c r="A122" s="1"/>
      <c r="B122" s="1">
        <v>873445</v>
      </c>
      <c r="C122" s="1" t="s">
        <v>418</v>
      </c>
      <c r="D122" s="1" t="s">
        <v>419</v>
      </c>
      <c r="E122" s="2" t="s">
        <v>420</v>
      </c>
      <c r="F122" s="2" t="s">
        <v>417</v>
      </c>
      <c r="G122" s="2">
        <v>0</v>
      </c>
      <c r="H122" s="2">
        <v>0</v>
      </c>
      <c r="I122" s="1">
        <v>0</v>
      </c>
      <c r="J122" s="3" t="s">
        <v>18</v>
      </c>
      <c r="K122" s="2" t="str">
        <f>J122*994.36</f>
        <v>0</v>
      </c>
      <c r="L122" s="5"/>
    </row>
    <row r="123" spans="1:12" customHeight="1" ht="105" outlineLevel="4">
      <c r="A123" s="1"/>
      <c r="B123" s="1">
        <v>873446</v>
      </c>
      <c r="C123" s="1" t="s">
        <v>421</v>
      </c>
      <c r="D123" s="1" t="s">
        <v>422</v>
      </c>
      <c r="E123" s="2" t="s">
        <v>423</v>
      </c>
      <c r="F123" s="2" t="s">
        <v>417</v>
      </c>
      <c r="G123" s="2">
        <v>0</v>
      </c>
      <c r="H123" s="2">
        <v>0</v>
      </c>
      <c r="I123" s="1">
        <v>0</v>
      </c>
      <c r="J123" s="3" t="s">
        <v>18</v>
      </c>
      <c r="K123" s="2" t="str">
        <f>J123*994.36</f>
        <v>0</v>
      </c>
      <c r="L123" s="5"/>
    </row>
    <row r="124" spans="1:12" customHeight="1" ht="105" outlineLevel="4">
      <c r="A124" s="1"/>
      <c r="B124" s="1">
        <v>873447</v>
      </c>
      <c r="C124" s="1" t="s">
        <v>424</v>
      </c>
      <c r="D124" s="1" t="s">
        <v>425</v>
      </c>
      <c r="E124" s="2" t="s">
        <v>426</v>
      </c>
      <c r="F124" s="2" t="s">
        <v>417</v>
      </c>
      <c r="G124" s="2">
        <v>0</v>
      </c>
      <c r="H124" s="2">
        <v>0</v>
      </c>
      <c r="I124" s="1">
        <v>0</v>
      </c>
      <c r="J124" s="3" t="s">
        <v>18</v>
      </c>
      <c r="K124" s="2" t="str">
        <f>J124*994.36</f>
        <v>0</v>
      </c>
      <c r="L124" s="5"/>
    </row>
    <row r="125" spans="1:12" customHeight="1" ht="105" outlineLevel="4">
      <c r="A125" s="1"/>
      <c r="B125" s="1">
        <v>874015</v>
      </c>
      <c r="C125" s="1" t="s">
        <v>427</v>
      </c>
      <c r="D125" s="1" t="s">
        <v>428</v>
      </c>
      <c r="E125" s="2" t="s">
        <v>429</v>
      </c>
      <c r="F125" s="2" t="s">
        <v>430</v>
      </c>
      <c r="G125" s="2">
        <v>7</v>
      </c>
      <c r="H125" s="2">
        <v>0</v>
      </c>
      <c r="I125" s="1">
        <v>0</v>
      </c>
      <c r="J125" s="3" t="s">
        <v>18</v>
      </c>
      <c r="K125" s="2" t="str">
        <f>J125*3130.12</f>
        <v>0</v>
      </c>
      <c r="L125" s="5"/>
    </row>
    <row r="126" spans="1:12" customHeight="1" ht="105" outlineLevel="4">
      <c r="A126" s="1"/>
      <c r="B126" s="1">
        <v>874016</v>
      </c>
      <c r="C126" s="1" t="s">
        <v>431</v>
      </c>
      <c r="D126" s="1" t="s">
        <v>432</v>
      </c>
      <c r="E126" s="2" t="s">
        <v>433</v>
      </c>
      <c r="F126" s="2" t="s">
        <v>434</v>
      </c>
      <c r="G126" s="2">
        <v>10</v>
      </c>
      <c r="H126" s="2">
        <v>0</v>
      </c>
      <c r="I126" s="1">
        <v>0</v>
      </c>
      <c r="J126" s="3" t="s">
        <v>18</v>
      </c>
      <c r="K126" s="2" t="str">
        <f>J126*3516.72</f>
        <v>0</v>
      </c>
      <c r="L126" s="5"/>
    </row>
    <row r="127" spans="1:12" customHeight="1" ht="105" outlineLevel="4">
      <c r="A127" s="1"/>
      <c r="B127" s="1">
        <v>874017</v>
      </c>
      <c r="C127" s="1" t="s">
        <v>435</v>
      </c>
      <c r="D127" s="1" t="s">
        <v>436</v>
      </c>
      <c r="E127" s="2" t="s">
        <v>437</v>
      </c>
      <c r="F127" s="2" t="s">
        <v>438</v>
      </c>
      <c r="G127" s="2">
        <v>0</v>
      </c>
      <c r="H127" s="2">
        <v>0</v>
      </c>
      <c r="I127" s="1">
        <v>0</v>
      </c>
      <c r="J127" s="3" t="s">
        <v>18</v>
      </c>
      <c r="K127" s="2" t="str">
        <f>J127*4178.30</f>
        <v>0</v>
      </c>
      <c r="L127" s="5"/>
    </row>
    <row r="128" spans="1:12" customHeight="1" ht="105" outlineLevel="4">
      <c r="A128" s="1"/>
      <c r="B128" s="1">
        <v>874018</v>
      </c>
      <c r="C128" s="1" t="s">
        <v>439</v>
      </c>
      <c r="D128" s="1" t="s">
        <v>440</v>
      </c>
      <c r="E128" s="2" t="s">
        <v>441</v>
      </c>
      <c r="F128" s="2" t="s">
        <v>442</v>
      </c>
      <c r="G128" s="2" t="s">
        <v>17</v>
      </c>
      <c r="H128" s="2">
        <v>0</v>
      </c>
      <c r="I128" s="1">
        <v>0</v>
      </c>
      <c r="J128" s="3" t="s">
        <v>18</v>
      </c>
      <c r="K128" s="2" t="str">
        <f>J128*687.96</f>
        <v>0</v>
      </c>
      <c r="L128" s="5"/>
    </row>
    <row r="129" spans="1:12" customHeight="1" ht="105" outlineLevel="4">
      <c r="A129" s="1"/>
      <c r="B129" s="1">
        <v>882313</v>
      </c>
      <c r="C129" s="1" t="s">
        <v>443</v>
      </c>
      <c r="D129" s="1" t="s">
        <v>444</v>
      </c>
      <c r="E129" s="2" t="s">
        <v>445</v>
      </c>
      <c r="F129" s="2" t="s">
        <v>446</v>
      </c>
      <c r="G129" s="2">
        <v>8</v>
      </c>
      <c r="H129" s="2">
        <v>0</v>
      </c>
      <c r="I129" s="1">
        <v>0</v>
      </c>
      <c r="J129" s="3" t="s">
        <v>18</v>
      </c>
      <c r="K129" s="2" t="str">
        <f>J129*442.88</f>
        <v>0</v>
      </c>
      <c r="L129" s="5"/>
    </row>
    <row r="130" spans="1:12" customHeight="1" ht="105" outlineLevel="4">
      <c r="A130" s="1"/>
      <c r="B130" s="1">
        <v>882314</v>
      </c>
      <c r="C130" s="1" t="s">
        <v>447</v>
      </c>
      <c r="D130" s="1" t="s">
        <v>448</v>
      </c>
      <c r="E130" s="2" t="s">
        <v>449</v>
      </c>
      <c r="F130" s="2" t="s">
        <v>446</v>
      </c>
      <c r="G130" s="2">
        <v>8</v>
      </c>
      <c r="H130" s="2">
        <v>0</v>
      </c>
      <c r="I130" s="1">
        <v>0</v>
      </c>
      <c r="J130" s="3" t="s">
        <v>18</v>
      </c>
      <c r="K130" s="2" t="str">
        <f>J130*442.88</f>
        <v>0</v>
      </c>
      <c r="L130" s="5"/>
    </row>
    <row r="131" spans="1:12" customHeight="1" ht="105" outlineLevel="4">
      <c r="A131" s="1"/>
      <c r="B131" s="1">
        <v>883386</v>
      </c>
      <c r="C131" s="1" t="s">
        <v>450</v>
      </c>
      <c r="D131" s="1" t="s">
        <v>451</v>
      </c>
      <c r="E131" s="2" t="s">
        <v>452</v>
      </c>
      <c r="F131" s="2" t="s">
        <v>453</v>
      </c>
      <c r="G131" s="2">
        <v>10</v>
      </c>
      <c r="H131" s="2">
        <v>0</v>
      </c>
      <c r="I131" s="1">
        <v>0</v>
      </c>
      <c r="J131" s="3" t="s">
        <v>18</v>
      </c>
      <c r="K131" s="2" t="str">
        <f>J131*3191.06</f>
        <v>0</v>
      </c>
      <c r="L131" s="5"/>
    </row>
    <row r="132" spans="1:12" customHeight="1" ht="105" outlineLevel="4">
      <c r="A132" s="1"/>
      <c r="B132" s="1">
        <v>883387</v>
      </c>
      <c r="C132" s="1" t="s">
        <v>454</v>
      </c>
      <c r="D132" s="1" t="s">
        <v>455</v>
      </c>
      <c r="E132" s="2" t="s">
        <v>456</v>
      </c>
      <c r="F132" s="2" t="s">
        <v>457</v>
      </c>
      <c r="G132" s="2" t="s">
        <v>22</v>
      </c>
      <c r="H132" s="2">
        <v>0</v>
      </c>
      <c r="I132" s="1">
        <v>0</v>
      </c>
      <c r="J132" s="3" t="s">
        <v>18</v>
      </c>
      <c r="K132" s="2" t="str">
        <f>J132*887.40</f>
        <v>0</v>
      </c>
      <c r="L132" s="5"/>
    </row>
    <row r="133" spans="1:12" customHeight="1" ht="105" outlineLevel="4">
      <c r="A133" s="1"/>
      <c r="B133" s="1">
        <v>885131</v>
      </c>
      <c r="C133" s="1" t="s">
        <v>458</v>
      </c>
      <c r="D133" s="1" t="s">
        <v>459</v>
      </c>
      <c r="E133" s="2" t="s">
        <v>460</v>
      </c>
      <c r="F133" s="2" t="s">
        <v>461</v>
      </c>
      <c r="G133" s="2" t="s">
        <v>22</v>
      </c>
      <c r="H133" s="2">
        <v>0</v>
      </c>
      <c r="I133" s="1">
        <v>0</v>
      </c>
      <c r="J133" s="3" t="s">
        <v>18</v>
      </c>
      <c r="K133" s="2" t="str">
        <f>J133*13942.50</f>
        <v>0</v>
      </c>
      <c r="L133" s="5"/>
    </row>
    <row r="134" spans="1:12" customHeight="1" ht="105" outlineLevel="4">
      <c r="A134" s="1"/>
      <c r="B134" s="1">
        <v>885240</v>
      </c>
      <c r="C134" s="1" t="s">
        <v>462</v>
      </c>
      <c r="D134" s="1" t="s">
        <v>463</v>
      </c>
      <c r="E134" s="2" t="s">
        <v>464</v>
      </c>
      <c r="F134" s="2" t="s">
        <v>461</v>
      </c>
      <c r="G134" s="2">
        <v>2</v>
      </c>
      <c r="H134" s="2">
        <v>0</v>
      </c>
      <c r="I134" s="1">
        <v>0</v>
      </c>
      <c r="J134" s="3" t="s">
        <v>18</v>
      </c>
      <c r="K134" s="2" t="str">
        <f>J134*13942.50</f>
        <v>0</v>
      </c>
      <c r="L134" s="5"/>
    </row>
    <row r="135" spans="1:12" outlineLevel="4">
      <c r="A135" s="1"/>
      <c r="B135" s="1">
        <v>954236</v>
      </c>
      <c r="C135" s="1" t="s">
        <v>465</v>
      </c>
      <c r="D135" s="1" t="s">
        <v>466</v>
      </c>
      <c r="E135" s="2" t="s">
        <v>467</v>
      </c>
      <c r="F135" s="2"/>
      <c r="G135" s="2">
        <v>0</v>
      </c>
      <c r="H135" s="2">
        <v>0</v>
      </c>
      <c r="I135" s="1">
        <v>0</v>
      </c>
      <c r="J135" s="3" t="s">
        <v>18</v>
      </c>
      <c r="K135" s="2" t="str">
        <f>J135*0</f>
        <v>0</v>
      </c>
      <c r="L135" s="5"/>
    </row>
    <row r="136" spans="1:12" outlineLevel="1">
      <c r="A136" s="7" t="s">
        <v>468</v>
      </c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5"/>
    </row>
    <row r="137" spans="1:12" outlineLevel="2">
      <c r="A137" s="8" t="s">
        <v>469</v>
      </c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5"/>
    </row>
    <row r="138" spans="1:12" customHeight="1" ht="105" outlineLevel="4">
      <c r="A138" s="1"/>
      <c r="B138" s="1">
        <v>833404</v>
      </c>
      <c r="C138" s="1" t="s">
        <v>470</v>
      </c>
      <c r="D138" s="1" t="s">
        <v>471</v>
      </c>
      <c r="E138" s="2" t="s">
        <v>472</v>
      </c>
      <c r="F138" s="2" t="s">
        <v>473</v>
      </c>
      <c r="G138" s="2" t="s">
        <v>22</v>
      </c>
      <c r="H138" s="2">
        <v>0</v>
      </c>
      <c r="I138" s="1">
        <v>0</v>
      </c>
      <c r="J138" s="3" t="s">
        <v>18</v>
      </c>
      <c r="K138" s="2" t="str">
        <f>J138*2661.04</f>
        <v>0</v>
      </c>
      <c r="L138" s="5"/>
    </row>
    <row r="139" spans="1:12" customHeight="1" ht="105" outlineLevel="4">
      <c r="A139" s="1"/>
      <c r="B139" s="1">
        <v>833405</v>
      </c>
      <c r="C139" s="1" t="s">
        <v>474</v>
      </c>
      <c r="D139" s="1" t="s">
        <v>475</v>
      </c>
      <c r="E139" s="2" t="s">
        <v>476</v>
      </c>
      <c r="F139" s="2" t="s">
        <v>477</v>
      </c>
      <c r="G139" s="2" t="s">
        <v>22</v>
      </c>
      <c r="H139" s="2">
        <v>0</v>
      </c>
      <c r="I139" s="1">
        <v>0</v>
      </c>
      <c r="J139" s="3" t="s">
        <v>18</v>
      </c>
      <c r="K139" s="2" t="str">
        <f>J139*3011.58</f>
        <v>0</v>
      </c>
      <c r="L139" s="5"/>
    </row>
    <row r="140" spans="1:12" customHeight="1" ht="105" outlineLevel="4">
      <c r="A140" s="1"/>
      <c r="B140" s="1">
        <v>833406</v>
      </c>
      <c r="C140" s="1" t="s">
        <v>478</v>
      </c>
      <c r="D140" s="1" t="s">
        <v>479</v>
      </c>
      <c r="E140" s="2" t="s">
        <v>480</v>
      </c>
      <c r="F140" s="2" t="s">
        <v>481</v>
      </c>
      <c r="G140" s="2" t="s">
        <v>22</v>
      </c>
      <c r="H140" s="2">
        <v>0</v>
      </c>
      <c r="I140" s="1">
        <v>0</v>
      </c>
      <c r="J140" s="3" t="s">
        <v>18</v>
      </c>
      <c r="K140" s="2" t="str">
        <f>J140*2795.16</f>
        <v>0</v>
      </c>
      <c r="L140" s="5"/>
    </row>
    <row r="141" spans="1:12" customHeight="1" ht="105" outlineLevel="4">
      <c r="A141" s="1"/>
      <c r="B141" s="1">
        <v>833407</v>
      </c>
      <c r="C141" s="1" t="s">
        <v>482</v>
      </c>
      <c r="D141" s="1" t="s">
        <v>483</v>
      </c>
      <c r="E141" s="2" t="s">
        <v>484</v>
      </c>
      <c r="F141" s="2" t="s">
        <v>485</v>
      </c>
      <c r="G141" s="2" t="s">
        <v>22</v>
      </c>
      <c r="H141" s="2">
        <v>0</v>
      </c>
      <c r="I141" s="1">
        <v>0</v>
      </c>
      <c r="J141" s="3" t="s">
        <v>18</v>
      </c>
      <c r="K141" s="2" t="str">
        <f>J141*3104.20</f>
        <v>0</v>
      </c>
      <c r="L141" s="5"/>
    </row>
    <row r="142" spans="1:12" customHeight="1" ht="105" outlineLevel="4">
      <c r="A142" s="1"/>
      <c r="B142" s="1">
        <v>835193</v>
      </c>
      <c r="C142" s="1" t="s">
        <v>486</v>
      </c>
      <c r="D142" s="1" t="s">
        <v>487</v>
      </c>
      <c r="E142" s="2" t="s">
        <v>488</v>
      </c>
      <c r="F142" s="2" t="s">
        <v>489</v>
      </c>
      <c r="G142" s="2">
        <v>7</v>
      </c>
      <c r="H142" s="2">
        <v>0</v>
      </c>
      <c r="I142" s="1">
        <v>0</v>
      </c>
      <c r="J142" s="3" t="s">
        <v>18</v>
      </c>
      <c r="K142" s="2" t="str">
        <f>J142*3651.04</f>
        <v>0</v>
      </c>
      <c r="L142" s="5"/>
    </row>
    <row r="143" spans="1:12" customHeight="1" ht="105" outlineLevel="4">
      <c r="A143" s="1"/>
      <c r="B143" s="1">
        <v>835194</v>
      </c>
      <c r="C143" s="1" t="s">
        <v>490</v>
      </c>
      <c r="D143" s="1" t="s">
        <v>491</v>
      </c>
      <c r="E143" s="2" t="s">
        <v>492</v>
      </c>
      <c r="F143" s="2" t="s">
        <v>493</v>
      </c>
      <c r="G143" s="2">
        <v>7</v>
      </c>
      <c r="H143" s="2">
        <v>0</v>
      </c>
      <c r="I143" s="1">
        <v>0</v>
      </c>
      <c r="J143" s="3" t="s">
        <v>18</v>
      </c>
      <c r="K143" s="2" t="str">
        <f>J143*3703.43</f>
        <v>0</v>
      </c>
      <c r="L143" s="5"/>
    </row>
    <row r="144" spans="1:12" outlineLevel="2">
      <c r="A144" s="8" t="s">
        <v>494</v>
      </c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5"/>
    </row>
    <row r="145" spans="1:12" customHeight="1" ht="105" outlineLevel="4">
      <c r="A145" s="1"/>
      <c r="B145" s="1">
        <v>873643</v>
      </c>
      <c r="C145" s="1" t="s">
        <v>495</v>
      </c>
      <c r="D145" s="1" t="s">
        <v>496</v>
      </c>
      <c r="E145" s="2" t="s">
        <v>497</v>
      </c>
      <c r="F145" s="2" t="s">
        <v>498</v>
      </c>
      <c r="G145" s="2">
        <v>0</v>
      </c>
      <c r="H145" s="2">
        <v>0</v>
      </c>
      <c r="I145" s="1">
        <v>6</v>
      </c>
      <c r="J145" s="3" t="s">
        <v>18</v>
      </c>
      <c r="K145" s="2" t="str">
        <f>J145*2427.74</f>
        <v>0</v>
      </c>
      <c r="L145" s="5"/>
    </row>
    <row r="146" spans="1:12" customHeight="1" ht="105" outlineLevel="4">
      <c r="A146" s="1"/>
      <c r="B146" s="1">
        <v>873644</v>
      </c>
      <c r="C146" s="1" t="s">
        <v>499</v>
      </c>
      <c r="D146" s="1" t="s">
        <v>500</v>
      </c>
      <c r="E146" s="2" t="s">
        <v>501</v>
      </c>
      <c r="F146" s="2" t="s">
        <v>502</v>
      </c>
      <c r="G146" s="2">
        <v>0</v>
      </c>
      <c r="H146" s="2">
        <v>0</v>
      </c>
      <c r="I146" s="1">
        <v>6</v>
      </c>
      <c r="J146" s="3" t="s">
        <v>18</v>
      </c>
      <c r="K146" s="2" t="str">
        <f>J146*2561.35</f>
        <v>0</v>
      </c>
      <c r="L146" s="5"/>
    </row>
    <row r="147" spans="1:12" customHeight="1" ht="105" outlineLevel="4">
      <c r="A147" s="1"/>
      <c r="B147" s="1">
        <v>873645</v>
      </c>
      <c r="C147" s="1" t="s">
        <v>503</v>
      </c>
      <c r="D147" s="1" t="s">
        <v>504</v>
      </c>
      <c r="E147" s="2" t="s">
        <v>505</v>
      </c>
      <c r="F147" s="2" t="s">
        <v>506</v>
      </c>
      <c r="G147" s="2">
        <v>3</v>
      </c>
      <c r="H147" s="2">
        <v>0</v>
      </c>
      <c r="I147" s="1">
        <v>0</v>
      </c>
      <c r="J147" s="3" t="s">
        <v>18</v>
      </c>
      <c r="K147" s="2" t="str">
        <f>J147*2541.06</f>
        <v>0</v>
      </c>
      <c r="L147" s="5"/>
    </row>
    <row r="148" spans="1:12" customHeight="1" ht="105" outlineLevel="4">
      <c r="A148" s="1"/>
      <c r="B148" s="1">
        <v>873646</v>
      </c>
      <c r="C148" s="1" t="s">
        <v>507</v>
      </c>
      <c r="D148" s="1" t="s">
        <v>508</v>
      </c>
      <c r="E148" s="2" t="s">
        <v>509</v>
      </c>
      <c r="F148" s="2" t="s">
        <v>510</v>
      </c>
      <c r="G148" s="2">
        <v>2</v>
      </c>
      <c r="H148" s="2">
        <v>0</v>
      </c>
      <c r="I148" s="1">
        <v>0</v>
      </c>
      <c r="J148" s="3" t="s">
        <v>18</v>
      </c>
      <c r="K148" s="2" t="str">
        <f>J148*3068.20</f>
        <v>0</v>
      </c>
      <c r="L148" s="5"/>
    </row>
    <row r="149" spans="1:12" customHeight="1" ht="105" outlineLevel="4">
      <c r="A149" s="1"/>
      <c r="B149" s="1">
        <v>873647</v>
      </c>
      <c r="C149" s="1" t="s">
        <v>511</v>
      </c>
      <c r="D149" s="1" t="s">
        <v>512</v>
      </c>
      <c r="E149" s="2" t="s">
        <v>513</v>
      </c>
      <c r="F149" s="2" t="s">
        <v>514</v>
      </c>
      <c r="G149" s="2">
        <v>0</v>
      </c>
      <c r="H149" s="2">
        <v>0</v>
      </c>
      <c r="I149" s="1">
        <v>0</v>
      </c>
      <c r="J149" s="3" t="s">
        <v>18</v>
      </c>
      <c r="K149" s="2" t="str">
        <f>J149*3737.38</f>
        <v>0</v>
      </c>
      <c r="L149" s="5"/>
    </row>
    <row r="150" spans="1:12" customHeight="1" ht="105" outlineLevel="4">
      <c r="A150" s="1"/>
      <c r="B150" s="1">
        <v>873649</v>
      </c>
      <c r="C150" s="1" t="s">
        <v>515</v>
      </c>
      <c r="D150" s="1" t="s">
        <v>516</v>
      </c>
      <c r="E150" s="2" t="s">
        <v>517</v>
      </c>
      <c r="F150" s="2" t="s">
        <v>518</v>
      </c>
      <c r="G150" s="2">
        <v>1</v>
      </c>
      <c r="H150" s="2">
        <v>0</v>
      </c>
      <c r="I150" s="1" t="s">
        <v>22</v>
      </c>
      <c r="J150" s="3" t="s">
        <v>18</v>
      </c>
      <c r="K150" s="2" t="str">
        <f>J150*2709.10</f>
        <v>0</v>
      </c>
      <c r="L150" s="5"/>
    </row>
    <row r="151" spans="1:12" customHeight="1" ht="105" outlineLevel="4">
      <c r="A151" s="1"/>
      <c r="B151" s="1">
        <v>873650</v>
      </c>
      <c r="C151" s="1" t="s">
        <v>519</v>
      </c>
      <c r="D151" s="1" t="s">
        <v>520</v>
      </c>
      <c r="E151" s="2" t="s">
        <v>521</v>
      </c>
      <c r="F151" s="2" t="s">
        <v>522</v>
      </c>
      <c r="G151" s="2">
        <v>-1</v>
      </c>
      <c r="H151" s="2">
        <v>0</v>
      </c>
      <c r="I151" s="1">
        <v>6</v>
      </c>
      <c r="J151" s="3" t="s">
        <v>18</v>
      </c>
      <c r="K151" s="2" t="str">
        <f>J151*2868.01</f>
        <v>0</v>
      </c>
      <c r="L151" s="5"/>
    </row>
    <row r="152" spans="1:12" customHeight="1" ht="105" outlineLevel="4">
      <c r="A152" s="1"/>
      <c r="B152" s="1">
        <v>873651</v>
      </c>
      <c r="C152" s="1" t="s">
        <v>523</v>
      </c>
      <c r="D152" s="1" t="s">
        <v>524</v>
      </c>
      <c r="E152" s="2" t="s">
        <v>525</v>
      </c>
      <c r="F152" s="2" t="s">
        <v>526</v>
      </c>
      <c r="G152" s="2">
        <v>4</v>
      </c>
      <c r="H152" s="2">
        <v>0</v>
      </c>
      <c r="I152" s="1">
        <v>0</v>
      </c>
      <c r="J152" s="3" t="s">
        <v>18</v>
      </c>
      <c r="K152" s="2" t="str">
        <f>J152*3294.14</f>
        <v>0</v>
      </c>
      <c r="L152" s="5"/>
    </row>
    <row r="153" spans="1:12" customHeight="1" ht="105" outlineLevel="4">
      <c r="A153" s="1"/>
      <c r="B153" s="1">
        <v>873652</v>
      </c>
      <c r="C153" s="1" t="s">
        <v>527</v>
      </c>
      <c r="D153" s="1" t="s">
        <v>528</v>
      </c>
      <c r="E153" s="2" t="s">
        <v>529</v>
      </c>
      <c r="F153" s="2" t="s">
        <v>530</v>
      </c>
      <c r="G153" s="2">
        <v>2</v>
      </c>
      <c r="H153" s="2">
        <v>0</v>
      </c>
      <c r="I153" s="1">
        <v>0</v>
      </c>
      <c r="J153" s="3" t="s">
        <v>18</v>
      </c>
      <c r="K153" s="2" t="str">
        <f>J153*3854.34</f>
        <v>0</v>
      </c>
      <c r="L153" s="5"/>
    </row>
    <row r="154" spans="1:12" outlineLevel="2">
      <c r="A154" s="8" t="s">
        <v>531</v>
      </c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5"/>
    </row>
    <row r="155" spans="1:12" outlineLevel="4">
      <c r="A155" s="1"/>
      <c r="B155" s="1">
        <v>956487</v>
      </c>
      <c r="C155" s="1" t="s">
        <v>532</v>
      </c>
      <c r="D155" s="1" t="s">
        <v>533</v>
      </c>
      <c r="E155" s="2" t="s">
        <v>534</v>
      </c>
      <c r="F155" s="2" t="s">
        <v>535</v>
      </c>
      <c r="G155" s="2">
        <v>0</v>
      </c>
      <c r="H155" s="2">
        <v>0</v>
      </c>
      <c r="I155" s="1">
        <v>0</v>
      </c>
      <c r="J155" s="3" t="s">
        <v>18</v>
      </c>
      <c r="K155" s="2" t="str">
        <f>J155*2507.82</f>
        <v>0</v>
      </c>
      <c r="L155" s="5"/>
    </row>
    <row r="156" spans="1:12" outlineLevel="4">
      <c r="A156" s="1"/>
      <c r="B156" s="1">
        <v>956488</v>
      </c>
      <c r="C156" s="1" t="s">
        <v>536</v>
      </c>
      <c r="D156" s="1" t="s">
        <v>537</v>
      </c>
      <c r="E156" s="2" t="s">
        <v>538</v>
      </c>
      <c r="F156" s="2" t="s">
        <v>539</v>
      </c>
      <c r="G156" s="2">
        <v>0</v>
      </c>
      <c r="H156" s="2">
        <v>0</v>
      </c>
      <c r="I156" s="1">
        <v>0</v>
      </c>
      <c r="J156" s="3" t="s">
        <v>18</v>
      </c>
      <c r="K156" s="2" t="str">
        <f>J156*2713.62</f>
        <v>0</v>
      </c>
      <c r="L156" s="5"/>
    </row>
    <row r="157" spans="1:12" outlineLevel="4">
      <c r="A157" s="1"/>
      <c r="B157" s="1">
        <v>956489</v>
      </c>
      <c r="C157" s="1" t="s">
        <v>540</v>
      </c>
      <c r="D157" s="1" t="s">
        <v>541</v>
      </c>
      <c r="E157" s="2" t="s">
        <v>542</v>
      </c>
      <c r="F157" s="2" t="s">
        <v>543</v>
      </c>
      <c r="G157" s="2">
        <v>0</v>
      </c>
      <c r="H157" s="2">
        <v>0</v>
      </c>
      <c r="I157" s="1">
        <v>0</v>
      </c>
      <c r="J157" s="3" t="s">
        <v>18</v>
      </c>
      <c r="K157" s="2" t="str">
        <f>J157*3103.17</f>
        <v>0</v>
      </c>
      <c r="L157" s="5"/>
    </row>
    <row r="158" spans="1:12" outlineLevel="4">
      <c r="A158" s="1"/>
      <c r="B158" s="1">
        <v>956490</v>
      </c>
      <c r="C158" s="1" t="s">
        <v>544</v>
      </c>
      <c r="D158" s="1" t="s">
        <v>545</v>
      </c>
      <c r="E158" s="2" t="s">
        <v>546</v>
      </c>
      <c r="F158" s="2" t="s">
        <v>547</v>
      </c>
      <c r="G158" s="2">
        <v>0</v>
      </c>
      <c r="H158" s="2">
        <v>0</v>
      </c>
      <c r="I158" s="1">
        <v>0</v>
      </c>
      <c r="J158" s="3" t="s">
        <v>18</v>
      </c>
      <c r="K158" s="2" t="str">
        <f>J158*2553.39</f>
        <v>0</v>
      </c>
      <c r="L158" s="5"/>
    </row>
    <row r="159" spans="1:12" outlineLevel="4">
      <c r="A159" s="1"/>
      <c r="B159" s="1">
        <v>956491</v>
      </c>
      <c r="C159" s="1" t="s">
        <v>548</v>
      </c>
      <c r="D159" s="1" t="s">
        <v>549</v>
      </c>
      <c r="E159" s="2" t="s">
        <v>550</v>
      </c>
      <c r="F159" s="2" t="s">
        <v>551</v>
      </c>
      <c r="G159" s="2">
        <v>0</v>
      </c>
      <c r="H159" s="2">
        <v>0</v>
      </c>
      <c r="I159" s="1">
        <v>0</v>
      </c>
      <c r="J159" s="3" t="s">
        <v>18</v>
      </c>
      <c r="K159" s="2" t="str">
        <f>J159*2753.31</f>
        <v>0</v>
      </c>
      <c r="L159" s="5"/>
    </row>
    <row r="160" spans="1:12" outlineLevel="4">
      <c r="A160" s="1"/>
      <c r="B160" s="1">
        <v>956492</v>
      </c>
      <c r="C160" s="1" t="s">
        <v>552</v>
      </c>
      <c r="D160" s="1" t="s">
        <v>553</v>
      </c>
      <c r="E160" s="2" t="s">
        <v>554</v>
      </c>
      <c r="F160" s="2" t="s">
        <v>555</v>
      </c>
      <c r="G160" s="2">
        <v>0</v>
      </c>
      <c r="H160" s="2">
        <v>0</v>
      </c>
      <c r="I160" s="1">
        <v>0</v>
      </c>
      <c r="J160" s="3" t="s">
        <v>18</v>
      </c>
      <c r="K160" s="2" t="str">
        <f>J160*3045.84</f>
        <v>0</v>
      </c>
      <c r="L160" s="5"/>
    </row>
    <row r="161" spans="1:12" outlineLevel="1">
      <c r="A161" s="7" t="s">
        <v>556</v>
      </c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5"/>
    </row>
    <row r="162" spans="1:12" outlineLevel="2">
      <c r="A162" s="8" t="s">
        <v>557</v>
      </c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5"/>
    </row>
    <row r="163" spans="1:12" customHeight="1" ht="105" outlineLevel="4">
      <c r="A163" s="1"/>
      <c r="B163" s="1">
        <v>882097</v>
      </c>
      <c r="C163" s="1" t="s">
        <v>558</v>
      </c>
      <c r="D163" s="1" t="s">
        <v>559</v>
      </c>
      <c r="E163" s="2" t="s">
        <v>560</v>
      </c>
      <c r="F163" s="2" t="s">
        <v>561</v>
      </c>
      <c r="G163" s="2">
        <v>1</v>
      </c>
      <c r="H163" s="2">
        <v>0</v>
      </c>
      <c r="I163" s="1">
        <v>0</v>
      </c>
      <c r="J163" s="3" t="s">
        <v>18</v>
      </c>
      <c r="K163" s="2" t="str">
        <f>J163*4190.97</f>
        <v>0</v>
      </c>
      <c r="L163" s="5"/>
    </row>
    <row r="164" spans="1:12" customHeight="1" ht="105" outlineLevel="4">
      <c r="A164" s="1"/>
      <c r="B164" s="1">
        <v>879987</v>
      </c>
      <c r="C164" s="1" t="s">
        <v>562</v>
      </c>
      <c r="D164" s="1" t="s">
        <v>563</v>
      </c>
      <c r="E164" s="2" t="s">
        <v>564</v>
      </c>
      <c r="F164" s="2" t="s">
        <v>565</v>
      </c>
      <c r="G164" s="2" t="s">
        <v>244</v>
      </c>
      <c r="H164" s="2">
        <v>0</v>
      </c>
      <c r="I164" s="1">
        <v>0</v>
      </c>
      <c r="J164" s="3" t="s">
        <v>18</v>
      </c>
      <c r="K164" s="2" t="str">
        <f>J164*4294.72</f>
        <v>0</v>
      </c>
      <c r="L164" s="5"/>
    </row>
    <row r="165" spans="1:12" customHeight="1" ht="105" outlineLevel="4">
      <c r="A165" s="1"/>
      <c r="B165" s="1">
        <v>833378</v>
      </c>
      <c r="C165" s="1" t="s">
        <v>566</v>
      </c>
      <c r="D165" s="1" t="s">
        <v>567</v>
      </c>
      <c r="E165" s="2" t="s">
        <v>568</v>
      </c>
      <c r="F165" s="2" t="s">
        <v>569</v>
      </c>
      <c r="G165" s="2">
        <v>1</v>
      </c>
      <c r="H165" s="2">
        <v>0</v>
      </c>
      <c r="I165" s="1">
        <v>0</v>
      </c>
      <c r="J165" s="3" t="s">
        <v>18</v>
      </c>
      <c r="K165" s="2" t="str">
        <f>J165*9665.93</f>
        <v>0</v>
      </c>
      <c r="L165" s="5"/>
    </row>
    <row r="166" spans="1:12" customHeight="1" ht="105" outlineLevel="4">
      <c r="A166" s="1"/>
      <c r="B166" s="1">
        <v>833379</v>
      </c>
      <c r="C166" s="1" t="s">
        <v>570</v>
      </c>
      <c r="D166" s="1" t="s">
        <v>571</v>
      </c>
      <c r="E166" s="2" t="s">
        <v>572</v>
      </c>
      <c r="F166" s="2" t="s">
        <v>573</v>
      </c>
      <c r="G166" s="2">
        <v>3</v>
      </c>
      <c r="H166" s="2">
        <v>0</v>
      </c>
      <c r="I166" s="1">
        <v>0</v>
      </c>
      <c r="J166" s="3" t="s">
        <v>18</v>
      </c>
      <c r="K166" s="2" t="str">
        <f>J166*12713.13</f>
        <v>0</v>
      </c>
      <c r="L166" s="5"/>
    </row>
    <row r="167" spans="1:12" customHeight="1" ht="105" outlineLevel="4">
      <c r="A167" s="1"/>
      <c r="B167" s="1">
        <v>833380</v>
      </c>
      <c r="C167" s="1" t="s">
        <v>574</v>
      </c>
      <c r="D167" s="1" t="s">
        <v>575</v>
      </c>
      <c r="E167" s="2" t="s">
        <v>576</v>
      </c>
      <c r="F167" s="2" t="s">
        <v>577</v>
      </c>
      <c r="G167" s="2">
        <v>0</v>
      </c>
      <c r="H167" s="2">
        <v>0</v>
      </c>
      <c r="I167" s="1">
        <v>0</v>
      </c>
      <c r="J167" s="3" t="s">
        <v>18</v>
      </c>
      <c r="K167" s="2" t="str">
        <f>J167*13658.55</f>
        <v>0</v>
      </c>
      <c r="L167" s="5"/>
    </row>
    <row r="168" spans="1:12" customHeight="1" ht="105" outlineLevel="4">
      <c r="A168" s="1"/>
      <c r="B168" s="1">
        <v>833381</v>
      </c>
      <c r="C168" s="1" t="s">
        <v>578</v>
      </c>
      <c r="D168" s="1" t="s">
        <v>579</v>
      </c>
      <c r="E168" s="2" t="s">
        <v>580</v>
      </c>
      <c r="F168" s="2" t="s">
        <v>581</v>
      </c>
      <c r="G168" s="2">
        <v>3</v>
      </c>
      <c r="H168" s="2">
        <v>0</v>
      </c>
      <c r="I168" s="1">
        <v>0</v>
      </c>
      <c r="J168" s="3" t="s">
        <v>18</v>
      </c>
      <c r="K168" s="2" t="str">
        <f>J168*15276.13</f>
        <v>0</v>
      </c>
      <c r="L168" s="5"/>
    </row>
    <row r="169" spans="1:12" customHeight="1" ht="105" outlineLevel="4">
      <c r="A169" s="1"/>
      <c r="B169" s="1">
        <v>833382</v>
      </c>
      <c r="C169" s="1" t="s">
        <v>582</v>
      </c>
      <c r="D169" s="1" t="s">
        <v>583</v>
      </c>
      <c r="E169" s="2" t="s">
        <v>584</v>
      </c>
      <c r="F169" s="2" t="s">
        <v>585</v>
      </c>
      <c r="G169" s="2">
        <v>1</v>
      </c>
      <c r="H169" s="2">
        <v>0</v>
      </c>
      <c r="I169" s="1">
        <v>0</v>
      </c>
      <c r="J169" s="3" t="s">
        <v>18</v>
      </c>
      <c r="K169" s="2" t="str">
        <f>J169*18801.39</f>
        <v>0</v>
      </c>
      <c r="L169" s="5"/>
    </row>
    <row r="170" spans="1:12" customHeight="1" ht="105" outlineLevel="4">
      <c r="A170" s="1"/>
      <c r="B170" s="1">
        <v>833383</v>
      </c>
      <c r="C170" s="1" t="s">
        <v>586</v>
      </c>
      <c r="D170" s="1" t="s">
        <v>587</v>
      </c>
      <c r="E170" s="2" t="s">
        <v>588</v>
      </c>
      <c r="F170" s="2" t="s">
        <v>589</v>
      </c>
      <c r="G170" s="2">
        <v>2</v>
      </c>
      <c r="H170" s="2">
        <v>0</v>
      </c>
      <c r="I170" s="1">
        <v>0</v>
      </c>
      <c r="J170" s="3" t="s">
        <v>18</v>
      </c>
      <c r="K170" s="2" t="str">
        <f>J170*9839.12</f>
        <v>0</v>
      </c>
      <c r="L170" s="5"/>
    </row>
    <row r="171" spans="1:12" customHeight="1" ht="105" outlineLevel="4">
      <c r="A171" s="1"/>
      <c r="B171" s="1">
        <v>833384</v>
      </c>
      <c r="C171" s="1" t="s">
        <v>590</v>
      </c>
      <c r="D171" s="1" t="s">
        <v>591</v>
      </c>
      <c r="E171" s="2" t="s">
        <v>592</v>
      </c>
      <c r="F171" s="2" t="s">
        <v>593</v>
      </c>
      <c r="G171" s="2">
        <v>0</v>
      </c>
      <c r="H171" s="2">
        <v>0</v>
      </c>
      <c r="I171" s="1">
        <v>0</v>
      </c>
      <c r="J171" s="3" t="s">
        <v>18</v>
      </c>
      <c r="K171" s="2" t="str">
        <f>J171*4061.23</f>
        <v>0</v>
      </c>
      <c r="L171" s="5"/>
    </row>
    <row r="172" spans="1:12" customHeight="1" ht="105" outlineLevel="4">
      <c r="A172" s="1"/>
      <c r="B172" s="1">
        <v>833385</v>
      </c>
      <c r="C172" s="1" t="s">
        <v>594</v>
      </c>
      <c r="D172" s="1" t="s">
        <v>595</v>
      </c>
      <c r="E172" s="2" t="s">
        <v>596</v>
      </c>
      <c r="F172" s="2" t="s">
        <v>597</v>
      </c>
      <c r="G172" s="2">
        <v>0</v>
      </c>
      <c r="H172" s="2">
        <v>0</v>
      </c>
      <c r="I172" s="1">
        <v>0</v>
      </c>
      <c r="J172" s="3" t="s">
        <v>18</v>
      </c>
      <c r="K172" s="2" t="str">
        <f>J172*4295.42</f>
        <v>0</v>
      </c>
      <c r="L172" s="5"/>
    </row>
    <row r="173" spans="1:12" customHeight="1" ht="105" outlineLevel="4">
      <c r="A173" s="1"/>
      <c r="B173" s="1">
        <v>833386</v>
      </c>
      <c r="C173" s="1" t="s">
        <v>598</v>
      </c>
      <c r="D173" s="1" t="s">
        <v>599</v>
      </c>
      <c r="E173" s="2" t="s">
        <v>600</v>
      </c>
      <c r="F173" s="2" t="s">
        <v>601</v>
      </c>
      <c r="G173" s="2">
        <v>0</v>
      </c>
      <c r="H173" s="2">
        <v>0</v>
      </c>
      <c r="I173" s="1">
        <v>0</v>
      </c>
      <c r="J173" s="3" t="s">
        <v>18</v>
      </c>
      <c r="K173" s="2" t="str">
        <f>J173*4774.85</f>
        <v>0</v>
      </c>
      <c r="L173" s="5"/>
    </row>
    <row r="174" spans="1:12" customHeight="1" ht="105" outlineLevel="4">
      <c r="A174" s="1"/>
      <c r="B174" s="1">
        <v>833387</v>
      </c>
      <c r="C174" s="1" t="s">
        <v>602</v>
      </c>
      <c r="D174" s="1" t="s">
        <v>603</v>
      </c>
      <c r="E174" s="2" t="s">
        <v>604</v>
      </c>
      <c r="F174" s="2" t="s">
        <v>605</v>
      </c>
      <c r="G174" s="2">
        <v>0</v>
      </c>
      <c r="H174" s="2">
        <v>0</v>
      </c>
      <c r="I174" s="1">
        <v>0</v>
      </c>
      <c r="J174" s="3" t="s">
        <v>18</v>
      </c>
      <c r="K174" s="2" t="str">
        <f>J174*4298.61</f>
        <v>0</v>
      </c>
      <c r="L174" s="5"/>
    </row>
    <row r="175" spans="1:12" customHeight="1" ht="105" outlineLevel="4">
      <c r="A175" s="1"/>
      <c r="B175" s="1">
        <v>833388</v>
      </c>
      <c r="C175" s="1" t="s">
        <v>606</v>
      </c>
      <c r="D175" s="1" t="s">
        <v>607</v>
      </c>
      <c r="E175" s="2" t="s">
        <v>608</v>
      </c>
      <c r="F175" s="2" t="s">
        <v>609</v>
      </c>
      <c r="G175" s="2" t="s">
        <v>244</v>
      </c>
      <c r="H175" s="2">
        <v>0</v>
      </c>
      <c r="I175" s="1">
        <v>0</v>
      </c>
      <c r="J175" s="3" t="s">
        <v>18</v>
      </c>
      <c r="K175" s="2" t="str">
        <f>J175*4686.71</f>
        <v>0</v>
      </c>
      <c r="L175" s="5"/>
    </row>
    <row r="176" spans="1:12" customHeight="1" ht="105" outlineLevel="4">
      <c r="A176" s="1"/>
      <c r="B176" s="1">
        <v>833389</v>
      </c>
      <c r="C176" s="1" t="s">
        <v>610</v>
      </c>
      <c r="D176" s="1" t="s">
        <v>611</v>
      </c>
      <c r="E176" s="2" t="s">
        <v>612</v>
      </c>
      <c r="F176" s="2" t="s">
        <v>613</v>
      </c>
      <c r="G176" s="2">
        <v>0</v>
      </c>
      <c r="H176" s="2">
        <v>0</v>
      </c>
      <c r="I176" s="1">
        <v>0</v>
      </c>
      <c r="J176" s="3" t="s">
        <v>18</v>
      </c>
      <c r="K176" s="2" t="str">
        <f>J176*5182.98</f>
        <v>0</v>
      </c>
      <c r="L176" s="5"/>
    </row>
    <row r="177" spans="1:12" customHeight="1" ht="105" outlineLevel="4">
      <c r="A177" s="1"/>
      <c r="B177" s="1">
        <v>837269</v>
      </c>
      <c r="C177" s="1" t="s">
        <v>614</v>
      </c>
      <c r="D177" s="1" t="s">
        <v>615</v>
      </c>
      <c r="E177" s="2" t="s">
        <v>616</v>
      </c>
      <c r="F177" s="2" t="s">
        <v>617</v>
      </c>
      <c r="G177" s="2">
        <v>1</v>
      </c>
      <c r="H177" s="2">
        <v>0</v>
      </c>
      <c r="I177" s="1">
        <v>0</v>
      </c>
      <c r="J177" s="3" t="s">
        <v>18</v>
      </c>
      <c r="K177" s="2" t="str">
        <f>J177*9987.86</f>
        <v>0</v>
      </c>
      <c r="L177" s="5"/>
    </row>
    <row r="178" spans="1:12" customHeight="1" ht="105" outlineLevel="4">
      <c r="A178" s="1"/>
      <c r="B178" s="1">
        <v>839076</v>
      </c>
      <c r="C178" s="1" t="s">
        <v>618</v>
      </c>
      <c r="D178" s="1" t="s">
        <v>619</v>
      </c>
      <c r="E178" s="2" t="s">
        <v>620</v>
      </c>
      <c r="F178" s="2" t="s">
        <v>621</v>
      </c>
      <c r="G178" s="2">
        <v>0</v>
      </c>
      <c r="H178" s="2">
        <v>0</v>
      </c>
      <c r="I178" s="1">
        <v>0</v>
      </c>
      <c r="J178" s="3" t="s">
        <v>18</v>
      </c>
      <c r="K178" s="2" t="str">
        <f>J178*11417.98</f>
        <v>0</v>
      </c>
      <c r="L178" s="5"/>
    </row>
    <row r="179" spans="1:12" customHeight="1" ht="105" outlineLevel="4">
      <c r="A179" s="1"/>
      <c r="B179" s="1">
        <v>874005</v>
      </c>
      <c r="C179" s="1" t="s">
        <v>622</v>
      </c>
      <c r="D179" s="1" t="s">
        <v>623</v>
      </c>
      <c r="E179" s="2" t="s">
        <v>624</v>
      </c>
      <c r="F179" s="2" t="s">
        <v>625</v>
      </c>
      <c r="G179" s="2">
        <v>0</v>
      </c>
      <c r="H179" s="2">
        <v>0</v>
      </c>
      <c r="I179" s="1">
        <v>0</v>
      </c>
      <c r="J179" s="3" t="s">
        <v>18</v>
      </c>
      <c r="K179" s="2" t="str">
        <f>J179*4293.87</f>
        <v>0</v>
      </c>
      <c r="L179" s="5"/>
    </row>
    <row r="180" spans="1:12" customHeight="1" ht="105" outlineLevel="4">
      <c r="A180" s="1"/>
      <c r="B180" s="1">
        <v>874006</v>
      </c>
      <c r="C180" s="1" t="s">
        <v>626</v>
      </c>
      <c r="D180" s="1" t="s">
        <v>627</v>
      </c>
      <c r="E180" s="2" t="s">
        <v>628</v>
      </c>
      <c r="F180" s="2" t="s">
        <v>629</v>
      </c>
      <c r="G180" s="2">
        <v>9</v>
      </c>
      <c r="H180" s="2">
        <v>0</v>
      </c>
      <c r="I180" s="1">
        <v>0</v>
      </c>
      <c r="J180" s="3" t="s">
        <v>18</v>
      </c>
      <c r="K180" s="2" t="str">
        <f>J180*4775.51</f>
        <v>0</v>
      </c>
      <c r="L180" s="5"/>
    </row>
    <row r="181" spans="1:12" customHeight="1" ht="105" outlineLevel="4">
      <c r="A181" s="1"/>
      <c r="B181" s="1">
        <v>874007</v>
      </c>
      <c r="C181" s="1" t="s">
        <v>630</v>
      </c>
      <c r="D181" s="1" t="s">
        <v>631</v>
      </c>
      <c r="E181" s="2" t="s">
        <v>632</v>
      </c>
      <c r="F181" s="2" t="s">
        <v>633</v>
      </c>
      <c r="G181" s="2" t="s">
        <v>244</v>
      </c>
      <c r="H181" s="2">
        <v>0</v>
      </c>
      <c r="I181" s="1">
        <v>0</v>
      </c>
      <c r="J181" s="3" t="s">
        <v>18</v>
      </c>
      <c r="K181" s="2" t="str">
        <f>J181*4388.30</f>
        <v>0</v>
      </c>
      <c r="L181" s="5"/>
    </row>
    <row r="182" spans="1:12" customHeight="1" ht="105" outlineLevel="4">
      <c r="A182" s="1"/>
      <c r="B182" s="1">
        <v>874008</v>
      </c>
      <c r="C182" s="1" t="s">
        <v>634</v>
      </c>
      <c r="D182" s="1" t="s">
        <v>635</v>
      </c>
      <c r="E182" s="2" t="s">
        <v>636</v>
      </c>
      <c r="F182" s="2" t="s">
        <v>637</v>
      </c>
      <c r="G182" s="2">
        <v>0</v>
      </c>
      <c r="H182" s="2">
        <v>0</v>
      </c>
      <c r="I182" s="1">
        <v>0</v>
      </c>
      <c r="J182" s="3" t="s">
        <v>18</v>
      </c>
      <c r="K182" s="2" t="str">
        <f>J182*4831.77</f>
        <v>0</v>
      </c>
      <c r="L182" s="5"/>
    </row>
    <row r="183" spans="1:12" customHeight="1" ht="105" outlineLevel="4">
      <c r="A183" s="1"/>
      <c r="B183" s="1">
        <v>874009</v>
      </c>
      <c r="C183" s="1" t="s">
        <v>638</v>
      </c>
      <c r="D183" s="1" t="s">
        <v>639</v>
      </c>
      <c r="E183" s="2" t="s">
        <v>640</v>
      </c>
      <c r="F183" s="2" t="s">
        <v>641</v>
      </c>
      <c r="G183" s="2" t="s">
        <v>244</v>
      </c>
      <c r="H183" s="2">
        <v>0</v>
      </c>
      <c r="I183" s="1">
        <v>0</v>
      </c>
      <c r="J183" s="3" t="s">
        <v>18</v>
      </c>
      <c r="K183" s="2" t="str">
        <f>J183*5099.78</f>
        <v>0</v>
      </c>
      <c r="L183" s="5"/>
    </row>
    <row r="184" spans="1:12" customHeight="1" ht="105" outlineLevel="4">
      <c r="A184" s="1"/>
      <c r="B184" s="1">
        <v>874010</v>
      </c>
      <c r="C184" s="1" t="s">
        <v>642</v>
      </c>
      <c r="D184" s="1" t="s">
        <v>643</v>
      </c>
      <c r="E184" s="2" t="s">
        <v>644</v>
      </c>
      <c r="F184" s="2" t="s">
        <v>645</v>
      </c>
      <c r="G184" s="2">
        <v>4</v>
      </c>
      <c r="H184" s="2">
        <v>0</v>
      </c>
      <c r="I184" s="1">
        <v>0</v>
      </c>
      <c r="J184" s="3" t="s">
        <v>18</v>
      </c>
      <c r="K184" s="2" t="str">
        <f>J184*6290.47</f>
        <v>0</v>
      </c>
      <c r="L184" s="5"/>
    </row>
    <row r="185" spans="1:12" customHeight="1" ht="105" outlineLevel="4">
      <c r="A185" s="1"/>
      <c r="B185" s="1">
        <v>877763</v>
      </c>
      <c r="C185" s="1" t="s">
        <v>646</v>
      </c>
      <c r="D185" s="1" t="s">
        <v>647</v>
      </c>
      <c r="E185" s="2" t="s">
        <v>648</v>
      </c>
      <c r="F185" s="2" t="s">
        <v>649</v>
      </c>
      <c r="G185" s="2">
        <v>0</v>
      </c>
      <c r="H185" s="2">
        <v>0</v>
      </c>
      <c r="I185" s="1">
        <v>0</v>
      </c>
      <c r="J185" s="3" t="s">
        <v>18</v>
      </c>
      <c r="K185" s="2" t="str">
        <f>J185*11935.66</f>
        <v>0</v>
      </c>
      <c r="L185" s="5"/>
    </row>
    <row r="186" spans="1:12" customHeight="1" ht="105" outlineLevel="4">
      <c r="A186" s="1"/>
      <c r="B186" s="1">
        <v>882305</v>
      </c>
      <c r="C186" s="1" t="s">
        <v>650</v>
      </c>
      <c r="D186" s="1" t="s">
        <v>651</v>
      </c>
      <c r="E186" s="2" t="s">
        <v>652</v>
      </c>
      <c r="F186" s="2" t="s">
        <v>653</v>
      </c>
      <c r="G186" s="2">
        <v>1</v>
      </c>
      <c r="H186" s="2">
        <v>0</v>
      </c>
      <c r="I186" s="1">
        <v>0</v>
      </c>
      <c r="J186" s="3" t="s">
        <v>18</v>
      </c>
      <c r="K186" s="2" t="str">
        <f>J186*8928.84</f>
        <v>0</v>
      </c>
      <c r="L186" s="5"/>
    </row>
    <row r="187" spans="1:12" customHeight="1" ht="105" outlineLevel="4">
      <c r="A187" s="1"/>
      <c r="B187" s="1">
        <v>882306</v>
      </c>
      <c r="C187" s="1" t="s">
        <v>654</v>
      </c>
      <c r="D187" s="1" t="s">
        <v>655</v>
      </c>
      <c r="E187" s="2" t="s">
        <v>656</v>
      </c>
      <c r="F187" s="2" t="s">
        <v>657</v>
      </c>
      <c r="G187" s="2">
        <v>1</v>
      </c>
      <c r="H187" s="2">
        <v>0</v>
      </c>
      <c r="I187" s="1">
        <v>0</v>
      </c>
      <c r="J187" s="3" t="s">
        <v>18</v>
      </c>
      <c r="K187" s="2" t="str">
        <f>J187*9081.07</f>
        <v>0</v>
      </c>
      <c r="L187" s="5"/>
    </row>
    <row r="188" spans="1:12" customHeight="1" ht="105" outlineLevel="4">
      <c r="A188" s="1"/>
      <c r="B188" s="1">
        <v>882307</v>
      </c>
      <c r="C188" s="1" t="s">
        <v>658</v>
      </c>
      <c r="D188" s="1" t="s">
        <v>659</v>
      </c>
      <c r="E188" s="2" t="s">
        <v>660</v>
      </c>
      <c r="F188" s="2" t="s">
        <v>661</v>
      </c>
      <c r="G188" s="2">
        <v>1</v>
      </c>
      <c r="H188" s="2">
        <v>0</v>
      </c>
      <c r="I188" s="1">
        <v>0</v>
      </c>
      <c r="J188" s="3" t="s">
        <v>18</v>
      </c>
      <c r="K188" s="2" t="str">
        <f>J188*11338.10</f>
        <v>0</v>
      </c>
      <c r="L188" s="5"/>
    </row>
    <row r="189" spans="1:12" customHeight="1" ht="105" outlineLevel="4">
      <c r="A189" s="1"/>
      <c r="B189" s="1">
        <v>882308</v>
      </c>
      <c r="C189" s="1" t="s">
        <v>662</v>
      </c>
      <c r="D189" s="1" t="s">
        <v>663</v>
      </c>
      <c r="E189" s="2" t="s">
        <v>664</v>
      </c>
      <c r="F189" s="2" t="s">
        <v>665</v>
      </c>
      <c r="G189" s="2">
        <v>1</v>
      </c>
      <c r="H189" s="2">
        <v>0</v>
      </c>
      <c r="I189" s="1">
        <v>0</v>
      </c>
      <c r="J189" s="3" t="s">
        <v>18</v>
      </c>
      <c r="K189" s="2" t="str">
        <f>J189*13293.97</f>
        <v>0</v>
      </c>
      <c r="L189" s="5"/>
    </row>
    <row r="190" spans="1:12" outlineLevel="1">
      <c r="A190" s="7" t="s">
        <v>666</v>
      </c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5"/>
    </row>
    <row r="191" spans="1:12" outlineLevel="2">
      <c r="A191" s="8" t="s">
        <v>667</v>
      </c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5"/>
    </row>
    <row r="192" spans="1:12" customHeight="1" ht="105" outlineLevel="4">
      <c r="A192" s="1"/>
      <c r="B192" s="1">
        <v>833393</v>
      </c>
      <c r="C192" s="1" t="s">
        <v>668</v>
      </c>
      <c r="D192" s="1" t="s">
        <v>669</v>
      </c>
      <c r="E192" s="2" t="s">
        <v>670</v>
      </c>
      <c r="F192" s="2" t="s">
        <v>671</v>
      </c>
      <c r="G192" s="2">
        <v>0</v>
      </c>
      <c r="H192" s="2">
        <v>0</v>
      </c>
      <c r="I192" s="1">
        <v>0</v>
      </c>
      <c r="J192" s="3" t="s">
        <v>18</v>
      </c>
      <c r="K192" s="2" t="str">
        <f>J192*10336.44</f>
        <v>0</v>
      </c>
      <c r="L192" s="5"/>
    </row>
    <row r="193" spans="1:12" customHeight="1" ht="105" outlineLevel="4">
      <c r="A193" s="1"/>
      <c r="B193" s="1">
        <v>833395</v>
      </c>
      <c r="C193" s="1" t="s">
        <v>672</v>
      </c>
      <c r="D193" s="1" t="s">
        <v>673</v>
      </c>
      <c r="E193" s="2" t="s">
        <v>674</v>
      </c>
      <c r="F193" s="2" t="s">
        <v>675</v>
      </c>
      <c r="G193" s="2">
        <v>0</v>
      </c>
      <c r="H193" s="2">
        <v>0</v>
      </c>
      <c r="I193" s="1">
        <v>0</v>
      </c>
      <c r="J193" s="3" t="s">
        <v>18</v>
      </c>
      <c r="K193" s="2" t="str">
        <f>J193*14220.00</f>
        <v>0</v>
      </c>
      <c r="L193" s="5"/>
    </row>
    <row r="194" spans="1:12" customHeight="1" ht="105" outlineLevel="4">
      <c r="A194" s="1"/>
      <c r="B194" s="1">
        <v>833398</v>
      </c>
      <c r="C194" s="1" t="s">
        <v>676</v>
      </c>
      <c r="D194" s="1" t="s">
        <v>677</v>
      </c>
      <c r="E194" s="2" t="s">
        <v>678</v>
      </c>
      <c r="F194" s="2" t="s">
        <v>679</v>
      </c>
      <c r="G194" s="2">
        <v>1</v>
      </c>
      <c r="H194" s="2">
        <v>0</v>
      </c>
      <c r="I194" s="1">
        <v>0</v>
      </c>
      <c r="J194" s="3" t="s">
        <v>18</v>
      </c>
      <c r="K194" s="2" t="str">
        <f>J194*15589.74</f>
        <v>0</v>
      </c>
      <c r="L194" s="5"/>
    </row>
    <row r="195" spans="1:12" customHeight="1" ht="105" outlineLevel="4">
      <c r="A195" s="1"/>
      <c r="B195" s="1">
        <v>833399</v>
      </c>
      <c r="C195" s="1" t="s">
        <v>680</v>
      </c>
      <c r="D195" s="1" t="s">
        <v>681</v>
      </c>
      <c r="E195" s="2" t="s">
        <v>682</v>
      </c>
      <c r="F195" s="2" t="s">
        <v>683</v>
      </c>
      <c r="G195" s="2">
        <v>0</v>
      </c>
      <c r="H195" s="2">
        <v>0</v>
      </c>
      <c r="I195" s="1">
        <v>0</v>
      </c>
      <c r="J195" s="3" t="s">
        <v>18</v>
      </c>
      <c r="K195" s="2" t="str">
        <f>J195*14943.66</f>
        <v>0</v>
      </c>
      <c r="L195" s="5"/>
    </row>
    <row r="196" spans="1:12" customHeight="1" ht="105" outlineLevel="4">
      <c r="A196" s="1"/>
      <c r="B196" s="1">
        <v>833400</v>
      </c>
      <c r="C196" s="1" t="s">
        <v>684</v>
      </c>
      <c r="D196" s="1" t="s">
        <v>685</v>
      </c>
      <c r="E196" s="2" t="s">
        <v>686</v>
      </c>
      <c r="F196" s="2" t="s">
        <v>687</v>
      </c>
      <c r="G196" s="2">
        <v>0</v>
      </c>
      <c r="H196" s="2">
        <v>0</v>
      </c>
      <c r="I196" s="1">
        <v>0</v>
      </c>
      <c r="J196" s="3" t="s">
        <v>18</v>
      </c>
      <c r="K196" s="2" t="str">
        <f>J196*10627.44</f>
        <v>0</v>
      </c>
      <c r="L196" s="5"/>
    </row>
    <row r="197" spans="1:12" customHeight="1" ht="105" outlineLevel="4">
      <c r="A197" s="1"/>
      <c r="B197" s="1">
        <v>833401</v>
      </c>
      <c r="C197" s="1" t="s">
        <v>688</v>
      </c>
      <c r="D197" s="1" t="s">
        <v>689</v>
      </c>
      <c r="E197" s="2" t="s">
        <v>690</v>
      </c>
      <c r="F197" s="2" t="s">
        <v>691</v>
      </c>
      <c r="G197" s="2">
        <v>0</v>
      </c>
      <c r="H197" s="2">
        <v>0</v>
      </c>
      <c r="I197" s="1">
        <v>0</v>
      </c>
      <c r="J197" s="3" t="s">
        <v>18</v>
      </c>
      <c r="K197" s="2" t="str">
        <f>J197*15444.00</f>
        <v>0</v>
      </c>
      <c r="L197" s="5"/>
    </row>
    <row r="198" spans="1:12" customHeight="1" ht="105" outlineLevel="4">
      <c r="A198" s="1"/>
      <c r="B198" s="1">
        <v>837270</v>
      </c>
      <c r="C198" s="1" t="s">
        <v>692</v>
      </c>
      <c r="D198" s="1" t="s">
        <v>693</v>
      </c>
      <c r="E198" s="2" t="s">
        <v>694</v>
      </c>
      <c r="F198" s="2" t="s">
        <v>695</v>
      </c>
      <c r="G198" s="2">
        <v>0</v>
      </c>
      <c r="H198" s="2">
        <v>0</v>
      </c>
      <c r="I198" s="1">
        <v>0</v>
      </c>
      <c r="J198" s="3" t="s">
        <v>18</v>
      </c>
      <c r="K198" s="2" t="str">
        <f>J198*10273.70</f>
        <v>0</v>
      </c>
      <c r="L198" s="5"/>
    </row>
    <row r="199" spans="1:12" customHeight="1" ht="105" outlineLevel="4">
      <c r="A199" s="1"/>
      <c r="B199" s="1">
        <v>837272</v>
      </c>
      <c r="C199" s="1" t="s">
        <v>696</v>
      </c>
      <c r="D199" s="1" t="s">
        <v>697</v>
      </c>
      <c r="E199" s="2" t="s">
        <v>698</v>
      </c>
      <c r="F199" s="2" t="s">
        <v>699</v>
      </c>
      <c r="G199" s="2">
        <v>2</v>
      </c>
      <c r="H199" s="2">
        <v>0</v>
      </c>
      <c r="I199" s="1">
        <v>0</v>
      </c>
      <c r="J199" s="3" t="s">
        <v>18</v>
      </c>
      <c r="K199" s="2" t="str">
        <f>J199*13174.84</f>
        <v>0</v>
      </c>
      <c r="L199" s="5"/>
    </row>
    <row r="200" spans="1:12" customHeight="1" ht="105" outlineLevel="4">
      <c r="A200" s="1"/>
      <c r="B200" s="1">
        <v>837274</v>
      </c>
      <c r="C200" s="1" t="s">
        <v>700</v>
      </c>
      <c r="D200" s="1" t="s">
        <v>701</v>
      </c>
      <c r="E200" s="2" t="s">
        <v>702</v>
      </c>
      <c r="F200" s="2" t="s">
        <v>703</v>
      </c>
      <c r="G200" s="2">
        <v>0</v>
      </c>
      <c r="H200" s="2">
        <v>0</v>
      </c>
      <c r="I200" s="1">
        <v>0</v>
      </c>
      <c r="J200" s="3" t="s">
        <v>18</v>
      </c>
      <c r="K200" s="2" t="str">
        <f>J200*13634.85</f>
        <v>0</v>
      </c>
      <c r="L200" s="5"/>
    </row>
    <row r="201" spans="1:12" customHeight="1" ht="105" outlineLevel="4">
      <c r="A201" s="1"/>
      <c r="B201" s="1">
        <v>837277</v>
      </c>
      <c r="C201" s="1" t="s">
        <v>704</v>
      </c>
      <c r="D201" s="1" t="s">
        <v>705</v>
      </c>
      <c r="E201" s="2" t="s">
        <v>706</v>
      </c>
      <c r="F201" s="2" t="s">
        <v>707</v>
      </c>
      <c r="G201" s="2">
        <v>0</v>
      </c>
      <c r="H201" s="2">
        <v>0</v>
      </c>
      <c r="I201" s="1">
        <v>0</v>
      </c>
      <c r="J201" s="3" t="s">
        <v>18</v>
      </c>
      <c r="K201" s="2" t="str">
        <f>J201*13456.72</f>
        <v>0</v>
      </c>
      <c r="L201" s="5"/>
    </row>
    <row r="202" spans="1:12" customHeight="1" ht="105" outlineLevel="4">
      <c r="A202" s="1"/>
      <c r="B202" s="1">
        <v>839079</v>
      </c>
      <c r="C202" s="1" t="s">
        <v>708</v>
      </c>
      <c r="D202" s="1" t="s">
        <v>709</v>
      </c>
      <c r="E202" s="2" t="s">
        <v>710</v>
      </c>
      <c r="F202" s="2" t="s">
        <v>711</v>
      </c>
      <c r="G202" s="2">
        <v>0</v>
      </c>
      <c r="H202" s="2">
        <v>0</v>
      </c>
      <c r="I202" s="1">
        <v>0</v>
      </c>
      <c r="J202" s="3" t="s">
        <v>18</v>
      </c>
      <c r="K202" s="2" t="str">
        <f>J202*16116.92</f>
        <v>0</v>
      </c>
      <c r="L202" s="5"/>
    </row>
    <row r="203" spans="1:12" customHeight="1" ht="105" outlineLevel="4">
      <c r="A203" s="1"/>
      <c r="B203" s="1">
        <v>858839</v>
      </c>
      <c r="C203" s="1" t="s">
        <v>712</v>
      </c>
      <c r="D203" s="1" t="s">
        <v>713</v>
      </c>
      <c r="E203" s="2" t="s">
        <v>714</v>
      </c>
      <c r="F203" s="2" t="s">
        <v>715</v>
      </c>
      <c r="G203" s="2">
        <v>0</v>
      </c>
      <c r="H203" s="2">
        <v>0</v>
      </c>
      <c r="I203" s="1">
        <v>0</v>
      </c>
      <c r="J203" s="3" t="s">
        <v>18</v>
      </c>
      <c r="K203" s="2" t="str">
        <f>J203*11682.80</f>
        <v>0</v>
      </c>
      <c r="L203" s="5"/>
    </row>
    <row r="204" spans="1:12" customHeight="1" ht="105" outlineLevel="4">
      <c r="A204" s="1"/>
      <c r="B204" s="1">
        <v>858840</v>
      </c>
      <c r="C204" s="1" t="s">
        <v>716</v>
      </c>
      <c r="D204" s="1" t="s">
        <v>717</v>
      </c>
      <c r="E204" s="2" t="s">
        <v>718</v>
      </c>
      <c r="F204" s="2" t="s">
        <v>719</v>
      </c>
      <c r="G204" s="2">
        <v>0</v>
      </c>
      <c r="H204" s="2">
        <v>0</v>
      </c>
      <c r="I204" s="1">
        <v>0</v>
      </c>
      <c r="J204" s="3" t="s">
        <v>18</v>
      </c>
      <c r="K204" s="2" t="str">
        <f>J204*12240.00</f>
        <v>0</v>
      </c>
      <c r="L204" s="5"/>
    </row>
    <row r="205" spans="1:12" customHeight="1" ht="105" outlineLevel="4">
      <c r="A205" s="1"/>
      <c r="B205" s="1">
        <v>859047</v>
      </c>
      <c r="C205" s="1" t="s">
        <v>720</v>
      </c>
      <c r="D205" s="1" t="s">
        <v>721</v>
      </c>
      <c r="E205" s="2" t="s">
        <v>722</v>
      </c>
      <c r="F205" s="2" t="s">
        <v>723</v>
      </c>
      <c r="G205" s="2">
        <v>2</v>
      </c>
      <c r="H205" s="2">
        <v>0</v>
      </c>
      <c r="I205" s="1">
        <v>0</v>
      </c>
      <c r="J205" s="3" t="s">
        <v>18</v>
      </c>
      <c r="K205" s="2" t="str">
        <f>J205*13451.12</f>
        <v>0</v>
      </c>
      <c r="L205" s="5"/>
    </row>
    <row r="206" spans="1:12" customHeight="1" ht="105" outlineLevel="4">
      <c r="A206" s="1"/>
      <c r="B206" s="1">
        <v>859046</v>
      </c>
      <c r="C206" s="1" t="s">
        <v>724</v>
      </c>
      <c r="D206" s="1" t="s">
        <v>725</v>
      </c>
      <c r="E206" s="2" t="s">
        <v>726</v>
      </c>
      <c r="F206" s="2" t="s">
        <v>727</v>
      </c>
      <c r="G206" s="2">
        <v>0</v>
      </c>
      <c r="H206" s="2">
        <v>0</v>
      </c>
      <c r="I206" s="1">
        <v>0</v>
      </c>
      <c r="J206" s="3" t="s">
        <v>18</v>
      </c>
      <c r="K206" s="2" t="str">
        <f>J206*13140.00</f>
        <v>0</v>
      </c>
      <c r="L206" s="5"/>
    </row>
    <row r="207" spans="1:12" customHeight="1" ht="105" outlineLevel="4">
      <c r="A207" s="1"/>
      <c r="B207" s="1">
        <v>859048</v>
      </c>
      <c r="C207" s="1" t="s">
        <v>728</v>
      </c>
      <c r="D207" s="1" t="s">
        <v>729</v>
      </c>
      <c r="E207" s="2" t="s">
        <v>730</v>
      </c>
      <c r="F207" s="2" t="s">
        <v>731</v>
      </c>
      <c r="G207" s="2">
        <v>0</v>
      </c>
      <c r="H207" s="2">
        <v>0</v>
      </c>
      <c r="I207" s="1">
        <v>0</v>
      </c>
      <c r="J207" s="3" t="s">
        <v>18</v>
      </c>
      <c r="K207" s="2" t="str">
        <f>J207*29378.15</f>
        <v>0</v>
      </c>
      <c r="L207" s="5"/>
    </row>
    <row r="208" spans="1:12" customHeight="1" ht="105" outlineLevel="4">
      <c r="A208" s="1"/>
      <c r="B208" s="1">
        <v>859049</v>
      </c>
      <c r="C208" s="1" t="s">
        <v>732</v>
      </c>
      <c r="D208" s="1" t="s">
        <v>733</v>
      </c>
      <c r="E208" s="2" t="s">
        <v>734</v>
      </c>
      <c r="F208" s="2" t="s">
        <v>735</v>
      </c>
      <c r="G208" s="2">
        <v>0</v>
      </c>
      <c r="H208" s="2">
        <v>0</v>
      </c>
      <c r="I208" s="1">
        <v>0</v>
      </c>
      <c r="J208" s="3" t="s">
        <v>18</v>
      </c>
      <c r="K208" s="2" t="str">
        <f>J208*29404.07</f>
        <v>0</v>
      </c>
      <c r="L208" s="5"/>
    </row>
    <row r="209" spans="1:12" customHeight="1" ht="105" outlineLevel="4">
      <c r="A209" s="1"/>
      <c r="B209" s="1">
        <v>874011</v>
      </c>
      <c r="C209" s="1" t="s">
        <v>736</v>
      </c>
      <c r="D209" s="1" t="s">
        <v>737</v>
      </c>
      <c r="E209" s="2" t="s">
        <v>738</v>
      </c>
      <c r="F209" s="2" t="s">
        <v>739</v>
      </c>
      <c r="G209" s="2">
        <v>2</v>
      </c>
      <c r="H209" s="2">
        <v>0</v>
      </c>
      <c r="I209" s="1">
        <v>0</v>
      </c>
      <c r="J209" s="3" t="s">
        <v>18</v>
      </c>
      <c r="K209" s="2" t="str">
        <f>J209*8687.25</f>
        <v>0</v>
      </c>
      <c r="L209" s="5"/>
    </row>
    <row r="210" spans="1:12" customHeight="1" ht="105" outlineLevel="4">
      <c r="A210" s="1"/>
      <c r="B210" s="1">
        <v>874012</v>
      </c>
      <c r="C210" s="1" t="s">
        <v>740</v>
      </c>
      <c r="D210" s="1" t="s">
        <v>741</v>
      </c>
      <c r="E210" s="2" t="s">
        <v>742</v>
      </c>
      <c r="F210" s="2" t="s">
        <v>743</v>
      </c>
      <c r="G210" s="2">
        <v>3</v>
      </c>
      <c r="H210" s="2">
        <v>0</v>
      </c>
      <c r="I210" s="1">
        <v>0</v>
      </c>
      <c r="J210" s="3" t="s">
        <v>18</v>
      </c>
      <c r="K210" s="2" t="str">
        <f>J210*11099.82</f>
        <v>0</v>
      </c>
      <c r="L210" s="5"/>
    </row>
    <row r="211" spans="1:12" customHeight="1" ht="105" outlineLevel="4">
      <c r="A211" s="1"/>
      <c r="B211" s="1">
        <v>874013</v>
      </c>
      <c r="C211" s="1" t="s">
        <v>744</v>
      </c>
      <c r="D211" s="1" t="s">
        <v>745</v>
      </c>
      <c r="E211" s="2" t="s">
        <v>746</v>
      </c>
      <c r="F211" s="2" t="s">
        <v>747</v>
      </c>
      <c r="G211" s="2">
        <v>3</v>
      </c>
      <c r="H211" s="2">
        <v>0</v>
      </c>
      <c r="I211" s="1">
        <v>0</v>
      </c>
      <c r="J211" s="3" t="s">
        <v>18</v>
      </c>
      <c r="K211" s="2" t="str">
        <f>J211*6221.73</f>
        <v>0</v>
      </c>
      <c r="L211" s="5"/>
    </row>
    <row r="212" spans="1:12" customHeight="1" ht="105" outlineLevel="4">
      <c r="A212" s="1"/>
      <c r="B212" s="1">
        <v>879334</v>
      </c>
      <c r="C212" s="1" t="s">
        <v>748</v>
      </c>
      <c r="D212" s="1" t="s">
        <v>749</v>
      </c>
      <c r="E212" s="2" t="s">
        <v>750</v>
      </c>
      <c r="F212" s="2" t="s">
        <v>751</v>
      </c>
      <c r="G212" s="2">
        <v>2</v>
      </c>
      <c r="H212" s="2">
        <v>0</v>
      </c>
      <c r="I212" s="1">
        <v>0</v>
      </c>
      <c r="J212" s="3" t="s">
        <v>18</v>
      </c>
      <c r="K212" s="2" t="str">
        <f>J212*28527.27</f>
        <v>0</v>
      </c>
      <c r="L212" s="5"/>
    </row>
    <row r="213" spans="1:12" customHeight="1" ht="105" outlineLevel="4">
      <c r="A213" s="1"/>
      <c r="B213" s="1">
        <v>882309</v>
      </c>
      <c r="C213" s="1" t="s">
        <v>752</v>
      </c>
      <c r="D213" s="1" t="s">
        <v>753</v>
      </c>
      <c r="E213" s="2" t="s">
        <v>754</v>
      </c>
      <c r="F213" s="2" t="s">
        <v>755</v>
      </c>
      <c r="G213" s="2">
        <v>3</v>
      </c>
      <c r="H213" s="2">
        <v>0</v>
      </c>
      <c r="I213" s="1">
        <v>0</v>
      </c>
      <c r="J213" s="3" t="s">
        <v>18</v>
      </c>
      <c r="K213" s="2" t="str">
        <f>J213*6865.28</f>
        <v>0</v>
      </c>
      <c r="L213" s="5"/>
    </row>
    <row r="214" spans="1:12" customHeight="1" ht="105" outlineLevel="4">
      <c r="A214" s="1"/>
      <c r="B214" s="1">
        <v>882310</v>
      </c>
      <c r="C214" s="1" t="s">
        <v>756</v>
      </c>
      <c r="D214" s="1" t="s">
        <v>757</v>
      </c>
      <c r="E214" s="2" t="s">
        <v>758</v>
      </c>
      <c r="F214" s="2" t="s">
        <v>759</v>
      </c>
      <c r="G214" s="2">
        <v>4</v>
      </c>
      <c r="H214" s="2">
        <v>0</v>
      </c>
      <c r="I214" s="1">
        <v>0</v>
      </c>
      <c r="J214" s="3" t="s">
        <v>18</v>
      </c>
      <c r="K214" s="2" t="str">
        <f>J214*32673.99</f>
        <v>0</v>
      </c>
      <c r="L214" s="5"/>
    </row>
    <row r="215" spans="1:12" customHeight="1" ht="105" outlineLevel="4">
      <c r="A215" s="1"/>
      <c r="B215" s="1">
        <v>883377</v>
      </c>
      <c r="C215" s="1" t="s">
        <v>760</v>
      </c>
      <c r="D215" s="1" t="s">
        <v>761</v>
      </c>
      <c r="E215" s="2" t="s">
        <v>762</v>
      </c>
      <c r="F215" s="2" t="s">
        <v>763</v>
      </c>
      <c r="G215" s="2">
        <v>3</v>
      </c>
      <c r="H215" s="2">
        <v>0</v>
      </c>
      <c r="I215" s="1">
        <v>0</v>
      </c>
      <c r="J215" s="3" t="s">
        <v>18</v>
      </c>
      <c r="K215" s="2" t="str">
        <f>J215*6138.99</f>
        <v>0</v>
      </c>
      <c r="L215" s="5"/>
    </row>
    <row r="216" spans="1:12" customHeight="1" ht="105" outlineLevel="4">
      <c r="A216" s="1"/>
      <c r="B216" s="1">
        <v>883382</v>
      </c>
      <c r="C216" s="1" t="s">
        <v>764</v>
      </c>
      <c r="D216" s="1" t="s">
        <v>765</v>
      </c>
      <c r="E216" s="2" t="s">
        <v>766</v>
      </c>
      <c r="F216" s="2" t="s">
        <v>767</v>
      </c>
      <c r="G216" s="2">
        <v>1</v>
      </c>
      <c r="H216" s="2">
        <v>0</v>
      </c>
      <c r="I216" s="1">
        <v>0</v>
      </c>
      <c r="J216" s="3" t="s">
        <v>18</v>
      </c>
      <c r="K216" s="2" t="str">
        <f>J216*13370.09</f>
        <v>0</v>
      </c>
      <c r="L216" s="5"/>
    </row>
    <row r="217" spans="1:12" customHeight="1" ht="105" outlineLevel="4">
      <c r="A217" s="1"/>
      <c r="B217" s="1">
        <v>883189</v>
      </c>
      <c r="C217" s="1" t="s">
        <v>768</v>
      </c>
      <c r="D217" s="1" t="s">
        <v>769</v>
      </c>
      <c r="E217" s="2" t="s">
        <v>770</v>
      </c>
      <c r="F217" s="2" t="s">
        <v>771</v>
      </c>
      <c r="G217" s="2">
        <v>0</v>
      </c>
      <c r="H217" s="2">
        <v>0</v>
      </c>
      <c r="I217" s="1">
        <v>0</v>
      </c>
      <c r="J217" s="3" t="s">
        <v>18</v>
      </c>
      <c r="K217" s="2" t="str">
        <f>J217*22031.20</f>
        <v>0</v>
      </c>
      <c r="L217" s="5"/>
    </row>
    <row r="218" spans="1:12" customHeight="1" ht="105" outlineLevel="4">
      <c r="A218" s="1"/>
      <c r="B218" s="1">
        <v>883383</v>
      </c>
      <c r="C218" s="1" t="s">
        <v>772</v>
      </c>
      <c r="D218" s="1" t="s">
        <v>773</v>
      </c>
      <c r="E218" s="2" t="s">
        <v>774</v>
      </c>
      <c r="F218" s="2" t="s">
        <v>775</v>
      </c>
      <c r="G218" s="2">
        <v>0</v>
      </c>
      <c r="H218" s="2">
        <v>0</v>
      </c>
      <c r="I218" s="1">
        <v>0</v>
      </c>
      <c r="J218" s="3" t="s">
        <v>18</v>
      </c>
      <c r="K218" s="2" t="str">
        <f>J218*24028.20</f>
        <v>0</v>
      </c>
      <c r="L218" s="5"/>
    </row>
    <row r="219" spans="1:12" outlineLevel="2">
      <c r="A219" s="8" t="s">
        <v>776</v>
      </c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5"/>
    </row>
    <row r="220" spans="1:12" customHeight="1" ht="105" outlineLevel="4">
      <c r="A220" s="1"/>
      <c r="B220" s="1">
        <v>879310</v>
      </c>
      <c r="C220" s="1" t="s">
        <v>777</v>
      </c>
      <c r="D220" s="1" t="s">
        <v>778</v>
      </c>
      <c r="E220" s="2" t="s">
        <v>779</v>
      </c>
      <c r="F220" s="2" t="s">
        <v>780</v>
      </c>
      <c r="G220" s="2">
        <v>0</v>
      </c>
      <c r="H220" s="2">
        <v>0</v>
      </c>
      <c r="I220" s="1">
        <v>0</v>
      </c>
      <c r="J220" s="3" t="s">
        <v>18</v>
      </c>
      <c r="K220" s="2" t="str">
        <f>J220*27893.25</f>
        <v>0</v>
      </c>
      <c r="L220" s="5"/>
    </row>
    <row r="221" spans="1:12" customHeight="1" ht="105" outlineLevel="4">
      <c r="A221" s="1"/>
      <c r="B221" s="1">
        <v>880087</v>
      </c>
      <c r="C221" s="1" t="s">
        <v>781</v>
      </c>
      <c r="D221" s="1" t="s">
        <v>782</v>
      </c>
      <c r="E221" s="2" t="s">
        <v>783</v>
      </c>
      <c r="F221" s="2" t="s">
        <v>784</v>
      </c>
      <c r="G221" s="2">
        <v>6</v>
      </c>
      <c r="H221" s="2">
        <v>0</v>
      </c>
      <c r="I221" s="1">
        <v>0</v>
      </c>
      <c r="J221" s="3" t="s">
        <v>18</v>
      </c>
      <c r="K221" s="2" t="str">
        <f>J221*25029.69</f>
        <v>0</v>
      </c>
      <c r="L221" s="5"/>
    </row>
    <row r="222" spans="1:12" customHeight="1" ht="105" outlineLevel="4">
      <c r="A222" s="1"/>
      <c r="B222" s="1">
        <v>880088</v>
      </c>
      <c r="C222" s="1" t="s">
        <v>785</v>
      </c>
      <c r="D222" s="1" t="s">
        <v>786</v>
      </c>
      <c r="E222" s="2" t="s">
        <v>787</v>
      </c>
      <c r="F222" s="2" t="s">
        <v>788</v>
      </c>
      <c r="G222" s="2">
        <v>4</v>
      </c>
      <c r="H222" s="2">
        <v>0</v>
      </c>
      <c r="I222" s="1">
        <v>0</v>
      </c>
      <c r="J222" s="3" t="s">
        <v>18</v>
      </c>
      <c r="K222" s="2" t="str">
        <f>J222*27200.88</f>
        <v>0</v>
      </c>
      <c r="L222" s="5"/>
    </row>
    <row r="223" spans="1:12" customHeight="1" ht="105" outlineLevel="4">
      <c r="A223" s="1"/>
      <c r="B223" s="1">
        <v>884715</v>
      </c>
      <c r="C223" s="1" t="s">
        <v>789</v>
      </c>
      <c r="D223" s="1" t="s">
        <v>790</v>
      </c>
      <c r="E223" s="2" t="s">
        <v>791</v>
      </c>
      <c r="F223" s="2" t="s">
        <v>792</v>
      </c>
      <c r="G223" s="2">
        <v>0</v>
      </c>
      <c r="H223" s="2">
        <v>0</v>
      </c>
      <c r="I223" s="1">
        <v>0</v>
      </c>
      <c r="J223" s="3" t="s">
        <v>18</v>
      </c>
      <c r="K223" s="2" t="str">
        <f>J223*21719.25</f>
        <v>0</v>
      </c>
      <c r="L223" s="5"/>
    </row>
    <row r="224" spans="1:12" customHeight="1" ht="105" outlineLevel="4">
      <c r="A224" s="1"/>
      <c r="B224" s="1">
        <v>954087</v>
      </c>
      <c r="C224" s="1" t="s">
        <v>793</v>
      </c>
      <c r="D224" s="1" t="s">
        <v>794</v>
      </c>
      <c r="E224" s="2" t="s">
        <v>795</v>
      </c>
      <c r="F224" s="2" t="s">
        <v>796</v>
      </c>
      <c r="G224" s="2">
        <v>0</v>
      </c>
      <c r="H224" s="2">
        <v>0</v>
      </c>
      <c r="I224" s="1">
        <v>0</v>
      </c>
      <c r="J224" s="3" t="s">
        <v>18</v>
      </c>
      <c r="K224" s="2" t="str">
        <f>J224*71331.75</f>
        <v>0</v>
      </c>
      <c r="L224" s="5"/>
    </row>
    <row r="225" spans="1:12" customHeight="1" ht="105" outlineLevel="4">
      <c r="A225" s="1"/>
      <c r="B225" s="1">
        <v>954088</v>
      </c>
      <c r="C225" s="1" t="s">
        <v>797</v>
      </c>
      <c r="D225" s="1" t="s">
        <v>798</v>
      </c>
      <c r="E225" s="2" t="s">
        <v>799</v>
      </c>
      <c r="F225" s="2" t="s">
        <v>800</v>
      </c>
      <c r="G225" s="2">
        <v>0</v>
      </c>
      <c r="H225" s="2">
        <v>0</v>
      </c>
      <c r="I225" s="1">
        <v>0</v>
      </c>
      <c r="J225" s="3" t="s">
        <v>18</v>
      </c>
      <c r="K225" s="2" t="str">
        <f>J225*82046.58</f>
        <v>0</v>
      </c>
      <c r="L225" s="5"/>
    </row>
    <row r="226" spans="1:12" outlineLevel="4">
      <c r="A226" s="1"/>
      <c r="B226" s="1">
        <v>955731</v>
      </c>
      <c r="C226" s="1" t="s">
        <v>801</v>
      </c>
      <c r="D226" s="1" t="s">
        <v>802</v>
      </c>
      <c r="E226" s="2" t="s">
        <v>803</v>
      </c>
      <c r="F226" s="2" t="s">
        <v>804</v>
      </c>
      <c r="G226" s="2">
        <v>1</v>
      </c>
      <c r="H226" s="2">
        <v>0</v>
      </c>
      <c r="I226" s="1">
        <v>0</v>
      </c>
      <c r="J226" s="3" t="s">
        <v>18</v>
      </c>
      <c r="K226" s="2" t="str">
        <f>J226*15399.72</f>
        <v>0</v>
      </c>
      <c r="L226" s="5"/>
    </row>
    <row r="227" spans="1:12" outlineLevel="1">
      <c r="A227" s="7" t="s">
        <v>805</v>
      </c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5"/>
    </row>
    <row r="228" spans="1:12" outlineLevel="2">
      <c r="A228" s="8" t="s">
        <v>806</v>
      </c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5"/>
    </row>
    <row r="229" spans="1:12" outlineLevel="3">
      <c r="A229" s="9" t="s">
        <v>807</v>
      </c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5"/>
    </row>
    <row r="230" spans="1:12" customHeight="1" ht="105" outlineLevel="5">
      <c r="A230" s="1"/>
      <c r="B230" s="1">
        <v>833354</v>
      </c>
      <c r="C230" s="1" t="s">
        <v>808</v>
      </c>
      <c r="D230" s="1" t="s">
        <v>809</v>
      </c>
      <c r="E230" s="2" t="s">
        <v>810</v>
      </c>
      <c r="F230" s="2" t="s">
        <v>811</v>
      </c>
      <c r="G230" s="2">
        <v>2</v>
      </c>
      <c r="H230" s="2">
        <v>0</v>
      </c>
      <c r="I230" s="1">
        <v>0</v>
      </c>
      <c r="J230" s="3" t="s">
        <v>18</v>
      </c>
      <c r="K230" s="2" t="str">
        <f>J230*14490.33</f>
        <v>0</v>
      </c>
      <c r="L230" s="5"/>
    </row>
    <row r="231" spans="1:12" customHeight="1" ht="105" outlineLevel="5">
      <c r="A231" s="1"/>
      <c r="B231" s="1">
        <v>833355</v>
      </c>
      <c r="C231" s="1" t="s">
        <v>812</v>
      </c>
      <c r="D231" s="1" t="s">
        <v>813</v>
      </c>
      <c r="E231" s="2" t="s">
        <v>814</v>
      </c>
      <c r="F231" s="2" t="s">
        <v>815</v>
      </c>
      <c r="G231" s="2">
        <v>0</v>
      </c>
      <c r="H231" s="2">
        <v>0</v>
      </c>
      <c r="I231" s="1">
        <v>0</v>
      </c>
      <c r="J231" s="3" t="s">
        <v>18</v>
      </c>
      <c r="K231" s="2" t="str">
        <f>J231*15671.00</f>
        <v>0</v>
      </c>
      <c r="L231" s="5"/>
    </row>
    <row r="232" spans="1:12" customHeight="1" ht="105" outlineLevel="5">
      <c r="A232" s="1"/>
      <c r="B232" s="1">
        <v>839824</v>
      </c>
      <c r="C232" s="1" t="s">
        <v>816</v>
      </c>
      <c r="D232" s="1" t="s">
        <v>817</v>
      </c>
      <c r="E232" s="2" t="s">
        <v>818</v>
      </c>
      <c r="F232" s="2" t="s">
        <v>819</v>
      </c>
      <c r="G232" s="2">
        <v>1</v>
      </c>
      <c r="H232" s="2">
        <v>0</v>
      </c>
      <c r="I232" s="1">
        <v>0</v>
      </c>
      <c r="J232" s="3" t="s">
        <v>18</v>
      </c>
      <c r="K232" s="2" t="str">
        <f>J232*11692.09</f>
        <v>0</v>
      </c>
      <c r="L232" s="5"/>
    </row>
    <row r="233" spans="1:12" customHeight="1" ht="105" outlineLevel="5">
      <c r="A233" s="1"/>
      <c r="B233" s="1">
        <v>839825</v>
      </c>
      <c r="C233" s="1" t="s">
        <v>820</v>
      </c>
      <c r="D233" s="1" t="s">
        <v>821</v>
      </c>
      <c r="E233" s="2" t="s">
        <v>822</v>
      </c>
      <c r="F233" s="2" t="s">
        <v>823</v>
      </c>
      <c r="G233" s="2">
        <v>1</v>
      </c>
      <c r="H233" s="2">
        <v>0</v>
      </c>
      <c r="I233" s="1">
        <v>0</v>
      </c>
      <c r="J233" s="3" t="s">
        <v>18</v>
      </c>
      <c r="K233" s="2" t="str">
        <f>J233*12970.54</f>
        <v>0</v>
      </c>
      <c r="L233" s="5"/>
    </row>
    <row r="234" spans="1:12" customHeight="1" ht="105" outlineLevel="5">
      <c r="A234" s="1"/>
      <c r="B234" s="1">
        <v>839826</v>
      </c>
      <c r="C234" s="1" t="s">
        <v>824</v>
      </c>
      <c r="D234" s="1" t="s">
        <v>825</v>
      </c>
      <c r="E234" s="2" t="s">
        <v>826</v>
      </c>
      <c r="F234" s="2" t="s">
        <v>827</v>
      </c>
      <c r="G234" s="2">
        <v>1</v>
      </c>
      <c r="H234" s="2">
        <v>0</v>
      </c>
      <c r="I234" s="1">
        <v>0</v>
      </c>
      <c r="J234" s="3" t="s">
        <v>18</v>
      </c>
      <c r="K234" s="2" t="str">
        <f>J234*14288.00</f>
        <v>0</v>
      </c>
      <c r="L234" s="5"/>
    </row>
    <row r="235" spans="1:12" customHeight="1" ht="105" outlineLevel="5">
      <c r="A235" s="1"/>
      <c r="B235" s="1">
        <v>839827</v>
      </c>
      <c r="C235" s="1" t="s">
        <v>828</v>
      </c>
      <c r="D235" s="1" t="s">
        <v>829</v>
      </c>
      <c r="E235" s="2" t="s">
        <v>830</v>
      </c>
      <c r="F235" s="2" t="s">
        <v>831</v>
      </c>
      <c r="G235" s="2">
        <v>1</v>
      </c>
      <c r="H235" s="2">
        <v>0</v>
      </c>
      <c r="I235" s="1">
        <v>0</v>
      </c>
      <c r="J235" s="3" t="s">
        <v>18</v>
      </c>
      <c r="K235" s="2" t="str">
        <f>J235*16919.92</f>
        <v>0</v>
      </c>
      <c r="L235" s="5"/>
    </row>
    <row r="236" spans="1:12" customHeight="1" ht="105" outlineLevel="5">
      <c r="A236" s="1"/>
      <c r="B236" s="1">
        <v>839828</v>
      </c>
      <c r="C236" s="1" t="s">
        <v>832</v>
      </c>
      <c r="D236" s="1" t="s">
        <v>833</v>
      </c>
      <c r="E236" s="2" t="s">
        <v>834</v>
      </c>
      <c r="F236" s="2" t="s">
        <v>835</v>
      </c>
      <c r="G236" s="2">
        <v>1</v>
      </c>
      <c r="H236" s="2">
        <v>0</v>
      </c>
      <c r="I236" s="1">
        <v>0</v>
      </c>
      <c r="J236" s="3" t="s">
        <v>18</v>
      </c>
      <c r="K236" s="2" t="str">
        <f>J236*23331.17</f>
        <v>0</v>
      </c>
      <c r="L236" s="5"/>
    </row>
    <row r="237" spans="1:12" customHeight="1" ht="105" outlineLevel="5">
      <c r="A237" s="1"/>
      <c r="B237" s="1">
        <v>839829</v>
      </c>
      <c r="C237" s="1" t="s">
        <v>836</v>
      </c>
      <c r="D237" s="1" t="s">
        <v>837</v>
      </c>
      <c r="E237" s="2" t="s">
        <v>838</v>
      </c>
      <c r="F237" s="2" t="s">
        <v>286</v>
      </c>
      <c r="G237" s="2">
        <v>0</v>
      </c>
      <c r="H237" s="2">
        <v>0</v>
      </c>
      <c r="I237" s="1">
        <v>0</v>
      </c>
      <c r="J237" s="3" t="s">
        <v>18</v>
      </c>
      <c r="K237" s="2" t="str">
        <f>J237*0.00</f>
        <v>0</v>
      </c>
      <c r="L237" s="5"/>
    </row>
    <row r="238" spans="1:12" customHeight="1" ht="105" outlineLevel="5">
      <c r="A238" s="1"/>
      <c r="B238" s="1">
        <v>858808</v>
      </c>
      <c r="C238" s="1" t="s">
        <v>839</v>
      </c>
      <c r="D238" s="1" t="s">
        <v>840</v>
      </c>
      <c r="E238" s="2" t="s">
        <v>841</v>
      </c>
      <c r="F238" s="2" t="s">
        <v>842</v>
      </c>
      <c r="G238" s="2">
        <v>2</v>
      </c>
      <c r="H238" s="2">
        <v>0</v>
      </c>
      <c r="I238" s="1">
        <v>0</v>
      </c>
      <c r="J238" s="3" t="s">
        <v>18</v>
      </c>
      <c r="K238" s="2" t="str">
        <f>J238*27287.44</f>
        <v>0</v>
      </c>
      <c r="L238" s="5"/>
    </row>
    <row r="239" spans="1:12" customHeight="1" ht="105" outlineLevel="5">
      <c r="A239" s="1"/>
      <c r="B239" s="1">
        <v>883381</v>
      </c>
      <c r="C239" s="1" t="s">
        <v>843</v>
      </c>
      <c r="D239" s="1" t="s">
        <v>844</v>
      </c>
      <c r="E239" s="2" t="s">
        <v>845</v>
      </c>
      <c r="F239" s="2" t="s">
        <v>846</v>
      </c>
      <c r="G239" s="2">
        <v>2</v>
      </c>
      <c r="H239" s="2">
        <v>0</v>
      </c>
      <c r="I239" s="1">
        <v>0</v>
      </c>
      <c r="J239" s="3" t="s">
        <v>18</v>
      </c>
      <c r="K239" s="2" t="str">
        <f>J239*13839.58</f>
        <v>0</v>
      </c>
      <c r="L239" s="5"/>
    </row>
    <row r="240" spans="1:12" outlineLevel="3">
      <c r="A240" s="9" t="s">
        <v>847</v>
      </c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5"/>
    </row>
    <row r="241" spans="1:12" customHeight="1" ht="105" outlineLevel="5">
      <c r="A241" s="1"/>
      <c r="B241" s="1">
        <v>833331</v>
      </c>
      <c r="C241" s="1" t="s">
        <v>848</v>
      </c>
      <c r="D241" s="1" t="s">
        <v>849</v>
      </c>
      <c r="E241" s="2" t="s">
        <v>850</v>
      </c>
      <c r="F241" s="2" t="s">
        <v>851</v>
      </c>
      <c r="G241" s="2">
        <v>3</v>
      </c>
      <c r="H241" s="2">
        <v>0</v>
      </c>
      <c r="I241" s="1">
        <v>0</v>
      </c>
      <c r="J241" s="3" t="s">
        <v>18</v>
      </c>
      <c r="K241" s="2" t="str">
        <f>J241*7824.27</f>
        <v>0</v>
      </c>
      <c r="L241" s="5"/>
    </row>
    <row r="242" spans="1:12" customHeight="1" ht="105" outlineLevel="5">
      <c r="A242" s="1"/>
      <c r="B242" s="1">
        <v>833332</v>
      </c>
      <c r="C242" s="1" t="s">
        <v>852</v>
      </c>
      <c r="D242" s="1" t="s">
        <v>853</v>
      </c>
      <c r="E242" s="2" t="s">
        <v>854</v>
      </c>
      <c r="F242" s="2" t="s">
        <v>855</v>
      </c>
      <c r="G242" s="2">
        <v>0</v>
      </c>
      <c r="H242" s="2">
        <v>0</v>
      </c>
      <c r="I242" s="1">
        <v>0</v>
      </c>
      <c r="J242" s="3" t="s">
        <v>18</v>
      </c>
      <c r="K242" s="2" t="str">
        <f>J242*8393.67</f>
        <v>0</v>
      </c>
      <c r="L242" s="5"/>
    </row>
    <row r="243" spans="1:12" customHeight="1" ht="105" outlineLevel="5">
      <c r="A243" s="1"/>
      <c r="B243" s="1">
        <v>833333</v>
      </c>
      <c r="C243" s="1" t="s">
        <v>856</v>
      </c>
      <c r="D243" s="1" t="s">
        <v>857</v>
      </c>
      <c r="E243" s="2" t="s">
        <v>858</v>
      </c>
      <c r="F243" s="2" t="s">
        <v>859</v>
      </c>
      <c r="G243" s="2">
        <v>2</v>
      </c>
      <c r="H243" s="2">
        <v>0</v>
      </c>
      <c r="I243" s="1">
        <v>0</v>
      </c>
      <c r="J243" s="3" t="s">
        <v>18</v>
      </c>
      <c r="K243" s="2" t="str">
        <f>J243*8730.05</f>
        <v>0</v>
      </c>
      <c r="L243" s="5"/>
    </row>
    <row r="244" spans="1:12" customHeight="1" ht="105" outlineLevel="5">
      <c r="A244" s="1"/>
      <c r="B244" s="1">
        <v>833334</v>
      </c>
      <c r="C244" s="1" t="s">
        <v>860</v>
      </c>
      <c r="D244" s="1" t="s">
        <v>861</v>
      </c>
      <c r="E244" s="2" t="s">
        <v>862</v>
      </c>
      <c r="F244" s="2" t="s">
        <v>863</v>
      </c>
      <c r="G244" s="2">
        <v>2</v>
      </c>
      <c r="H244" s="2">
        <v>0</v>
      </c>
      <c r="I244" s="1">
        <v>0</v>
      </c>
      <c r="J244" s="3" t="s">
        <v>18</v>
      </c>
      <c r="K244" s="2" t="str">
        <f>J244*9427.04</f>
        <v>0</v>
      </c>
      <c r="L244" s="5"/>
    </row>
    <row r="245" spans="1:12" customHeight="1" ht="105" outlineLevel="5">
      <c r="A245" s="1"/>
      <c r="B245" s="1">
        <v>833335</v>
      </c>
      <c r="C245" s="1" t="s">
        <v>864</v>
      </c>
      <c r="D245" s="1" t="s">
        <v>865</v>
      </c>
      <c r="E245" s="2" t="s">
        <v>866</v>
      </c>
      <c r="F245" s="2" t="s">
        <v>867</v>
      </c>
      <c r="G245" s="2">
        <v>1</v>
      </c>
      <c r="H245" s="2">
        <v>0</v>
      </c>
      <c r="I245" s="1">
        <v>0</v>
      </c>
      <c r="J245" s="3" t="s">
        <v>18</v>
      </c>
      <c r="K245" s="2" t="str">
        <f>J245*10365.63</f>
        <v>0</v>
      </c>
      <c r="L245" s="5"/>
    </row>
    <row r="246" spans="1:12" customHeight="1" ht="105" outlineLevel="5">
      <c r="A246" s="1"/>
      <c r="B246" s="1">
        <v>833340</v>
      </c>
      <c r="C246" s="1" t="s">
        <v>868</v>
      </c>
      <c r="D246" s="1" t="s">
        <v>869</v>
      </c>
      <c r="E246" s="2" t="s">
        <v>870</v>
      </c>
      <c r="F246" s="2" t="s">
        <v>871</v>
      </c>
      <c r="G246" s="2">
        <v>0</v>
      </c>
      <c r="H246" s="2">
        <v>0</v>
      </c>
      <c r="I246" s="1">
        <v>0</v>
      </c>
      <c r="J246" s="3" t="s">
        <v>18</v>
      </c>
      <c r="K246" s="2" t="str">
        <f>J246*13144.78</f>
        <v>0</v>
      </c>
      <c r="L246" s="5"/>
    </row>
    <row r="247" spans="1:12" customHeight="1" ht="105" outlineLevel="5">
      <c r="A247" s="1"/>
      <c r="B247" s="1">
        <v>833347</v>
      </c>
      <c r="C247" s="1" t="s">
        <v>872</v>
      </c>
      <c r="D247" s="1" t="s">
        <v>873</v>
      </c>
      <c r="E247" s="2" t="s">
        <v>874</v>
      </c>
      <c r="F247" s="2" t="s">
        <v>875</v>
      </c>
      <c r="G247" s="2">
        <v>0</v>
      </c>
      <c r="H247" s="2">
        <v>0</v>
      </c>
      <c r="I247" s="1">
        <v>0</v>
      </c>
      <c r="J247" s="3" t="s">
        <v>18</v>
      </c>
      <c r="K247" s="2" t="str">
        <f>J247*13277.28</f>
        <v>0</v>
      </c>
      <c r="L247" s="5"/>
    </row>
    <row r="248" spans="1:12" customHeight="1" ht="105" outlineLevel="5">
      <c r="A248" s="1"/>
      <c r="B248" s="1">
        <v>833348</v>
      </c>
      <c r="C248" s="1" t="s">
        <v>876</v>
      </c>
      <c r="D248" s="1" t="s">
        <v>877</v>
      </c>
      <c r="E248" s="2" t="s">
        <v>878</v>
      </c>
      <c r="F248" s="2" t="s">
        <v>879</v>
      </c>
      <c r="G248" s="2">
        <v>1</v>
      </c>
      <c r="H248" s="2">
        <v>0</v>
      </c>
      <c r="I248" s="1">
        <v>0</v>
      </c>
      <c r="J248" s="3" t="s">
        <v>18</v>
      </c>
      <c r="K248" s="2" t="str">
        <f>J248*14852.32</f>
        <v>0</v>
      </c>
      <c r="L248" s="5"/>
    </row>
    <row r="249" spans="1:12" customHeight="1" ht="105" outlineLevel="5">
      <c r="A249" s="1"/>
      <c r="B249" s="1">
        <v>833349</v>
      </c>
      <c r="C249" s="1" t="s">
        <v>880</v>
      </c>
      <c r="D249" s="1" t="s">
        <v>881</v>
      </c>
      <c r="E249" s="2" t="s">
        <v>882</v>
      </c>
      <c r="F249" s="2" t="s">
        <v>883</v>
      </c>
      <c r="G249" s="2">
        <v>2</v>
      </c>
      <c r="H249" s="2">
        <v>0</v>
      </c>
      <c r="I249" s="1">
        <v>0</v>
      </c>
      <c r="J249" s="3" t="s">
        <v>18</v>
      </c>
      <c r="K249" s="2" t="str">
        <f>J249*18997.78</f>
        <v>0</v>
      </c>
      <c r="L249" s="5"/>
    </row>
    <row r="250" spans="1:12" customHeight="1" ht="105" outlineLevel="5">
      <c r="A250" s="1"/>
      <c r="B250" s="1">
        <v>833350</v>
      </c>
      <c r="C250" s="1" t="s">
        <v>884</v>
      </c>
      <c r="D250" s="1" t="s">
        <v>885</v>
      </c>
      <c r="E250" s="2" t="s">
        <v>886</v>
      </c>
      <c r="F250" s="2" t="s">
        <v>887</v>
      </c>
      <c r="G250" s="2">
        <v>0</v>
      </c>
      <c r="H250" s="2">
        <v>0</v>
      </c>
      <c r="I250" s="1">
        <v>0</v>
      </c>
      <c r="J250" s="3" t="s">
        <v>18</v>
      </c>
      <c r="K250" s="2" t="str">
        <f>J250*22432.32</f>
        <v>0</v>
      </c>
      <c r="L250" s="5"/>
    </row>
    <row r="251" spans="1:12" customHeight="1" ht="105" outlineLevel="5">
      <c r="A251" s="1"/>
      <c r="B251" s="1">
        <v>833351</v>
      </c>
      <c r="C251" s="1" t="s">
        <v>888</v>
      </c>
      <c r="D251" s="1" t="s">
        <v>889</v>
      </c>
      <c r="E251" s="2" t="s">
        <v>890</v>
      </c>
      <c r="F251" s="2" t="s">
        <v>891</v>
      </c>
      <c r="G251" s="2">
        <v>1</v>
      </c>
      <c r="H251" s="2">
        <v>0</v>
      </c>
      <c r="I251" s="1">
        <v>0</v>
      </c>
      <c r="J251" s="3" t="s">
        <v>18</v>
      </c>
      <c r="K251" s="2" t="str">
        <f>J251*15207.43</f>
        <v>0</v>
      </c>
      <c r="L251" s="5"/>
    </row>
    <row r="252" spans="1:12" customHeight="1" ht="105" outlineLevel="5">
      <c r="A252" s="1"/>
      <c r="B252" s="1">
        <v>833352</v>
      </c>
      <c r="C252" s="1" t="s">
        <v>892</v>
      </c>
      <c r="D252" s="1" t="s">
        <v>893</v>
      </c>
      <c r="E252" s="2" t="s">
        <v>894</v>
      </c>
      <c r="F252" s="2" t="s">
        <v>895</v>
      </c>
      <c r="G252" s="2">
        <v>1</v>
      </c>
      <c r="H252" s="2">
        <v>0</v>
      </c>
      <c r="I252" s="1">
        <v>0</v>
      </c>
      <c r="J252" s="3" t="s">
        <v>18</v>
      </c>
      <c r="K252" s="2" t="str">
        <f>J252*17628.57</f>
        <v>0</v>
      </c>
      <c r="L252" s="5"/>
    </row>
    <row r="253" spans="1:12" customHeight="1" ht="105" outlineLevel="5">
      <c r="A253" s="1"/>
      <c r="B253" s="1">
        <v>833353</v>
      </c>
      <c r="C253" s="1" t="s">
        <v>896</v>
      </c>
      <c r="D253" s="1" t="s">
        <v>897</v>
      </c>
      <c r="E253" s="2" t="s">
        <v>898</v>
      </c>
      <c r="F253" s="2" t="s">
        <v>899</v>
      </c>
      <c r="G253" s="2">
        <v>1</v>
      </c>
      <c r="H253" s="2">
        <v>0</v>
      </c>
      <c r="I253" s="1">
        <v>0</v>
      </c>
      <c r="J253" s="3" t="s">
        <v>18</v>
      </c>
      <c r="K253" s="2" t="str">
        <f>J253*19093.17</f>
        <v>0</v>
      </c>
      <c r="L253" s="5"/>
    </row>
    <row r="254" spans="1:12" customHeight="1" ht="105" outlineLevel="5">
      <c r="A254" s="1"/>
      <c r="B254" s="1">
        <v>833362</v>
      </c>
      <c r="C254" s="1" t="s">
        <v>900</v>
      </c>
      <c r="D254" s="1" t="s">
        <v>901</v>
      </c>
      <c r="E254" s="2" t="s">
        <v>902</v>
      </c>
      <c r="F254" s="2" t="s">
        <v>903</v>
      </c>
      <c r="G254" s="2">
        <v>0</v>
      </c>
      <c r="H254" s="2">
        <v>0</v>
      </c>
      <c r="I254" s="1">
        <v>0</v>
      </c>
      <c r="J254" s="3" t="s">
        <v>18</v>
      </c>
      <c r="K254" s="2" t="str">
        <f>J254*13097.71</f>
        <v>0</v>
      </c>
      <c r="L254" s="5"/>
    </row>
    <row r="255" spans="1:12" customHeight="1" ht="105" outlineLevel="5">
      <c r="A255" s="1"/>
      <c r="B255" s="1">
        <v>833363</v>
      </c>
      <c r="C255" s="1" t="s">
        <v>904</v>
      </c>
      <c r="D255" s="1" t="s">
        <v>905</v>
      </c>
      <c r="E255" s="2" t="s">
        <v>906</v>
      </c>
      <c r="F255" s="2" t="s">
        <v>907</v>
      </c>
      <c r="G255" s="2">
        <v>1</v>
      </c>
      <c r="H255" s="2">
        <v>0</v>
      </c>
      <c r="I255" s="1">
        <v>0</v>
      </c>
      <c r="J255" s="3" t="s">
        <v>18</v>
      </c>
      <c r="K255" s="2" t="str">
        <f>J255*16227.12</f>
        <v>0</v>
      </c>
      <c r="L255" s="5"/>
    </row>
    <row r="256" spans="1:12" customHeight="1" ht="105" outlineLevel="5">
      <c r="A256" s="1"/>
      <c r="B256" s="1">
        <v>833364</v>
      </c>
      <c r="C256" s="1" t="s">
        <v>908</v>
      </c>
      <c r="D256" s="1" t="s">
        <v>909</v>
      </c>
      <c r="E256" s="2" t="s">
        <v>910</v>
      </c>
      <c r="F256" s="2" t="s">
        <v>911</v>
      </c>
      <c r="G256" s="2">
        <v>2</v>
      </c>
      <c r="H256" s="2">
        <v>0</v>
      </c>
      <c r="I256" s="1">
        <v>0</v>
      </c>
      <c r="J256" s="3" t="s">
        <v>18</v>
      </c>
      <c r="K256" s="2" t="str">
        <f>J256*20008.00</f>
        <v>0</v>
      </c>
      <c r="L256" s="5"/>
    </row>
    <row r="257" spans="1:12" customHeight="1" ht="105" outlineLevel="5">
      <c r="A257" s="1"/>
      <c r="B257" s="1">
        <v>833365</v>
      </c>
      <c r="C257" s="1" t="s">
        <v>912</v>
      </c>
      <c r="D257" s="1" t="s">
        <v>913</v>
      </c>
      <c r="E257" s="2" t="s">
        <v>914</v>
      </c>
      <c r="F257" s="2" t="s">
        <v>915</v>
      </c>
      <c r="G257" s="2">
        <v>4</v>
      </c>
      <c r="H257" s="2">
        <v>0</v>
      </c>
      <c r="I257" s="1">
        <v>0</v>
      </c>
      <c r="J257" s="3" t="s">
        <v>18</v>
      </c>
      <c r="K257" s="2" t="str">
        <f>J257*27381.47</f>
        <v>0</v>
      </c>
      <c r="L257" s="5"/>
    </row>
    <row r="258" spans="1:12" customHeight="1" ht="105" outlineLevel="5">
      <c r="A258" s="1"/>
      <c r="B258" s="1">
        <v>833370</v>
      </c>
      <c r="C258" s="1" t="s">
        <v>916</v>
      </c>
      <c r="D258" s="1" t="s">
        <v>917</v>
      </c>
      <c r="E258" s="2" t="s">
        <v>918</v>
      </c>
      <c r="F258" s="2" t="s">
        <v>919</v>
      </c>
      <c r="G258" s="2">
        <v>1</v>
      </c>
      <c r="H258" s="2">
        <v>0</v>
      </c>
      <c r="I258" s="1">
        <v>0</v>
      </c>
      <c r="J258" s="3" t="s">
        <v>18</v>
      </c>
      <c r="K258" s="2" t="str">
        <f>J258*14162.82</f>
        <v>0</v>
      </c>
      <c r="L258" s="5"/>
    </row>
    <row r="259" spans="1:12" customHeight="1" ht="105" outlineLevel="5">
      <c r="A259" s="1"/>
      <c r="B259" s="1">
        <v>833371</v>
      </c>
      <c r="C259" s="1" t="s">
        <v>920</v>
      </c>
      <c r="D259" s="1" t="s">
        <v>921</v>
      </c>
      <c r="E259" s="2" t="s">
        <v>922</v>
      </c>
      <c r="F259" s="2" t="s">
        <v>923</v>
      </c>
      <c r="G259" s="2">
        <v>2</v>
      </c>
      <c r="H259" s="2">
        <v>0</v>
      </c>
      <c r="I259" s="1">
        <v>0</v>
      </c>
      <c r="J259" s="3" t="s">
        <v>18</v>
      </c>
      <c r="K259" s="2" t="str">
        <f>J259*17375.53</f>
        <v>0</v>
      </c>
      <c r="L259" s="5"/>
    </row>
    <row r="260" spans="1:12" customHeight="1" ht="105" outlineLevel="5">
      <c r="A260" s="1"/>
      <c r="B260" s="1">
        <v>833372</v>
      </c>
      <c r="C260" s="1" t="s">
        <v>924</v>
      </c>
      <c r="D260" s="1" t="s">
        <v>925</v>
      </c>
      <c r="E260" s="2" t="s">
        <v>926</v>
      </c>
      <c r="F260" s="2" t="s">
        <v>927</v>
      </c>
      <c r="G260" s="2">
        <v>2</v>
      </c>
      <c r="H260" s="2">
        <v>0</v>
      </c>
      <c r="I260" s="1">
        <v>0</v>
      </c>
      <c r="J260" s="3" t="s">
        <v>18</v>
      </c>
      <c r="K260" s="2" t="str">
        <f>J260*21618.42</f>
        <v>0</v>
      </c>
      <c r="L260" s="5"/>
    </row>
    <row r="261" spans="1:12" customHeight="1" ht="105" outlineLevel="5">
      <c r="A261" s="1"/>
      <c r="B261" s="1">
        <v>833373</v>
      </c>
      <c r="C261" s="1" t="s">
        <v>928</v>
      </c>
      <c r="D261" s="1" t="s">
        <v>929</v>
      </c>
      <c r="E261" s="2" t="s">
        <v>930</v>
      </c>
      <c r="F261" s="2" t="s">
        <v>931</v>
      </c>
      <c r="G261" s="2">
        <v>3</v>
      </c>
      <c r="H261" s="2">
        <v>0</v>
      </c>
      <c r="I261" s="1">
        <v>0</v>
      </c>
      <c r="J261" s="3" t="s">
        <v>18</v>
      </c>
      <c r="K261" s="2" t="str">
        <f>J261*24077.77</f>
        <v>0</v>
      </c>
      <c r="L261" s="5"/>
    </row>
    <row r="262" spans="1:12" customHeight="1" ht="105" outlineLevel="5">
      <c r="A262" s="1"/>
      <c r="B262" s="1">
        <v>839070</v>
      </c>
      <c r="C262" s="1" t="s">
        <v>932</v>
      </c>
      <c r="D262" s="1" t="s">
        <v>933</v>
      </c>
      <c r="E262" s="2" t="s">
        <v>934</v>
      </c>
      <c r="F262" s="2" t="s">
        <v>935</v>
      </c>
      <c r="G262" s="2">
        <v>0</v>
      </c>
      <c r="H262" s="2">
        <v>0</v>
      </c>
      <c r="I262" s="1">
        <v>0</v>
      </c>
      <c r="J262" s="3" t="s">
        <v>18</v>
      </c>
      <c r="K262" s="2" t="str">
        <f>J262*8817.08</f>
        <v>0</v>
      </c>
      <c r="L262" s="5"/>
    </row>
    <row r="263" spans="1:12" customHeight="1" ht="105" outlineLevel="5">
      <c r="A263" s="1"/>
      <c r="B263" s="1">
        <v>858809</v>
      </c>
      <c r="C263" s="1" t="s">
        <v>936</v>
      </c>
      <c r="D263" s="1" t="s">
        <v>937</v>
      </c>
      <c r="E263" s="2" t="s">
        <v>938</v>
      </c>
      <c r="F263" s="2" t="s">
        <v>939</v>
      </c>
      <c r="G263" s="2">
        <v>3</v>
      </c>
      <c r="H263" s="2">
        <v>0</v>
      </c>
      <c r="I263" s="1">
        <v>0</v>
      </c>
      <c r="J263" s="3" t="s">
        <v>18</v>
      </c>
      <c r="K263" s="2" t="str">
        <f>J263*31637.08</f>
        <v>0</v>
      </c>
      <c r="L263" s="5"/>
    </row>
    <row r="264" spans="1:12" customHeight="1" ht="105" outlineLevel="5">
      <c r="A264" s="1"/>
      <c r="B264" s="1">
        <v>858810</v>
      </c>
      <c r="C264" s="1" t="s">
        <v>940</v>
      </c>
      <c r="D264" s="1" t="s">
        <v>941</v>
      </c>
      <c r="E264" s="2" t="s">
        <v>942</v>
      </c>
      <c r="F264" s="2" t="s">
        <v>943</v>
      </c>
      <c r="G264" s="2">
        <v>2</v>
      </c>
      <c r="H264" s="2">
        <v>0</v>
      </c>
      <c r="I264" s="1">
        <v>0</v>
      </c>
      <c r="J264" s="3" t="s">
        <v>18</v>
      </c>
      <c r="K264" s="2" t="str">
        <f>J264*15118.60</f>
        <v>0</v>
      </c>
      <c r="L264" s="5"/>
    </row>
    <row r="265" spans="1:12" customHeight="1" ht="105" outlineLevel="5">
      <c r="A265" s="1"/>
      <c r="B265" s="1">
        <v>858832</v>
      </c>
      <c r="C265" s="1" t="s">
        <v>944</v>
      </c>
      <c r="D265" s="1" t="s">
        <v>945</v>
      </c>
      <c r="E265" s="2" t="s">
        <v>946</v>
      </c>
      <c r="F265" s="2" t="s">
        <v>947</v>
      </c>
      <c r="G265" s="2">
        <v>0</v>
      </c>
      <c r="H265" s="2">
        <v>0</v>
      </c>
      <c r="I265" s="1">
        <v>0</v>
      </c>
      <c r="J265" s="3" t="s">
        <v>18</v>
      </c>
      <c r="K265" s="2" t="str">
        <f>J265*18898.25</f>
        <v>0</v>
      </c>
      <c r="L265" s="5"/>
    </row>
    <row r="266" spans="1:12" customHeight="1" ht="105" outlineLevel="5">
      <c r="A266" s="1"/>
      <c r="B266" s="1">
        <v>878011</v>
      </c>
      <c r="C266" s="1" t="s">
        <v>948</v>
      </c>
      <c r="D266" s="1" t="s">
        <v>949</v>
      </c>
      <c r="E266" s="2" t="s">
        <v>950</v>
      </c>
      <c r="F266" s="2" t="s">
        <v>951</v>
      </c>
      <c r="G266" s="2">
        <v>7</v>
      </c>
      <c r="H266" s="2">
        <v>0</v>
      </c>
      <c r="I266" s="1">
        <v>0</v>
      </c>
      <c r="J266" s="3" t="s">
        <v>18</v>
      </c>
      <c r="K266" s="2" t="str">
        <f>J266*7940.78</f>
        <v>0</v>
      </c>
      <c r="L266" s="5"/>
    </row>
    <row r="267" spans="1:12" customHeight="1" ht="105" outlineLevel="5">
      <c r="A267" s="1"/>
      <c r="B267" s="1">
        <v>878012</v>
      </c>
      <c r="C267" s="1" t="s">
        <v>952</v>
      </c>
      <c r="D267" s="1" t="s">
        <v>953</v>
      </c>
      <c r="E267" s="2" t="s">
        <v>954</v>
      </c>
      <c r="F267" s="2" t="s">
        <v>955</v>
      </c>
      <c r="G267" s="2">
        <v>4</v>
      </c>
      <c r="H267" s="2">
        <v>0</v>
      </c>
      <c r="I267" s="1">
        <v>0</v>
      </c>
      <c r="J267" s="3" t="s">
        <v>18</v>
      </c>
      <c r="K267" s="2" t="str">
        <f>J267*9231.23</f>
        <v>0</v>
      </c>
      <c r="L267" s="5"/>
    </row>
    <row r="268" spans="1:12" customHeight="1" ht="105" outlineLevel="5">
      <c r="A268" s="1"/>
      <c r="B268" s="1">
        <v>878013</v>
      </c>
      <c r="C268" s="1" t="s">
        <v>956</v>
      </c>
      <c r="D268" s="1" t="s">
        <v>957</v>
      </c>
      <c r="E268" s="2" t="s">
        <v>958</v>
      </c>
      <c r="F268" s="2" t="s">
        <v>959</v>
      </c>
      <c r="G268" s="2">
        <v>2</v>
      </c>
      <c r="H268" s="2">
        <v>0</v>
      </c>
      <c r="I268" s="1">
        <v>0</v>
      </c>
      <c r="J268" s="3" t="s">
        <v>18</v>
      </c>
      <c r="K268" s="2" t="str">
        <f>J268*10695.74</f>
        <v>0</v>
      </c>
      <c r="L268" s="5"/>
    </row>
    <row r="269" spans="1:12" customHeight="1" ht="105" outlineLevel="5">
      <c r="A269" s="1"/>
      <c r="B269" s="1">
        <v>883378</v>
      </c>
      <c r="C269" s="1" t="s">
        <v>960</v>
      </c>
      <c r="D269" s="1" t="s">
        <v>961</v>
      </c>
      <c r="E269" s="2" t="s">
        <v>962</v>
      </c>
      <c r="F269" s="2" t="s">
        <v>963</v>
      </c>
      <c r="G269" s="2">
        <v>2</v>
      </c>
      <c r="H269" s="2">
        <v>0</v>
      </c>
      <c r="I269" s="1">
        <v>0</v>
      </c>
      <c r="J269" s="3" t="s">
        <v>18</v>
      </c>
      <c r="K269" s="2" t="str">
        <f>J269*11501.92</f>
        <v>0</v>
      </c>
      <c r="L269" s="5"/>
    </row>
    <row r="270" spans="1:12" customHeight="1" ht="105" outlineLevel="5">
      <c r="A270" s="1"/>
      <c r="B270" s="1">
        <v>883379</v>
      </c>
      <c r="C270" s="1" t="s">
        <v>964</v>
      </c>
      <c r="D270" s="1" t="s">
        <v>965</v>
      </c>
      <c r="E270" s="2" t="s">
        <v>966</v>
      </c>
      <c r="F270" s="2" t="s">
        <v>967</v>
      </c>
      <c r="G270" s="2">
        <v>2</v>
      </c>
      <c r="H270" s="2">
        <v>0</v>
      </c>
      <c r="I270" s="1">
        <v>0</v>
      </c>
      <c r="J270" s="3" t="s">
        <v>18</v>
      </c>
      <c r="K270" s="2" t="str">
        <f>J270*13691.11</f>
        <v>0</v>
      </c>
      <c r="L270" s="5"/>
    </row>
    <row r="271" spans="1:12" customHeight="1" ht="105" outlineLevel="5">
      <c r="A271" s="1"/>
      <c r="B271" s="1">
        <v>883380</v>
      </c>
      <c r="C271" s="1" t="s">
        <v>968</v>
      </c>
      <c r="D271" s="1" t="s">
        <v>969</v>
      </c>
      <c r="E271" s="2" t="s">
        <v>970</v>
      </c>
      <c r="F271" s="2" t="s">
        <v>971</v>
      </c>
      <c r="G271" s="2">
        <v>2</v>
      </c>
      <c r="H271" s="2">
        <v>0</v>
      </c>
      <c r="I271" s="1">
        <v>0</v>
      </c>
      <c r="J271" s="3" t="s">
        <v>18</v>
      </c>
      <c r="K271" s="2" t="str">
        <f>J271*15085.28</f>
        <v>0</v>
      </c>
      <c r="L271" s="5"/>
    </row>
    <row r="272" spans="1:12" outlineLevel="3">
      <c r="A272" s="9" t="s">
        <v>972</v>
      </c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5"/>
    </row>
    <row r="273" spans="1:12" customHeight="1" ht="105" outlineLevel="5">
      <c r="A273" s="1"/>
      <c r="B273" s="1">
        <v>833336</v>
      </c>
      <c r="C273" s="1" t="s">
        <v>973</v>
      </c>
      <c r="D273" s="1" t="s">
        <v>974</v>
      </c>
      <c r="E273" s="2" t="s">
        <v>975</v>
      </c>
      <c r="F273" s="2" t="s">
        <v>976</v>
      </c>
      <c r="G273" s="2">
        <v>2</v>
      </c>
      <c r="H273" s="2">
        <v>0</v>
      </c>
      <c r="I273" s="1">
        <v>0</v>
      </c>
      <c r="J273" s="3" t="s">
        <v>18</v>
      </c>
      <c r="K273" s="2" t="str">
        <f>J273*8081.45</f>
        <v>0</v>
      </c>
      <c r="L273" s="5"/>
    </row>
    <row r="274" spans="1:12" customHeight="1" ht="105" outlineLevel="5">
      <c r="A274" s="1"/>
      <c r="B274" s="1">
        <v>833337</v>
      </c>
      <c r="C274" s="1" t="s">
        <v>977</v>
      </c>
      <c r="D274" s="1" t="s">
        <v>978</v>
      </c>
      <c r="E274" s="2" t="s">
        <v>979</v>
      </c>
      <c r="F274" s="2" t="s">
        <v>980</v>
      </c>
      <c r="G274" s="2">
        <v>2</v>
      </c>
      <c r="H274" s="2">
        <v>0</v>
      </c>
      <c r="I274" s="1">
        <v>0</v>
      </c>
      <c r="J274" s="3" t="s">
        <v>18</v>
      </c>
      <c r="K274" s="2" t="str">
        <f>J274*9208.35</f>
        <v>0</v>
      </c>
      <c r="L274" s="5"/>
    </row>
    <row r="275" spans="1:12" customHeight="1" ht="105" outlineLevel="5">
      <c r="A275" s="1"/>
      <c r="B275" s="1">
        <v>833338</v>
      </c>
      <c r="C275" s="1" t="s">
        <v>981</v>
      </c>
      <c r="D275" s="1" t="s">
        <v>982</v>
      </c>
      <c r="E275" s="2" t="s">
        <v>983</v>
      </c>
      <c r="F275" s="2" t="s">
        <v>984</v>
      </c>
      <c r="G275" s="2">
        <v>1</v>
      </c>
      <c r="H275" s="2">
        <v>0</v>
      </c>
      <c r="I275" s="1">
        <v>0</v>
      </c>
      <c r="J275" s="3" t="s">
        <v>18</v>
      </c>
      <c r="K275" s="2" t="str">
        <f>J275*9737.50</f>
        <v>0</v>
      </c>
      <c r="L275" s="5"/>
    </row>
    <row r="276" spans="1:12" customHeight="1" ht="105" outlineLevel="5">
      <c r="A276" s="1"/>
      <c r="B276" s="1">
        <v>833339</v>
      </c>
      <c r="C276" s="1" t="s">
        <v>985</v>
      </c>
      <c r="D276" s="1" t="s">
        <v>986</v>
      </c>
      <c r="E276" s="2" t="s">
        <v>987</v>
      </c>
      <c r="F276" s="2" t="s">
        <v>988</v>
      </c>
      <c r="G276" s="2">
        <v>2</v>
      </c>
      <c r="H276" s="2">
        <v>0</v>
      </c>
      <c r="I276" s="1">
        <v>0</v>
      </c>
      <c r="J276" s="3" t="s">
        <v>18</v>
      </c>
      <c r="K276" s="2" t="str">
        <f>J276*11691.72</f>
        <v>0</v>
      </c>
      <c r="L276" s="5"/>
    </row>
    <row r="277" spans="1:12" customHeight="1" ht="105" outlineLevel="5">
      <c r="A277" s="1"/>
      <c r="B277" s="1">
        <v>833341</v>
      </c>
      <c r="C277" s="1" t="s">
        <v>989</v>
      </c>
      <c r="D277" s="1" t="s">
        <v>990</v>
      </c>
      <c r="E277" s="2" t="s">
        <v>991</v>
      </c>
      <c r="F277" s="2" t="s">
        <v>992</v>
      </c>
      <c r="G277" s="2">
        <v>2</v>
      </c>
      <c r="H277" s="2">
        <v>0</v>
      </c>
      <c r="I277" s="1">
        <v>0</v>
      </c>
      <c r="J277" s="3" t="s">
        <v>18</v>
      </c>
      <c r="K277" s="2" t="str">
        <f>J277*13380.05</f>
        <v>0</v>
      </c>
      <c r="L277" s="5"/>
    </row>
    <row r="278" spans="1:12" customHeight="1" ht="105" outlineLevel="5">
      <c r="A278" s="1"/>
      <c r="B278" s="1">
        <v>833342</v>
      </c>
      <c r="C278" s="1" t="s">
        <v>993</v>
      </c>
      <c r="D278" s="1" t="s">
        <v>994</v>
      </c>
      <c r="E278" s="2" t="s">
        <v>995</v>
      </c>
      <c r="F278" s="2" t="s">
        <v>996</v>
      </c>
      <c r="G278" s="2">
        <v>2</v>
      </c>
      <c r="H278" s="2">
        <v>0</v>
      </c>
      <c r="I278" s="1">
        <v>0</v>
      </c>
      <c r="J278" s="3" t="s">
        <v>18</v>
      </c>
      <c r="K278" s="2" t="str">
        <f>J278*14748.29</f>
        <v>0</v>
      </c>
      <c r="L278" s="5"/>
    </row>
    <row r="279" spans="1:12" customHeight="1" ht="105" outlineLevel="5">
      <c r="A279" s="1"/>
      <c r="B279" s="1">
        <v>833343</v>
      </c>
      <c r="C279" s="1" t="s">
        <v>997</v>
      </c>
      <c r="D279" s="1" t="s">
        <v>998</v>
      </c>
      <c r="E279" s="2" t="s">
        <v>991</v>
      </c>
      <c r="F279" s="2" t="s">
        <v>999</v>
      </c>
      <c r="G279" s="2">
        <v>2</v>
      </c>
      <c r="H279" s="2">
        <v>0</v>
      </c>
      <c r="I279" s="1">
        <v>0</v>
      </c>
      <c r="J279" s="3" t="s">
        <v>18</v>
      </c>
      <c r="K279" s="2" t="str">
        <f>J279*11032.43</f>
        <v>0</v>
      </c>
      <c r="L279" s="5"/>
    </row>
    <row r="280" spans="1:12" customHeight="1" ht="105" outlineLevel="5">
      <c r="A280" s="1"/>
      <c r="B280" s="1">
        <v>833344</v>
      </c>
      <c r="C280" s="1" t="s">
        <v>1000</v>
      </c>
      <c r="D280" s="1" t="s">
        <v>1001</v>
      </c>
      <c r="E280" s="2" t="s">
        <v>1002</v>
      </c>
      <c r="F280" s="2" t="s">
        <v>1003</v>
      </c>
      <c r="G280" s="2">
        <v>1</v>
      </c>
      <c r="H280" s="2">
        <v>0</v>
      </c>
      <c r="I280" s="1">
        <v>0</v>
      </c>
      <c r="J280" s="3" t="s">
        <v>18</v>
      </c>
      <c r="K280" s="2" t="str">
        <f>J280*14029.57</f>
        <v>0</v>
      </c>
      <c r="L280" s="5"/>
    </row>
    <row r="281" spans="1:12" customHeight="1" ht="105" outlineLevel="5">
      <c r="A281" s="1"/>
      <c r="B281" s="1">
        <v>833345</v>
      </c>
      <c r="C281" s="1" t="s">
        <v>1004</v>
      </c>
      <c r="D281" s="1" t="s">
        <v>1005</v>
      </c>
      <c r="E281" s="2" t="s">
        <v>1006</v>
      </c>
      <c r="F281" s="2" t="s">
        <v>1007</v>
      </c>
      <c r="G281" s="2">
        <v>3</v>
      </c>
      <c r="H281" s="2">
        <v>0</v>
      </c>
      <c r="I281" s="1">
        <v>0</v>
      </c>
      <c r="J281" s="3" t="s">
        <v>18</v>
      </c>
      <c r="K281" s="2" t="str">
        <f>J281*16294.49</f>
        <v>0</v>
      </c>
      <c r="L281" s="5"/>
    </row>
    <row r="282" spans="1:12" customHeight="1" ht="105" outlineLevel="5">
      <c r="A282" s="1"/>
      <c r="B282" s="1">
        <v>833346</v>
      </c>
      <c r="C282" s="1" t="s">
        <v>1008</v>
      </c>
      <c r="D282" s="1" t="s">
        <v>1009</v>
      </c>
      <c r="E282" s="2" t="s">
        <v>1010</v>
      </c>
      <c r="F282" s="2" t="s">
        <v>1011</v>
      </c>
      <c r="G282" s="2">
        <v>2</v>
      </c>
      <c r="H282" s="2">
        <v>0</v>
      </c>
      <c r="I282" s="1">
        <v>0</v>
      </c>
      <c r="J282" s="3" t="s">
        <v>18</v>
      </c>
      <c r="K282" s="2" t="str">
        <f>J282*21084.85</f>
        <v>0</v>
      </c>
      <c r="L282" s="5"/>
    </row>
    <row r="283" spans="1:12" customHeight="1" ht="105" outlineLevel="5">
      <c r="A283" s="1"/>
      <c r="B283" s="1">
        <v>833356</v>
      </c>
      <c r="C283" s="1" t="s">
        <v>1012</v>
      </c>
      <c r="D283" s="1" t="s">
        <v>1013</v>
      </c>
      <c r="E283" s="2" t="s">
        <v>1014</v>
      </c>
      <c r="F283" s="2" t="s">
        <v>1015</v>
      </c>
      <c r="G283" s="2">
        <v>1</v>
      </c>
      <c r="H283" s="2">
        <v>0</v>
      </c>
      <c r="I283" s="1">
        <v>0</v>
      </c>
      <c r="J283" s="3" t="s">
        <v>18</v>
      </c>
      <c r="K283" s="2" t="str">
        <f>J283*16546.02</f>
        <v>0</v>
      </c>
      <c r="L283" s="5"/>
    </row>
    <row r="284" spans="1:12" customHeight="1" ht="105" outlineLevel="5">
      <c r="A284" s="1"/>
      <c r="B284" s="1">
        <v>833357</v>
      </c>
      <c r="C284" s="1" t="s">
        <v>1016</v>
      </c>
      <c r="D284" s="1" t="s">
        <v>1017</v>
      </c>
      <c r="E284" s="2" t="s">
        <v>1018</v>
      </c>
      <c r="F284" s="2" t="s">
        <v>1019</v>
      </c>
      <c r="G284" s="2">
        <v>2</v>
      </c>
      <c r="H284" s="2">
        <v>0</v>
      </c>
      <c r="I284" s="1">
        <v>0</v>
      </c>
      <c r="J284" s="3" t="s">
        <v>18</v>
      </c>
      <c r="K284" s="2" t="str">
        <f>J284*18362.19</f>
        <v>0</v>
      </c>
      <c r="L284" s="5"/>
    </row>
    <row r="285" spans="1:12" customHeight="1" ht="105" outlineLevel="5">
      <c r="A285" s="1"/>
      <c r="B285" s="1">
        <v>833358</v>
      </c>
      <c r="C285" s="1" t="s">
        <v>1020</v>
      </c>
      <c r="D285" s="1" t="s">
        <v>1021</v>
      </c>
      <c r="E285" s="2" t="s">
        <v>1022</v>
      </c>
      <c r="F285" s="2" t="s">
        <v>1023</v>
      </c>
      <c r="G285" s="2">
        <v>1</v>
      </c>
      <c r="H285" s="2">
        <v>0</v>
      </c>
      <c r="I285" s="1">
        <v>0</v>
      </c>
      <c r="J285" s="3" t="s">
        <v>18</v>
      </c>
      <c r="K285" s="2" t="str">
        <f>J285*22471.86</f>
        <v>0</v>
      </c>
      <c r="L285" s="5"/>
    </row>
    <row r="286" spans="1:12" customHeight="1" ht="105" outlineLevel="5">
      <c r="A286" s="1"/>
      <c r="B286" s="1">
        <v>833359</v>
      </c>
      <c r="C286" s="1" t="s">
        <v>1024</v>
      </c>
      <c r="D286" s="1" t="s">
        <v>1025</v>
      </c>
      <c r="E286" s="2" t="s">
        <v>1026</v>
      </c>
      <c r="F286" s="2" t="s">
        <v>1027</v>
      </c>
      <c r="G286" s="2">
        <v>1</v>
      </c>
      <c r="H286" s="2">
        <v>0</v>
      </c>
      <c r="I286" s="1">
        <v>0</v>
      </c>
      <c r="J286" s="3" t="s">
        <v>18</v>
      </c>
      <c r="K286" s="2" t="str">
        <f>J286*15941.11</f>
        <v>0</v>
      </c>
      <c r="L286" s="5"/>
    </row>
    <row r="287" spans="1:12" customHeight="1" ht="105" outlineLevel="5">
      <c r="A287" s="1"/>
      <c r="B287" s="1">
        <v>833360</v>
      </c>
      <c r="C287" s="1" t="s">
        <v>1028</v>
      </c>
      <c r="D287" s="1" t="s">
        <v>1029</v>
      </c>
      <c r="E287" s="2" t="s">
        <v>1030</v>
      </c>
      <c r="F287" s="2" t="s">
        <v>1031</v>
      </c>
      <c r="G287" s="2">
        <v>2</v>
      </c>
      <c r="H287" s="2">
        <v>0</v>
      </c>
      <c r="I287" s="1">
        <v>0</v>
      </c>
      <c r="J287" s="3" t="s">
        <v>18</v>
      </c>
      <c r="K287" s="2" t="str">
        <f>J287*17334.03</f>
        <v>0</v>
      </c>
      <c r="L287" s="5"/>
    </row>
    <row r="288" spans="1:12" customHeight="1" ht="105" outlineLevel="5">
      <c r="A288" s="1"/>
      <c r="B288" s="1">
        <v>833361</v>
      </c>
      <c r="C288" s="1" t="s">
        <v>1032</v>
      </c>
      <c r="D288" s="1" t="s">
        <v>1033</v>
      </c>
      <c r="E288" s="2" t="s">
        <v>1034</v>
      </c>
      <c r="F288" s="2" t="s">
        <v>1035</v>
      </c>
      <c r="G288" s="2">
        <v>2</v>
      </c>
      <c r="H288" s="2">
        <v>0</v>
      </c>
      <c r="I288" s="1">
        <v>0</v>
      </c>
      <c r="J288" s="3" t="s">
        <v>18</v>
      </c>
      <c r="K288" s="2" t="str">
        <f>J288*21087.15</f>
        <v>0</v>
      </c>
      <c r="L288" s="5"/>
    </row>
    <row r="289" spans="1:12" customHeight="1" ht="105" outlineLevel="5">
      <c r="A289" s="1"/>
      <c r="B289" s="1">
        <v>833366</v>
      </c>
      <c r="C289" s="1" t="s">
        <v>1036</v>
      </c>
      <c r="D289" s="1" t="s">
        <v>1037</v>
      </c>
      <c r="E289" s="2" t="s">
        <v>1038</v>
      </c>
      <c r="F289" s="2" t="s">
        <v>1039</v>
      </c>
      <c r="G289" s="2">
        <v>5</v>
      </c>
      <c r="H289" s="2">
        <v>0</v>
      </c>
      <c r="I289" s="1">
        <v>0</v>
      </c>
      <c r="J289" s="3" t="s">
        <v>18</v>
      </c>
      <c r="K289" s="2" t="str">
        <f>J289*15818.54</f>
        <v>0</v>
      </c>
      <c r="L289" s="5"/>
    </row>
    <row r="290" spans="1:12" customHeight="1" ht="105" outlineLevel="5">
      <c r="A290" s="1"/>
      <c r="B290" s="1">
        <v>833367</v>
      </c>
      <c r="C290" s="1" t="s">
        <v>1040</v>
      </c>
      <c r="D290" s="1" t="s">
        <v>1041</v>
      </c>
      <c r="E290" s="2" t="s">
        <v>1042</v>
      </c>
      <c r="F290" s="2" t="s">
        <v>1043</v>
      </c>
      <c r="G290" s="2">
        <v>3</v>
      </c>
      <c r="H290" s="2">
        <v>0</v>
      </c>
      <c r="I290" s="1">
        <v>0</v>
      </c>
      <c r="J290" s="3" t="s">
        <v>18</v>
      </c>
      <c r="K290" s="2" t="str">
        <f>J290*17582.37</f>
        <v>0</v>
      </c>
      <c r="L290" s="5"/>
    </row>
    <row r="291" spans="1:12" customHeight="1" ht="105" outlineLevel="5">
      <c r="A291" s="1"/>
      <c r="B291" s="1">
        <v>833368</v>
      </c>
      <c r="C291" s="1" t="s">
        <v>1044</v>
      </c>
      <c r="D291" s="1" t="s">
        <v>1045</v>
      </c>
      <c r="E291" s="2" t="s">
        <v>1046</v>
      </c>
      <c r="F291" s="2" t="s">
        <v>1047</v>
      </c>
      <c r="G291" s="2">
        <v>3</v>
      </c>
      <c r="H291" s="2">
        <v>0</v>
      </c>
      <c r="I291" s="1">
        <v>0</v>
      </c>
      <c r="J291" s="3" t="s">
        <v>18</v>
      </c>
      <c r="K291" s="2" t="str">
        <f>J291*20018.15</f>
        <v>0</v>
      </c>
      <c r="L291" s="5"/>
    </row>
    <row r="292" spans="1:12" customHeight="1" ht="105" outlineLevel="5">
      <c r="A292" s="1"/>
      <c r="B292" s="1">
        <v>833369</v>
      </c>
      <c r="C292" s="1" t="s">
        <v>1048</v>
      </c>
      <c r="D292" s="1" t="s">
        <v>1049</v>
      </c>
      <c r="E292" s="2" t="s">
        <v>1050</v>
      </c>
      <c r="F292" s="2" t="s">
        <v>1051</v>
      </c>
      <c r="G292" s="2">
        <v>3</v>
      </c>
      <c r="H292" s="2">
        <v>0</v>
      </c>
      <c r="I292" s="1">
        <v>0</v>
      </c>
      <c r="J292" s="3" t="s">
        <v>18</v>
      </c>
      <c r="K292" s="2" t="str">
        <f>J292*24917.70</f>
        <v>0</v>
      </c>
      <c r="L292" s="5"/>
    </row>
    <row r="293" spans="1:12" customHeight="1" ht="105" outlineLevel="5">
      <c r="A293" s="1"/>
      <c r="B293" s="1">
        <v>833374</v>
      </c>
      <c r="C293" s="1" t="s">
        <v>1052</v>
      </c>
      <c r="D293" s="1" t="s">
        <v>1053</v>
      </c>
      <c r="E293" s="2" t="s">
        <v>1054</v>
      </c>
      <c r="F293" s="2" t="s">
        <v>1055</v>
      </c>
      <c r="G293" s="2">
        <v>4</v>
      </c>
      <c r="H293" s="2">
        <v>0</v>
      </c>
      <c r="I293" s="1">
        <v>0</v>
      </c>
      <c r="J293" s="3" t="s">
        <v>18</v>
      </c>
      <c r="K293" s="2" t="str">
        <f>J293*16756.45</f>
        <v>0</v>
      </c>
      <c r="L293" s="5"/>
    </row>
    <row r="294" spans="1:12" customHeight="1" ht="105" outlineLevel="5">
      <c r="A294" s="1"/>
      <c r="B294" s="1">
        <v>833375</v>
      </c>
      <c r="C294" s="1" t="s">
        <v>1056</v>
      </c>
      <c r="D294" s="1" t="s">
        <v>1057</v>
      </c>
      <c r="E294" s="2" t="s">
        <v>1058</v>
      </c>
      <c r="F294" s="2" t="s">
        <v>1059</v>
      </c>
      <c r="G294" s="2">
        <v>1</v>
      </c>
      <c r="H294" s="2">
        <v>0</v>
      </c>
      <c r="I294" s="1">
        <v>0</v>
      </c>
      <c r="J294" s="3" t="s">
        <v>18</v>
      </c>
      <c r="K294" s="2" t="str">
        <f>J294*19195.03</f>
        <v>0</v>
      </c>
      <c r="L294" s="5"/>
    </row>
    <row r="295" spans="1:12" customHeight="1" ht="105" outlineLevel="5">
      <c r="A295" s="1"/>
      <c r="B295" s="1">
        <v>833376</v>
      </c>
      <c r="C295" s="1" t="s">
        <v>1060</v>
      </c>
      <c r="D295" s="1" t="s">
        <v>1061</v>
      </c>
      <c r="E295" s="2" t="s">
        <v>1062</v>
      </c>
      <c r="F295" s="2" t="s">
        <v>1063</v>
      </c>
      <c r="G295" s="2">
        <v>0</v>
      </c>
      <c r="H295" s="2">
        <v>0</v>
      </c>
      <c r="I295" s="1">
        <v>0</v>
      </c>
      <c r="J295" s="3" t="s">
        <v>18</v>
      </c>
      <c r="K295" s="2" t="str">
        <f>J295*21017.66</f>
        <v>0</v>
      </c>
      <c r="L295" s="5"/>
    </row>
    <row r="296" spans="1:12" customHeight="1" ht="105" outlineLevel="5">
      <c r="A296" s="1"/>
      <c r="B296" s="1">
        <v>833377</v>
      </c>
      <c r="C296" s="1" t="s">
        <v>1064</v>
      </c>
      <c r="D296" s="1" t="s">
        <v>1065</v>
      </c>
      <c r="E296" s="2" t="s">
        <v>1066</v>
      </c>
      <c r="F296" s="2" t="s">
        <v>1067</v>
      </c>
      <c r="G296" s="2">
        <v>0</v>
      </c>
      <c r="H296" s="2">
        <v>0</v>
      </c>
      <c r="I296" s="1">
        <v>0</v>
      </c>
      <c r="J296" s="3" t="s">
        <v>18</v>
      </c>
      <c r="K296" s="2" t="str">
        <f>J296*25724.02</f>
        <v>0</v>
      </c>
      <c r="L296" s="5"/>
    </row>
    <row r="297" spans="1:12" customHeight="1" ht="105" outlineLevel="5">
      <c r="A297" s="1"/>
      <c r="B297" s="1">
        <v>839071</v>
      </c>
      <c r="C297" s="1" t="s">
        <v>1068</v>
      </c>
      <c r="D297" s="1" t="s">
        <v>1069</v>
      </c>
      <c r="E297" s="2" t="s">
        <v>1070</v>
      </c>
      <c r="F297" s="2" t="s">
        <v>1071</v>
      </c>
      <c r="G297" s="2">
        <v>1</v>
      </c>
      <c r="H297" s="2">
        <v>0</v>
      </c>
      <c r="I297" s="1">
        <v>0</v>
      </c>
      <c r="J297" s="3" t="s">
        <v>18</v>
      </c>
      <c r="K297" s="2" t="str">
        <f>J297*9740.30</f>
        <v>0</v>
      </c>
      <c r="L297" s="5"/>
    </row>
    <row r="298" spans="1:12" customHeight="1" ht="105" outlineLevel="5">
      <c r="A298" s="1"/>
      <c r="B298" s="1">
        <v>839072</v>
      </c>
      <c r="C298" s="1" t="s">
        <v>1072</v>
      </c>
      <c r="D298" s="1" t="s">
        <v>1073</v>
      </c>
      <c r="E298" s="2" t="s">
        <v>1074</v>
      </c>
      <c r="F298" s="2" t="s">
        <v>1075</v>
      </c>
      <c r="G298" s="2">
        <v>2</v>
      </c>
      <c r="H298" s="2">
        <v>0</v>
      </c>
      <c r="I298" s="1">
        <v>0</v>
      </c>
      <c r="J298" s="3" t="s">
        <v>18</v>
      </c>
      <c r="K298" s="2" t="str">
        <f>J298*15626.47</f>
        <v>0</v>
      </c>
      <c r="L298" s="5"/>
    </row>
    <row r="299" spans="1:12" customHeight="1" ht="105" outlineLevel="5">
      <c r="A299" s="1"/>
      <c r="B299" s="1">
        <v>839073</v>
      </c>
      <c r="C299" s="1" t="s">
        <v>1076</v>
      </c>
      <c r="D299" s="1" t="s">
        <v>1077</v>
      </c>
      <c r="E299" s="2" t="s">
        <v>1078</v>
      </c>
      <c r="F299" s="2" t="s">
        <v>1079</v>
      </c>
      <c r="G299" s="2">
        <v>1</v>
      </c>
      <c r="H299" s="2">
        <v>0</v>
      </c>
      <c r="I299" s="1">
        <v>0</v>
      </c>
      <c r="J299" s="3" t="s">
        <v>18</v>
      </c>
      <c r="K299" s="2" t="str">
        <f>J299*19386.78</f>
        <v>0</v>
      </c>
      <c r="L299" s="5"/>
    </row>
    <row r="300" spans="1:12" customHeight="1" ht="105" outlineLevel="5">
      <c r="A300" s="1"/>
      <c r="B300" s="1">
        <v>839074</v>
      </c>
      <c r="C300" s="1" t="s">
        <v>1080</v>
      </c>
      <c r="D300" s="1" t="s">
        <v>1081</v>
      </c>
      <c r="E300" s="2" t="s">
        <v>1082</v>
      </c>
      <c r="F300" s="2" t="s">
        <v>1083</v>
      </c>
      <c r="G300" s="2">
        <v>1</v>
      </c>
      <c r="H300" s="2">
        <v>0</v>
      </c>
      <c r="I300" s="1">
        <v>0</v>
      </c>
      <c r="J300" s="3" t="s">
        <v>18</v>
      </c>
      <c r="K300" s="2" t="str">
        <f>J300*24719.65</f>
        <v>0</v>
      </c>
      <c r="L300" s="5"/>
    </row>
    <row r="301" spans="1:12" customHeight="1" ht="105" outlineLevel="5">
      <c r="A301" s="1"/>
      <c r="B301" s="1">
        <v>839075</v>
      </c>
      <c r="C301" s="1" t="s">
        <v>1084</v>
      </c>
      <c r="D301" s="1" t="s">
        <v>1085</v>
      </c>
      <c r="E301" s="2" t="s">
        <v>1086</v>
      </c>
      <c r="F301" s="2" t="s">
        <v>1063</v>
      </c>
      <c r="G301" s="2">
        <v>2</v>
      </c>
      <c r="H301" s="2">
        <v>0</v>
      </c>
      <c r="I301" s="1">
        <v>0</v>
      </c>
      <c r="J301" s="3" t="s">
        <v>18</v>
      </c>
      <c r="K301" s="2" t="str">
        <f>J301*21017.66</f>
        <v>0</v>
      </c>
      <c r="L301" s="5"/>
    </row>
    <row r="302" spans="1:12" customHeight="1" ht="105" outlineLevel="5">
      <c r="A302" s="1"/>
      <c r="B302" s="1">
        <v>839830</v>
      </c>
      <c r="C302" s="1" t="s">
        <v>1087</v>
      </c>
      <c r="D302" s="1" t="s">
        <v>1088</v>
      </c>
      <c r="E302" s="2" t="s">
        <v>1089</v>
      </c>
      <c r="F302" s="2" t="s">
        <v>1090</v>
      </c>
      <c r="G302" s="2">
        <v>0</v>
      </c>
      <c r="H302" s="2">
        <v>0</v>
      </c>
      <c r="I302" s="1">
        <v>0</v>
      </c>
      <c r="J302" s="3" t="s">
        <v>18</v>
      </c>
      <c r="K302" s="2" t="str">
        <f>J302*16134.34</f>
        <v>0</v>
      </c>
      <c r="L302" s="5"/>
    </row>
    <row r="303" spans="1:12" customHeight="1" ht="105" outlineLevel="5">
      <c r="A303" s="1"/>
      <c r="B303" s="1">
        <v>839831</v>
      </c>
      <c r="C303" s="1" t="s">
        <v>1091</v>
      </c>
      <c r="D303" s="1" t="s">
        <v>1092</v>
      </c>
      <c r="E303" s="2" t="s">
        <v>1093</v>
      </c>
      <c r="F303" s="2" t="s">
        <v>1094</v>
      </c>
      <c r="G303" s="2">
        <v>0</v>
      </c>
      <c r="H303" s="2">
        <v>0</v>
      </c>
      <c r="I303" s="1">
        <v>0</v>
      </c>
      <c r="J303" s="3" t="s">
        <v>18</v>
      </c>
      <c r="K303" s="2" t="str">
        <f>J303*33666.57</f>
        <v>0</v>
      </c>
      <c r="L303" s="5"/>
    </row>
    <row r="304" spans="1:12" customHeight="1" ht="105" outlineLevel="5">
      <c r="A304" s="1"/>
      <c r="B304" s="1">
        <v>858833</v>
      </c>
      <c r="C304" s="1" t="s">
        <v>1095</v>
      </c>
      <c r="D304" s="1" t="s">
        <v>1096</v>
      </c>
      <c r="E304" s="2" t="s">
        <v>1097</v>
      </c>
      <c r="F304" s="2" t="s">
        <v>931</v>
      </c>
      <c r="G304" s="2">
        <v>2</v>
      </c>
      <c r="H304" s="2">
        <v>0</v>
      </c>
      <c r="I304" s="1">
        <v>0</v>
      </c>
      <c r="J304" s="3" t="s">
        <v>18</v>
      </c>
      <c r="K304" s="2" t="str">
        <f>J304*24077.77</f>
        <v>0</v>
      </c>
      <c r="L304" s="5"/>
    </row>
    <row r="305" spans="1:12" customHeight="1" ht="105" outlineLevel="5">
      <c r="A305" s="1"/>
      <c r="B305" s="1">
        <v>858834</v>
      </c>
      <c r="C305" s="1" t="s">
        <v>1098</v>
      </c>
      <c r="D305" s="1" t="s">
        <v>1099</v>
      </c>
      <c r="E305" s="2" t="s">
        <v>1100</v>
      </c>
      <c r="F305" s="2" t="s">
        <v>1101</v>
      </c>
      <c r="G305" s="2">
        <v>2</v>
      </c>
      <c r="H305" s="2">
        <v>0</v>
      </c>
      <c r="I305" s="1">
        <v>0</v>
      </c>
      <c r="J305" s="3" t="s">
        <v>18</v>
      </c>
      <c r="K305" s="2" t="str">
        <f>J305*16742.45</f>
        <v>0</v>
      </c>
      <c r="L305" s="5"/>
    </row>
    <row r="306" spans="1:12" customHeight="1" ht="105" outlineLevel="5">
      <c r="A306" s="1"/>
      <c r="B306" s="1">
        <v>858835</v>
      </c>
      <c r="C306" s="1" t="s">
        <v>1102</v>
      </c>
      <c r="D306" s="1" t="s">
        <v>1103</v>
      </c>
      <c r="E306" s="2" t="s">
        <v>1104</v>
      </c>
      <c r="F306" s="2" t="s">
        <v>1105</v>
      </c>
      <c r="G306" s="2">
        <v>2</v>
      </c>
      <c r="H306" s="2">
        <v>0</v>
      </c>
      <c r="I306" s="1">
        <v>0</v>
      </c>
      <c r="J306" s="3" t="s">
        <v>18</v>
      </c>
      <c r="K306" s="2" t="str">
        <f>J306*18142.32</f>
        <v>0</v>
      </c>
      <c r="L306" s="5"/>
    </row>
    <row r="307" spans="1:12" customHeight="1" ht="105" outlineLevel="5">
      <c r="A307" s="1"/>
      <c r="B307" s="1">
        <v>858836</v>
      </c>
      <c r="C307" s="1" t="s">
        <v>1106</v>
      </c>
      <c r="D307" s="1" t="s">
        <v>1107</v>
      </c>
      <c r="E307" s="2" t="s">
        <v>1108</v>
      </c>
      <c r="F307" s="2" t="s">
        <v>1109</v>
      </c>
      <c r="G307" s="2">
        <v>2</v>
      </c>
      <c r="H307" s="2">
        <v>0</v>
      </c>
      <c r="I307" s="1">
        <v>0</v>
      </c>
      <c r="J307" s="3" t="s">
        <v>18</v>
      </c>
      <c r="K307" s="2" t="str">
        <f>J307*20942.06</f>
        <v>0</v>
      </c>
      <c r="L307" s="5"/>
    </row>
    <row r="308" spans="1:12" customHeight="1" ht="105" outlineLevel="5">
      <c r="A308" s="1"/>
      <c r="B308" s="1">
        <v>858837</v>
      </c>
      <c r="C308" s="1" t="s">
        <v>1110</v>
      </c>
      <c r="D308" s="1" t="s">
        <v>1111</v>
      </c>
      <c r="E308" s="2" t="s">
        <v>1112</v>
      </c>
      <c r="F308" s="2" t="s">
        <v>1113</v>
      </c>
      <c r="G308" s="2">
        <v>2</v>
      </c>
      <c r="H308" s="2">
        <v>0</v>
      </c>
      <c r="I308" s="1">
        <v>0</v>
      </c>
      <c r="J308" s="3" t="s">
        <v>18</v>
      </c>
      <c r="K308" s="2" t="str">
        <f>J308*27017.50</f>
        <v>0</v>
      </c>
      <c r="L308" s="5"/>
    </row>
    <row r="309" spans="1:12" customHeight="1" ht="105" outlineLevel="5">
      <c r="A309" s="1"/>
      <c r="B309" s="1">
        <v>858838</v>
      </c>
      <c r="C309" s="1" t="s">
        <v>1114</v>
      </c>
      <c r="D309" s="1" t="s">
        <v>1115</v>
      </c>
      <c r="E309" s="2" t="s">
        <v>1116</v>
      </c>
      <c r="F309" s="2" t="s">
        <v>1117</v>
      </c>
      <c r="G309" s="2">
        <v>2</v>
      </c>
      <c r="H309" s="2">
        <v>0</v>
      </c>
      <c r="I309" s="1">
        <v>0</v>
      </c>
      <c r="J309" s="3" t="s">
        <v>18</v>
      </c>
      <c r="K309" s="2" t="str">
        <f>J309*29957.23</f>
        <v>0</v>
      </c>
      <c r="L309" s="5"/>
    </row>
    <row r="310" spans="1:12" outlineLevel="1">
      <c r="A310" s="7" t="s">
        <v>1118</v>
      </c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5"/>
    </row>
    <row r="311" spans="1:12" outlineLevel="2">
      <c r="A311" s="8" t="s">
        <v>1119</v>
      </c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5"/>
    </row>
    <row r="312" spans="1:12" customHeight="1" ht="105" outlineLevel="4">
      <c r="A312" s="1"/>
      <c r="B312" s="1">
        <v>882093</v>
      </c>
      <c r="C312" s="1" t="s">
        <v>1120</v>
      </c>
      <c r="D312" s="1" t="s">
        <v>1121</v>
      </c>
      <c r="E312" s="2" t="s">
        <v>1122</v>
      </c>
      <c r="F312" s="2" t="s">
        <v>1123</v>
      </c>
      <c r="G312" s="2">
        <v>0</v>
      </c>
      <c r="H312" s="2">
        <v>0</v>
      </c>
      <c r="I312" s="1">
        <v>0</v>
      </c>
      <c r="J312" s="3" t="s">
        <v>18</v>
      </c>
      <c r="K312" s="2" t="str">
        <f>J312*6306.30</f>
        <v>0</v>
      </c>
      <c r="L312" s="5"/>
    </row>
    <row r="313" spans="1:12" customHeight="1" ht="105" outlineLevel="4">
      <c r="A313" s="1"/>
      <c r="B313" s="1">
        <v>882098</v>
      </c>
      <c r="C313" s="1" t="s">
        <v>1124</v>
      </c>
      <c r="D313" s="1" t="s">
        <v>1125</v>
      </c>
      <c r="E313" s="2" t="s">
        <v>1126</v>
      </c>
      <c r="F313" s="2" t="s">
        <v>1127</v>
      </c>
      <c r="G313" s="2">
        <v>0</v>
      </c>
      <c r="H313" s="2">
        <v>0</v>
      </c>
      <c r="I313" s="1">
        <v>0</v>
      </c>
      <c r="J313" s="3" t="s">
        <v>18</v>
      </c>
      <c r="K313" s="2" t="str">
        <f>J313*6204.87</f>
        <v>0</v>
      </c>
      <c r="L313" s="5"/>
    </row>
    <row r="314" spans="1:12" customHeight="1" ht="105" outlineLevel="4">
      <c r="A314" s="1"/>
      <c r="B314" s="1">
        <v>833390</v>
      </c>
      <c r="C314" s="1" t="s">
        <v>1128</v>
      </c>
      <c r="D314" s="1" t="s">
        <v>1129</v>
      </c>
      <c r="E314" s="2" t="s">
        <v>1130</v>
      </c>
      <c r="F314" s="2" t="s">
        <v>1131</v>
      </c>
      <c r="G314" s="2">
        <v>1</v>
      </c>
      <c r="H314" s="2">
        <v>0</v>
      </c>
      <c r="I314" s="1">
        <v>0</v>
      </c>
      <c r="J314" s="3" t="s">
        <v>18</v>
      </c>
      <c r="K314" s="2" t="str">
        <f>J314*4651.49</f>
        <v>0</v>
      </c>
      <c r="L314" s="5"/>
    </row>
    <row r="315" spans="1:12" customHeight="1" ht="105" outlineLevel="4">
      <c r="A315" s="1"/>
      <c r="B315" s="1">
        <v>833391</v>
      </c>
      <c r="C315" s="1" t="s">
        <v>1132</v>
      </c>
      <c r="D315" s="1" t="s">
        <v>1133</v>
      </c>
      <c r="E315" s="2" t="s">
        <v>1134</v>
      </c>
      <c r="F315" s="2" t="s">
        <v>1135</v>
      </c>
      <c r="G315" s="2">
        <v>2</v>
      </c>
      <c r="H315" s="2">
        <v>0</v>
      </c>
      <c r="I315" s="1">
        <v>0</v>
      </c>
      <c r="J315" s="3" t="s">
        <v>18</v>
      </c>
      <c r="K315" s="2" t="str">
        <f>J315*8101.67</f>
        <v>0</v>
      </c>
      <c r="L315" s="5"/>
    </row>
    <row r="316" spans="1:12" customHeight="1" ht="105" outlineLevel="4">
      <c r="A316" s="1"/>
      <c r="B316" s="1">
        <v>833392</v>
      </c>
      <c r="C316" s="1" t="s">
        <v>1136</v>
      </c>
      <c r="D316" s="1" t="s">
        <v>1137</v>
      </c>
      <c r="E316" s="2" t="s">
        <v>1138</v>
      </c>
      <c r="F316" s="2" t="s">
        <v>1139</v>
      </c>
      <c r="G316" s="2">
        <v>4</v>
      </c>
      <c r="H316" s="2">
        <v>0</v>
      </c>
      <c r="I316" s="1">
        <v>0</v>
      </c>
      <c r="J316" s="3" t="s">
        <v>18</v>
      </c>
      <c r="K316" s="2" t="str">
        <f>J316*4272.47</f>
        <v>0</v>
      </c>
      <c r="L316" s="5"/>
    </row>
    <row r="317" spans="1:12" customHeight="1" ht="105" outlineLevel="4">
      <c r="A317" s="1"/>
      <c r="B317" s="1">
        <v>833394</v>
      </c>
      <c r="C317" s="1" t="s">
        <v>1140</v>
      </c>
      <c r="D317" s="1" t="s">
        <v>1141</v>
      </c>
      <c r="E317" s="2" t="s">
        <v>1142</v>
      </c>
      <c r="F317" s="2" t="s">
        <v>1143</v>
      </c>
      <c r="G317" s="2">
        <v>0</v>
      </c>
      <c r="H317" s="2">
        <v>0</v>
      </c>
      <c r="I317" s="1">
        <v>0</v>
      </c>
      <c r="J317" s="3" t="s">
        <v>18</v>
      </c>
      <c r="K317" s="2" t="str">
        <f>J317*11908.02</f>
        <v>0</v>
      </c>
      <c r="L317" s="5"/>
    </row>
    <row r="318" spans="1:12" customHeight="1" ht="105" outlineLevel="4">
      <c r="A318" s="1"/>
      <c r="B318" s="1">
        <v>833396</v>
      </c>
      <c r="C318" s="1" t="s">
        <v>1144</v>
      </c>
      <c r="D318" s="1" t="s">
        <v>1145</v>
      </c>
      <c r="E318" s="2" t="s">
        <v>1146</v>
      </c>
      <c r="F318" s="2" t="s">
        <v>1147</v>
      </c>
      <c r="G318" s="2">
        <v>0</v>
      </c>
      <c r="H318" s="2">
        <v>0</v>
      </c>
      <c r="I318" s="1">
        <v>0</v>
      </c>
      <c r="J318" s="3" t="s">
        <v>18</v>
      </c>
      <c r="K318" s="2" t="str">
        <f>J318*9812.46</f>
        <v>0</v>
      </c>
      <c r="L318" s="5"/>
    </row>
    <row r="319" spans="1:12" customHeight="1" ht="105" outlineLevel="4">
      <c r="A319" s="1"/>
      <c r="B319" s="1">
        <v>833397</v>
      </c>
      <c r="C319" s="1" t="s">
        <v>1148</v>
      </c>
      <c r="D319" s="1" t="s">
        <v>1149</v>
      </c>
      <c r="E319" s="2" t="s">
        <v>1150</v>
      </c>
      <c r="F319" s="2" t="s">
        <v>1151</v>
      </c>
      <c r="G319" s="2">
        <v>2</v>
      </c>
      <c r="H319" s="2">
        <v>0</v>
      </c>
      <c r="I319" s="1">
        <v>0</v>
      </c>
      <c r="J319" s="3" t="s">
        <v>18</v>
      </c>
      <c r="K319" s="2" t="str">
        <f>J319*10112.46</f>
        <v>0</v>
      </c>
      <c r="L319" s="5"/>
    </row>
    <row r="320" spans="1:12" customHeight="1" ht="105" outlineLevel="4">
      <c r="A320" s="1"/>
      <c r="B320" s="1">
        <v>833402</v>
      </c>
      <c r="C320" s="1" t="s">
        <v>1152</v>
      </c>
      <c r="D320" s="1" t="s">
        <v>1153</v>
      </c>
      <c r="E320" s="2" t="s">
        <v>1154</v>
      </c>
      <c r="F320" s="2" t="s">
        <v>1155</v>
      </c>
      <c r="G320" s="2">
        <v>2</v>
      </c>
      <c r="H320" s="2">
        <v>0</v>
      </c>
      <c r="I320" s="1">
        <v>0</v>
      </c>
      <c r="J320" s="3" t="s">
        <v>18</v>
      </c>
      <c r="K320" s="2" t="str">
        <f>J320*8455.59</f>
        <v>0</v>
      </c>
      <c r="L320" s="5"/>
    </row>
    <row r="321" spans="1:12" customHeight="1" ht="105" outlineLevel="4">
      <c r="A321" s="1"/>
      <c r="B321" s="1">
        <v>833403</v>
      </c>
      <c r="C321" s="1" t="s">
        <v>1156</v>
      </c>
      <c r="D321" s="1" t="s">
        <v>1157</v>
      </c>
      <c r="E321" s="2" t="s">
        <v>1158</v>
      </c>
      <c r="F321" s="2" t="s">
        <v>1159</v>
      </c>
      <c r="G321" s="2">
        <v>3</v>
      </c>
      <c r="H321" s="2">
        <v>0</v>
      </c>
      <c r="I321" s="1">
        <v>0</v>
      </c>
      <c r="J321" s="3" t="s">
        <v>18</v>
      </c>
      <c r="K321" s="2" t="str">
        <f>J321*8380.64</f>
        <v>0</v>
      </c>
      <c r="L321" s="5"/>
    </row>
    <row r="322" spans="1:12" customHeight="1" ht="105" outlineLevel="4">
      <c r="A322" s="1"/>
      <c r="B322" s="1">
        <v>837271</v>
      </c>
      <c r="C322" s="1" t="s">
        <v>1160</v>
      </c>
      <c r="D322" s="1" t="s">
        <v>1161</v>
      </c>
      <c r="E322" s="2" t="s">
        <v>1162</v>
      </c>
      <c r="F322" s="2" t="s">
        <v>1163</v>
      </c>
      <c r="G322" s="2">
        <v>2</v>
      </c>
      <c r="H322" s="2">
        <v>0</v>
      </c>
      <c r="I322" s="1">
        <v>0</v>
      </c>
      <c r="J322" s="3" t="s">
        <v>18</v>
      </c>
      <c r="K322" s="2" t="str">
        <f>J322*7668.28</f>
        <v>0</v>
      </c>
      <c r="L322" s="5"/>
    </row>
    <row r="323" spans="1:12" customHeight="1" ht="105" outlineLevel="4">
      <c r="A323" s="1"/>
      <c r="B323" s="1">
        <v>837273</v>
      </c>
      <c r="C323" s="1" t="s">
        <v>1164</v>
      </c>
      <c r="D323" s="1" t="s">
        <v>1165</v>
      </c>
      <c r="E323" s="2" t="s">
        <v>1166</v>
      </c>
      <c r="F323" s="2" t="s">
        <v>1167</v>
      </c>
      <c r="G323" s="2">
        <v>2</v>
      </c>
      <c r="H323" s="2">
        <v>0</v>
      </c>
      <c r="I323" s="1">
        <v>0</v>
      </c>
      <c r="J323" s="3" t="s">
        <v>18</v>
      </c>
      <c r="K323" s="2" t="str">
        <f>J323*11082.21</f>
        <v>0</v>
      </c>
      <c r="L323" s="5"/>
    </row>
    <row r="324" spans="1:12" customHeight="1" ht="105" outlineLevel="4">
      <c r="A324" s="1"/>
      <c r="B324" s="1">
        <v>837276</v>
      </c>
      <c r="C324" s="1" t="s">
        <v>1168</v>
      </c>
      <c r="D324" s="1" t="s">
        <v>1169</v>
      </c>
      <c r="E324" s="2" t="s">
        <v>1170</v>
      </c>
      <c r="F324" s="2" t="s">
        <v>1171</v>
      </c>
      <c r="G324" s="2">
        <v>2</v>
      </c>
      <c r="H324" s="2">
        <v>0</v>
      </c>
      <c r="I324" s="1">
        <v>0</v>
      </c>
      <c r="J324" s="3" t="s">
        <v>18</v>
      </c>
      <c r="K324" s="2" t="str">
        <f>J324*10619.96</f>
        <v>0</v>
      </c>
      <c r="L324" s="5"/>
    </row>
    <row r="325" spans="1:12" customHeight="1" ht="105" outlineLevel="4">
      <c r="A325" s="1"/>
      <c r="B325" s="1">
        <v>839077</v>
      </c>
      <c r="C325" s="1" t="s">
        <v>1172</v>
      </c>
      <c r="D325" s="1" t="s">
        <v>1173</v>
      </c>
      <c r="E325" s="2" t="s">
        <v>1174</v>
      </c>
      <c r="F325" s="2" t="s">
        <v>1175</v>
      </c>
      <c r="G325" s="2">
        <v>5</v>
      </c>
      <c r="H325" s="2">
        <v>0</v>
      </c>
      <c r="I325" s="1">
        <v>0</v>
      </c>
      <c r="J325" s="3" t="s">
        <v>18</v>
      </c>
      <c r="K325" s="2" t="str">
        <f>J325*6525.09</f>
        <v>0</v>
      </c>
      <c r="L325" s="5"/>
    </row>
    <row r="326" spans="1:12" customHeight="1" ht="105" outlineLevel="4">
      <c r="A326" s="1"/>
      <c r="B326" s="1">
        <v>839078</v>
      </c>
      <c r="C326" s="1" t="s">
        <v>1176</v>
      </c>
      <c r="D326" s="1" t="s">
        <v>1177</v>
      </c>
      <c r="E326" s="2" t="s">
        <v>1178</v>
      </c>
      <c r="F326" s="2" t="s">
        <v>1179</v>
      </c>
      <c r="G326" s="2">
        <v>1</v>
      </c>
      <c r="H326" s="2">
        <v>0</v>
      </c>
      <c r="I326" s="1">
        <v>0</v>
      </c>
      <c r="J326" s="3" t="s">
        <v>18</v>
      </c>
      <c r="K326" s="2" t="str">
        <f>J326*8061.77</f>
        <v>0</v>
      </c>
      <c r="L326" s="5"/>
    </row>
    <row r="327" spans="1:12" customHeight="1" ht="105" outlineLevel="4">
      <c r="A327" s="1"/>
      <c r="B327" s="1">
        <v>858841</v>
      </c>
      <c r="C327" s="1" t="s">
        <v>1180</v>
      </c>
      <c r="D327" s="1" t="s">
        <v>1181</v>
      </c>
      <c r="E327" s="2" t="s">
        <v>1182</v>
      </c>
      <c r="F327" s="2" t="s">
        <v>1183</v>
      </c>
      <c r="G327" s="2">
        <v>0</v>
      </c>
      <c r="H327" s="2">
        <v>0</v>
      </c>
      <c r="I327" s="1">
        <v>0</v>
      </c>
      <c r="J327" s="3" t="s">
        <v>18</v>
      </c>
      <c r="K327" s="2" t="str">
        <f>J327*13490.33</f>
        <v>0</v>
      </c>
      <c r="L327" s="5"/>
    </row>
    <row r="328" spans="1:12" customHeight="1" ht="105" outlineLevel="4">
      <c r="A328" s="1"/>
      <c r="B328" s="1">
        <v>858842</v>
      </c>
      <c r="C328" s="1" t="s">
        <v>1184</v>
      </c>
      <c r="D328" s="1" t="s">
        <v>1185</v>
      </c>
      <c r="E328" s="2" t="s">
        <v>1186</v>
      </c>
      <c r="F328" s="2" t="s">
        <v>1187</v>
      </c>
      <c r="G328" s="2">
        <v>2</v>
      </c>
      <c r="H328" s="2">
        <v>0</v>
      </c>
      <c r="I328" s="1">
        <v>0</v>
      </c>
      <c r="J328" s="3" t="s">
        <v>18</v>
      </c>
      <c r="K328" s="2" t="str">
        <f>J328*23409.24</f>
        <v>0</v>
      </c>
      <c r="L328" s="5"/>
    </row>
    <row r="329" spans="1:12" customHeight="1" ht="105" outlineLevel="4">
      <c r="A329" s="1"/>
      <c r="B329" s="1">
        <v>879332</v>
      </c>
      <c r="C329" s="1" t="s">
        <v>1188</v>
      </c>
      <c r="D329" s="1" t="s">
        <v>1189</v>
      </c>
      <c r="E329" s="2" t="s">
        <v>1190</v>
      </c>
      <c r="F329" s="2" t="s">
        <v>1191</v>
      </c>
      <c r="G329" s="2">
        <v>0</v>
      </c>
      <c r="H329" s="2">
        <v>0</v>
      </c>
      <c r="I329" s="1">
        <v>0</v>
      </c>
      <c r="J329" s="3" t="s">
        <v>18</v>
      </c>
      <c r="K329" s="2" t="str">
        <f>J329*6923.70</f>
        <v>0</v>
      </c>
      <c r="L329" s="5"/>
    </row>
    <row r="330" spans="1:12" customHeight="1" ht="105" outlineLevel="4">
      <c r="A330" s="1"/>
      <c r="B330" s="1">
        <v>879333</v>
      </c>
      <c r="C330" s="1" t="s">
        <v>1192</v>
      </c>
      <c r="D330" s="1" t="s">
        <v>1193</v>
      </c>
      <c r="E330" s="2" t="s">
        <v>1194</v>
      </c>
      <c r="F330" s="2" t="s">
        <v>1195</v>
      </c>
      <c r="G330" s="2">
        <v>0</v>
      </c>
      <c r="H330" s="2">
        <v>0</v>
      </c>
      <c r="I330" s="1">
        <v>0</v>
      </c>
      <c r="J330" s="3" t="s">
        <v>18</v>
      </c>
      <c r="K330" s="2" t="str">
        <f>J330*8748.21</f>
        <v>0</v>
      </c>
      <c r="L330" s="5"/>
    </row>
    <row r="331" spans="1:12" outlineLevel="1">
      <c r="A331" s="7" t="s">
        <v>1196</v>
      </c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5"/>
    </row>
    <row r="332" spans="1:12" outlineLevel="2">
      <c r="A332" s="8" t="s">
        <v>1197</v>
      </c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5"/>
    </row>
    <row r="333" spans="1:12" customHeight="1" ht="105" outlineLevel="4">
      <c r="A333" s="1"/>
      <c r="B333" s="1">
        <v>825012</v>
      </c>
      <c r="C333" s="1" t="s">
        <v>1198</v>
      </c>
      <c r="D333" s="1" t="s">
        <v>1199</v>
      </c>
      <c r="E333" s="2" t="s">
        <v>1200</v>
      </c>
      <c r="F333" s="2" t="s">
        <v>1201</v>
      </c>
      <c r="G333" s="2">
        <v>3</v>
      </c>
      <c r="H333" s="2">
        <v>0</v>
      </c>
      <c r="I333" s="1">
        <v>0</v>
      </c>
      <c r="J333" s="3" t="s">
        <v>18</v>
      </c>
      <c r="K333" s="2" t="str">
        <f>J333*3773.49</f>
        <v>0</v>
      </c>
      <c r="L333" s="5"/>
    </row>
    <row r="334" spans="1:12" customHeight="1" ht="105" outlineLevel="4">
      <c r="A334" s="1"/>
      <c r="B334" s="1">
        <v>825013</v>
      </c>
      <c r="C334" s="1" t="s">
        <v>1202</v>
      </c>
      <c r="D334" s="1" t="s">
        <v>1203</v>
      </c>
      <c r="E334" s="2" t="s">
        <v>1204</v>
      </c>
      <c r="F334" s="2" t="s">
        <v>1205</v>
      </c>
      <c r="G334" s="2">
        <v>0</v>
      </c>
      <c r="H334" s="2">
        <v>0</v>
      </c>
      <c r="I334" s="1">
        <v>0</v>
      </c>
      <c r="J334" s="3" t="s">
        <v>18</v>
      </c>
      <c r="K334" s="2" t="str">
        <f>J334*4837.77</f>
        <v>0</v>
      </c>
      <c r="L334" s="5"/>
    </row>
    <row r="335" spans="1:12" customHeight="1" ht="105" outlineLevel="4">
      <c r="A335" s="1"/>
      <c r="B335" s="1">
        <v>825014</v>
      </c>
      <c r="C335" s="1" t="s">
        <v>1206</v>
      </c>
      <c r="D335" s="1" t="s">
        <v>1207</v>
      </c>
      <c r="E335" s="2" t="s">
        <v>1208</v>
      </c>
      <c r="F335" s="2" t="s">
        <v>1209</v>
      </c>
      <c r="G335" s="2">
        <v>1</v>
      </c>
      <c r="H335" s="2">
        <v>0</v>
      </c>
      <c r="I335" s="1">
        <v>0</v>
      </c>
      <c r="J335" s="3" t="s">
        <v>18</v>
      </c>
      <c r="K335" s="2" t="str">
        <f>J335*4395.30</f>
        <v>0</v>
      </c>
      <c r="L335" s="5"/>
    </row>
    <row r="336" spans="1:12" customHeight="1" ht="105" outlineLevel="4">
      <c r="A336" s="1"/>
      <c r="B336" s="1">
        <v>825015</v>
      </c>
      <c r="C336" s="1" t="s">
        <v>1210</v>
      </c>
      <c r="D336" s="1" t="s">
        <v>1211</v>
      </c>
      <c r="E336" s="2" t="s">
        <v>1212</v>
      </c>
      <c r="F336" s="2" t="s">
        <v>1213</v>
      </c>
      <c r="G336" s="2">
        <v>1</v>
      </c>
      <c r="H336" s="2">
        <v>0</v>
      </c>
      <c r="I336" s="1">
        <v>0</v>
      </c>
      <c r="J336" s="3" t="s">
        <v>18</v>
      </c>
      <c r="K336" s="2" t="str">
        <f>J336*3901.38</f>
        <v>0</v>
      </c>
      <c r="L336" s="5"/>
    </row>
    <row r="337" spans="1:12" outlineLevel="2">
      <c r="A337" s="8" t="s">
        <v>1214</v>
      </c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5"/>
    </row>
    <row r="338" spans="1:12" customHeight="1" ht="105" outlineLevel="4">
      <c r="A338" s="1"/>
      <c r="B338" s="1">
        <v>835195</v>
      </c>
      <c r="C338" s="1" t="s">
        <v>1215</v>
      </c>
      <c r="D338" s="1" t="s">
        <v>1216</v>
      </c>
      <c r="E338" s="2" t="s">
        <v>1217</v>
      </c>
      <c r="F338" s="2" t="s">
        <v>286</v>
      </c>
      <c r="G338" s="2">
        <v>0</v>
      </c>
      <c r="H338" s="2">
        <v>0</v>
      </c>
      <c r="I338" s="1">
        <v>0</v>
      </c>
      <c r="J338" s="3" t="s">
        <v>18</v>
      </c>
      <c r="K338" s="2" t="str">
        <f>J338*0.00</f>
        <v>0</v>
      </c>
      <c r="L338" s="5"/>
    </row>
    <row r="339" spans="1:12" customHeight="1" ht="105" outlineLevel="4">
      <c r="A339" s="1"/>
      <c r="B339" s="1">
        <v>837275</v>
      </c>
      <c r="C339" s="1" t="s">
        <v>1218</v>
      </c>
      <c r="D339" s="1" t="s">
        <v>1219</v>
      </c>
      <c r="E339" s="2" t="s">
        <v>1220</v>
      </c>
      <c r="F339" s="2" t="s">
        <v>1221</v>
      </c>
      <c r="G339" s="2">
        <v>5</v>
      </c>
      <c r="H339" s="2">
        <v>0</v>
      </c>
      <c r="I339" s="1">
        <v>0</v>
      </c>
      <c r="J339" s="3" t="s">
        <v>18</v>
      </c>
      <c r="K339" s="2" t="str">
        <f>J339*4687.35</f>
        <v>0</v>
      </c>
      <c r="L339" s="5"/>
    </row>
    <row r="340" spans="1:12" customHeight="1" ht="105" outlineLevel="4">
      <c r="A340" s="1"/>
      <c r="B340" s="1">
        <v>837278</v>
      </c>
      <c r="C340" s="1" t="s">
        <v>1222</v>
      </c>
      <c r="D340" s="1" t="s">
        <v>1223</v>
      </c>
      <c r="E340" s="2" t="s">
        <v>1224</v>
      </c>
      <c r="F340" s="2" t="s">
        <v>1225</v>
      </c>
      <c r="G340" s="2">
        <v>0</v>
      </c>
      <c r="H340" s="2">
        <v>0</v>
      </c>
      <c r="I340" s="1">
        <v>0</v>
      </c>
      <c r="J340" s="3" t="s">
        <v>18</v>
      </c>
      <c r="K340" s="2" t="str">
        <f>J340*4847.91</f>
        <v>0</v>
      </c>
      <c r="L340" s="5"/>
    </row>
    <row r="341" spans="1:12" customHeight="1" ht="105" outlineLevel="4">
      <c r="A341" s="1"/>
      <c r="B341" s="1">
        <v>837279</v>
      </c>
      <c r="C341" s="1" t="s">
        <v>1226</v>
      </c>
      <c r="D341" s="1" t="s">
        <v>1227</v>
      </c>
      <c r="E341" s="2" t="s">
        <v>1228</v>
      </c>
      <c r="F341" s="2" t="s">
        <v>1229</v>
      </c>
      <c r="G341" s="2">
        <v>2</v>
      </c>
      <c r="H341" s="2">
        <v>0</v>
      </c>
      <c r="I341" s="1">
        <v>0</v>
      </c>
      <c r="J341" s="3" t="s">
        <v>18</v>
      </c>
      <c r="K341" s="2" t="str">
        <f>J341*6681.77</f>
        <v>0</v>
      </c>
      <c r="L341" s="5"/>
    </row>
    <row r="342" spans="1:12" customHeight="1" ht="105" outlineLevel="4">
      <c r="A342" s="1"/>
      <c r="B342" s="1">
        <v>873440</v>
      </c>
      <c r="C342" s="1" t="s">
        <v>1230</v>
      </c>
      <c r="D342" s="1" t="s">
        <v>1231</v>
      </c>
      <c r="E342" s="2" t="s">
        <v>1232</v>
      </c>
      <c r="F342" s="2" t="s">
        <v>1233</v>
      </c>
      <c r="G342" s="2">
        <v>5</v>
      </c>
      <c r="H342" s="2">
        <v>0</v>
      </c>
      <c r="I342" s="1">
        <v>0</v>
      </c>
      <c r="J342" s="3" t="s">
        <v>18</v>
      </c>
      <c r="K342" s="2" t="str">
        <f>J342*5980.14</f>
        <v>0</v>
      </c>
      <c r="L342" s="5"/>
    </row>
    <row r="343" spans="1:12" outlineLevel="1">
      <c r="A343" s="7" t="s">
        <v>1234</v>
      </c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5"/>
    </row>
    <row r="344" spans="1:12" outlineLevel="2">
      <c r="A344" s="8" t="s">
        <v>1235</v>
      </c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5"/>
    </row>
    <row r="345" spans="1:12" customHeight="1" ht="105" outlineLevel="4">
      <c r="A345" s="1"/>
      <c r="B345" s="1">
        <v>855792</v>
      </c>
      <c r="C345" s="1" t="s">
        <v>1236</v>
      </c>
      <c r="D345" s="1" t="s">
        <v>1237</v>
      </c>
      <c r="E345" s="2" t="s">
        <v>1238</v>
      </c>
      <c r="F345" s="2" t="s">
        <v>1239</v>
      </c>
      <c r="G345" s="2">
        <v>0</v>
      </c>
      <c r="H345" s="2">
        <v>0</v>
      </c>
      <c r="I345" s="1">
        <v>0</v>
      </c>
      <c r="J345" s="3" t="s">
        <v>18</v>
      </c>
      <c r="K345" s="2" t="str">
        <f>J345*11186.70</f>
        <v>0</v>
      </c>
      <c r="L345" s="5"/>
    </row>
    <row r="346" spans="1:12" customHeight="1" ht="105" outlineLevel="4">
      <c r="A346" s="1"/>
      <c r="B346" s="1">
        <v>855795</v>
      </c>
      <c r="C346" s="1" t="s">
        <v>1240</v>
      </c>
      <c r="D346" s="1" t="s">
        <v>1241</v>
      </c>
      <c r="E346" s="2" t="s">
        <v>1242</v>
      </c>
      <c r="F346" s="2" t="s">
        <v>1243</v>
      </c>
      <c r="G346" s="2">
        <v>0</v>
      </c>
      <c r="H346" s="2">
        <v>0</v>
      </c>
      <c r="I346" s="1">
        <v>0</v>
      </c>
      <c r="J346" s="3" t="s">
        <v>18</v>
      </c>
      <c r="K346" s="2" t="str">
        <f>J346*15020.46</f>
        <v>0</v>
      </c>
      <c r="L346" s="5"/>
    </row>
    <row r="347" spans="1:12" customHeight="1" ht="105" outlineLevel="4">
      <c r="A347" s="1"/>
      <c r="B347" s="1">
        <v>878045</v>
      </c>
      <c r="C347" s="1" t="s">
        <v>1244</v>
      </c>
      <c r="D347" s="1" t="s">
        <v>1245</v>
      </c>
      <c r="E347" s="2" t="s">
        <v>1246</v>
      </c>
      <c r="F347" s="2" t="s">
        <v>1247</v>
      </c>
      <c r="G347" s="2">
        <v>3</v>
      </c>
      <c r="H347" s="2">
        <v>0</v>
      </c>
      <c r="I347" s="1">
        <v>0</v>
      </c>
      <c r="J347" s="3" t="s">
        <v>18</v>
      </c>
      <c r="K347" s="2" t="str">
        <f>J347*13984.11</f>
        <v>0</v>
      </c>
      <c r="L347" s="5"/>
    </row>
    <row r="348" spans="1:12" customHeight="1" ht="105" outlineLevel="4">
      <c r="A348" s="1"/>
      <c r="B348" s="1">
        <v>878046</v>
      </c>
      <c r="C348" s="1" t="s">
        <v>1248</v>
      </c>
      <c r="D348" s="1" t="s">
        <v>1249</v>
      </c>
      <c r="E348" s="2" t="s">
        <v>1250</v>
      </c>
      <c r="F348" s="2" t="s">
        <v>1251</v>
      </c>
      <c r="G348" s="2">
        <v>0</v>
      </c>
      <c r="H348" s="2">
        <v>0</v>
      </c>
      <c r="I348" s="1">
        <v>0</v>
      </c>
      <c r="J348" s="3" t="s">
        <v>18</v>
      </c>
      <c r="K348" s="2" t="str">
        <f>J348*16081.80</f>
        <v>0</v>
      </c>
      <c r="L348" s="5"/>
    </row>
    <row r="349" spans="1:12" customHeight="1" ht="105" outlineLevel="4">
      <c r="A349" s="1"/>
      <c r="B349" s="1">
        <v>878142</v>
      </c>
      <c r="C349" s="1" t="s">
        <v>1252</v>
      </c>
      <c r="D349" s="1" t="s">
        <v>1253</v>
      </c>
      <c r="E349" s="2" t="s">
        <v>1246</v>
      </c>
      <c r="F349" s="2" t="s">
        <v>1254</v>
      </c>
      <c r="G349" s="2">
        <v>0</v>
      </c>
      <c r="H349" s="2">
        <v>0</v>
      </c>
      <c r="I349" s="1">
        <v>0</v>
      </c>
      <c r="J349" s="3" t="s">
        <v>18</v>
      </c>
      <c r="K349" s="2" t="str">
        <f>J349*13801.83</f>
        <v>0</v>
      </c>
      <c r="L349" s="5"/>
    </row>
    <row r="350" spans="1:12" customHeight="1" ht="105" outlineLevel="4">
      <c r="A350" s="1"/>
      <c r="B350" s="1">
        <v>884702</v>
      </c>
      <c r="C350" s="1" t="s">
        <v>1255</v>
      </c>
      <c r="D350" s="1" t="s">
        <v>1256</v>
      </c>
      <c r="E350" s="2" t="s">
        <v>1257</v>
      </c>
      <c r="F350" s="2" t="s">
        <v>1258</v>
      </c>
      <c r="G350" s="2">
        <v>1</v>
      </c>
      <c r="H350" s="2">
        <v>0</v>
      </c>
      <c r="I350" s="1">
        <v>0</v>
      </c>
      <c r="J350" s="3" t="s">
        <v>18</v>
      </c>
      <c r="K350" s="2" t="str">
        <f>J350*21043.05</f>
        <v>0</v>
      </c>
      <c r="L350" s="5"/>
    </row>
    <row r="351" spans="1:12" customHeight="1" ht="105" outlineLevel="4">
      <c r="A351" s="1"/>
      <c r="B351" s="1">
        <v>884703</v>
      </c>
      <c r="C351" s="1" t="s">
        <v>1259</v>
      </c>
      <c r="D351" s="1" t="s">
        <v>1260</v>
      </c>
      <c r="E351" s="2" t="s">
        <v>1261</v>
      </c>
      <c r="F351" s="2" t="s">
        <v>1262</v>
      </c>
      <c r="G351" s="2">
        <v>1</v>
      </c>
      <c r="H351" s="2">
        <v>0</v>
      </c>
      <c r="I351" s="1">
        <v>0</v>
      </c>
      <c r="J351" s="3" t="s">
        <v>18</v>
      </c>
      <c r="K351" s="2" t="str">
        <f>J351*14869.05</f>
        <v>0</v>
      </c>
      <c r="L351" s="5"/>
    </row>
    <row r="352" spans="1:12" outlineLevel="2">
      <c r="A352" s="8" t="s">
        <v>1263</v>
      </c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5"/>
    </row>
    <row r="353" spans="1:12" customHeight="1" ht="105" outlineLevel="4">
      <c r="A353" s="1"/>
      <c r="B353" s="1">
        <v>888635</v>
      </c>
      <c r="C353" s="1" t="s">
        <v>1264</v>
      </c>
      <c r="D353" s="1" t="s">
        <v>1265</v>
      </c>
      <c r="E353" s="2" t="s">
        <v>1266</v>
      </c>
      <c r="F353" s="2" t="s">
        <v>1267</v>
      </c>
      <c r="G353" s="2">
        <v>1</v>
      </c>
      <c r="H353" s="2">
        <v>0</v>
      </c>
      <c r="I353" s="1">
        <v>0</v>
      </c>
      <c r="J353" s="3" t="s">
        <v>18</v>
      </c>
      <c r="K353" s="2" t="str">
        <f>J353*9561.41</f>
        <v>0</v>
      </c>
      <c r="L353" s="5"/>
    </row>
    <row r="354" spans="1:12" customHeight="1" ht="105" outlineLevel="4">
      <c r="A354" s="1"/>
      <c r="B354" s="1">
        <v>888636</v>
      </c>
      <c r="C354" s="1" t="s">
        <v>1268</v>
      </c>
      <c r="D354" s="1" t="s">
        <v>1269</v>
      </c>
      <c r="E354" s="2" t="s">
        <v>1270</v>
      </c>
      <c r="F354" s="2" t="s">
        <v>1271</v>
      </c>
      <c r="G354" s="2">
        <v>2</v>
      </c>
      <c r="H354" s="2">
        <v>0</v>
      </c>
      <c r="I354" s="1">
        <v>0</v>
      </c>
      <c r="J354" s="3" t="s">
        <v>18</v>
      </c>
      <c r="K354" s="2" t="str">
        <f>J354*13751.36</f>
        <v>0</v>
      </c>
      <c r="L354" s="5"/>
    </row>
    <row r="355" spans="1:12" customHeight="1" ht="105" outlineLevel="4">
      <c r="A355" s="1"/>
      <c r="B355" s="1">
        <v>888637</v>
      </c>
      <c r="C355" s="1" t="s">
        <v>1272</v>
      </c>
      <c r="D355" s="1" t="s">
        <v>1273</v>
      </c>
      <c r="E355" s="2" t="s">
        <v>1274</v>
      </c>
      <c r="F355" s="2" t="s">
        <v>1275</v>
      </c>
      <c r="G355" s="2">
        <v>2</v>
      </c>
      <c r="H355" s="2">
        <v>0</v>
      </c>
      <c r="I355" s="1">
        <v>0</v>
      </c>
      <c r="J355" s="3" t="s">
        <v>18</v>
      </c>
      <c r="K355" s="2" t="str">
        <f>J355*16007.42</f>
        <v>0</v>
      </c>
      <c r="L355" s="5"/>
    </row>
    <row r="356" spans="1:12" outlineLevel="1">
      <c r="A356" s="7" t="s">
        <v>1276</v>
      </c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5"/>
    </row>
    <row r="357" spans="1:12" customHeight="1" ht="105" outlineLevel="3">
      <c r="A357" s="1"/>
      <c r="B357" s="1">
        <v>882952</v>
      </c>
      <c r="C357" s="1" t="s">
        <v>1277</v>
      </c>
      <c r="D357" s="1"/>
      <c r="E357" s="2" t="s">
        <v>1278</v>
      </c>
      <c r="F357" s="2" t="s">
        <v>1279</v>
      </c>
      <c r="G357" s="2">
        <v>0</v>
      </c>
      <c r="H357" s="2">
        <v>0</v>
      </c>
      <c r="I357" s="1">
        <v>0</v>
      </c>
      <c r="J357" s="3" t="s">
        <v>18</v>
      </c>
      <c r="K357" s="2" t="str">
        <f>J357*12256.88</f>
        <v>0</v>
      </c>
      <c r="L357" s="5"/>
    </row>
    <row r="358" spans="1:12" customHeight="1" ht="105" outlineLevel="3">
      <c r="A358" s="1"/>
      <c r="B358" s="1">
        <v>878781</v>
      </c>
      <c r="C358" s="1" t="s">
        <v>1280</v>
      </c>
      <c r="D358" s="1"/>
      <c r="E358" s="2" t="s">
        <v>1281</v>
      </c>
      <c r="F358" s="2" t="s">
        <v>1282</v>
      </c>
      <c r="G358" s="2">
        <v>1</v>
      </c>
      <c r="H358" s="2">
        <v>0</v>
      </c>
      <c r="I358" s="1">
        <v>0</v>
      </c>
      <c r="J358" s="3" t="s">
        <v>18</v>
      </c>
      <c r="K358" s="2" t="str">
        <f>J358*8900.80</f>
        <v>0</v>
      </c>
      <c r="L358" s="5"/>
    </row>
    <row r="359" spans="1:12" outlineLevel="2">
      <c r="A359" s="8" t="s">
        <v>1283</v>
      </c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5"/>
    </row>
    <row r="360" spans="1:12" customHeight="1" ht="105" outlineLevel="4">
      <c r="A360" s="1"/>
      <c r="B360" s="1">
        <v>822234</v>
      </c>
      <c r="C360" s="1" t="s">
        <v>1284</v>
      </c>
      <c r="D360" s="1" t="s">
        <v>1285</v>
      </c>
      <c r="E360" s="2" t="s">
        <v>1286</v>
      </c>
      <c r="F360" s="2" t="s">
        <v>1287</v>
      </c>
      <c r="G360" s="2">
        <v>3</v>
      </c>
      <c r="H360" s="2" t="s">
        <v>23</v>
      </c>
      <c r="I360" s="1">
        <v>0</v>
      </c>
      <c r="J360" s="3" t="s">
        <v>18</v>
      </c>
      <c r="K360" s="2" t="str">
        <f>J360*5712.00</f>
        <v>0</v>
      </c>
      <c r="L360" s="5"/>
    </row>
    <row r="361" spans="1:12" customHeight="1" ht="105" outlineLevel="4">
      <c r="A361" s="1"/>
      <c r="B361" s="1">
        <v>822235</v>
      </c>
      <c r="C361" s="1" t="s">
        <v>1288</v>
      </c>
      <c r="D361" s="1" t="s">
        <v>1289</v>
      </c>
      <c r="E361" s="2" t="s">
        <v>1290</v>
      </c>
      <c r="F361" s="2" t="s">
        <v>1291</v>
      </c>
      <c r="G361" s="2">
        <v>3</v>
      </c>
      <c r="H361" s="2" t="s">
        <v>22</v>
      </c>
      <c r="I361" s="1">
        <v>0</v>
      </c>
      <c r="J361" s="3" t="s">
        <v>18</v>
      </c>
      <c r="K361" s="2" t="str">
        <f>J361*10374.00</f>
        <v>0</v>
      </c>
      <c r="L361" s="5"/>
    </row>
    <row r="362" spans="1:12" outlineLevel="2">
      <c r="A362" s="8" t="s">
        <v>1292</v>
      </c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5"/>
    </row>
    <row r="363" spans="1:12" customHeight="1" ht="105" outlineLevel="4">
      <c r="A363" s="1"/>
      <c r="B363" s="1">
        <v>829334</v>
      </c>
      <c r="C363" s="1" t="s">
        <v>1293</v>
      </c>
      <c r="D363" s="1" t="s">
        <v>1294</v>
      </c>
      <c r="E363" s="2" t="s">
        <v>1295</v>
      </c>
      <c r="F363" s="2" t="s">
        <v>1296</v>
      </c>
      <c r="G363" s="2">
        <v>2</v>
      </c>
      <c r="H363" s="2">
        <v>0</v>
      </c>
      <c r="I363" s="1">
        <v>0</v>
      </c>
      <c r="J363" s="3" t="s">
        <v>18</v>
      </c>
      <c r="K363" s="2" t="str">
        <f>J363*10143.00</f>
        <v>0</v>
      </c>
      <c r="L363" s="5"/>
    </row>
    <row r="364" spans="1:12" customHeight="1" ht="105" outlineLevel="4">
      <c r="A364" s="1"/>
      <c r="B364" s="1">
        <v>829335</v>
      </c>
      <c r="C364" s="1" t="s">
        <v>1297</v>
      </c>
      <c r="D364" s="1" t="s">
        <v>1298</v>
      </c>
      <c r="E364" s="2" t="s">
        <v>1299</v>
      </c>
      <c r="F364" s="2" t="s">
        <v>1300</v>
      </c>
      <c r="G364" s="2">
        <v>0</v>
      </c>
      <c r="H364" s="2">
        <v>0</v>
      </c>
      <c r="I364" s="1">
        <v>0</v>
      </c>
      <c r="J364" s="3" t="s">
        <v>18</v>
      </c>
      <c r="K364" s="2" t="str">
        <f>J364*3028.20</f>
        <v>0</v>
      </c>
      <c r="L364" s="5"/>
    </row>
    <row r="365" spans="1:12" customHeight="1" ht="105" outlineLevel="4">
      <c r="A365" s="1"/>
      <c r="B365" s="1">
        <v>837114</v>
      </c>
      <c r="C365" s="1" t="s">
        <v>1301</v>
      </c>
      <c r="D365" s="1" t="s">
        <v>1302</v>
      </c>
      <c r="E365" s="2" t="s">
        <v>1303</v>
      </c>
      <c r="F365" s="2" t="s">
        <v>1304</v>
      </c>
      <c r="G365" s="2">
        <v>3</v>
      </c>
      <c r="H365" s="2">
        <v>0</v>
      </c>
      <c r="I365" s="1">
        <v>0</v>
      </c>
      <c r="J365" s="3" t="s">
        <v>18</v>
      </c>
      <c r="K365" s="2" t="str">
        <f>J365*6928.11</f>
        <v>0</v>
      </c>
      <c r="L365" s="5"/>
    </row>
    <row r="366" spans="1:12" customHeight="1" ht="105" outlineLevel="4">
      <c r="A366" s="1"/>
      <c r="B366" s="1">
        <v>885125</v>
      </c>
      <c r="C366" s="1" t="s">
        <v>1305</v>
      </c>
      <c r="D366" s="1" t="s">
        <v>1306</v>
      </c>
      <c r="E366" s="2" t="s">
        <v>1307</v>
      </c>
      <c r="F366" s="2" t="s">
        <v>1308</v>
      </c>
      <c r="G366" s="2">
        <v>3</v>
      </c>
      <c r="H366" s="2">
        <v>0</v>
      </c>
      <c r="I366" s="1">
        <v>0</v>
      </c>
      <c r="J366" s="3" t="s">
        <v>18</v>
      </c>
      <c r="K366" s="2" t="str">
        <f>J366*8027.67</f>
        <v>0</v>
      </c>
      <c r="L366" s="5"/>
    </row>
    <row r="367" spans="1:12" customHeight="1" ht="105" outlineLevel="4">
      <c r="A367" s="1"/>
      <c r="B367" s="1">
        <v>853643</v>
      </c>
      <c r="C367" s="1" t="s">
        <v>1309</v>
      </c>
      <c r="D367" s="1" t="s">
        <v>1310</v>
      </c>
      <c r="E367" s="2" t="s">
        <v>1311</v>
      </c>
      <c r="F367" s="2" t="s">
        <v>1312</v>
      </c>
      <c r="G367" s="2">
        <v>0</v>
      </c>
      <c r="H367" s="2">
        <v>0</v>
      </c>
      <c r="I367" s="1">
        <v>0</v>
      </c>
      <c r="J367" s="3" t="s">
        <v>18</v>
      </c>
      <c r="K367" s="2" t="str">
        <f>J367*4989.18</f>
        <v>0</v>
      </c>
      <c r="L367" s="5"/>
    </row>
    <row r="368" spans="1:12" outlineLevel="1">
      <c r="A368" s="7" t="s">
        <v>1313</v>
      </c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5"/>
    </row>
    <row r="369" spans="1:12" customHeight="1" ht="105" outlineLevel="3">
      <c r="A369" s="1"/>
      <c r="B369" s="1">
        <v>884636</v>
      </c>
      <c r="C369" s="1" t="s">
        <v>1314</v>
      </c>
      <c r="D369" s="1" t="s">
        <v>1315</v>
      </c>
      <c r="E369" s="2" t="s">
        <v>1316</v>
      </c>
      <c r="F369" s="2" t="s">
        <v>1317</v>
      </c>
      <c r="G369" s="2" t="s">
        <v>244</v>
      </c>
      <c r="H369" s="2">
        <v>0</v>
      </c>
      <c r="I369" s="1">
        <v>0</v>
      </c>
      <c r="J369" s="3" t="s">
        <v>18</v>
      </c>
      <c r="K369" s="2" t="str">
        <f>J369*887.88</f>
        <v>0</v>
      </c>
      <c r="L369" s="5"/>
    </row>
    <row r="370" spans="1:12" customHeight="1" ht="105" outlineLevel="3">
      <c r="A370" s="1"/>
      <c r="B370" s="1">
        <v>873443</v>
      </c>
      <c r="C370" s="1" t="s">
        <v>1318</v>
      </c>
      <c r="D370" s="1" t="s">
        <v>1319</v>
      </c>
      <c r="E370" s="2" t="s">
        <v>1320</v>
      </c>
      <c r="F370" s="2" t="s">
        <v>1321</v>
      </c>
      <c r="G370" s="2">
        <v>0</v>
      </c>
      <c r="H370" s="2">
        <v>0</v>
      </c>
      <c r="I370" s="1">
        <v>0</v>
      </c>
      <c r="J370" s="3" t="s">
        <v>18</v>
      </c>
      <c r="K370" s="2" t="str">
        <f>J370*114.25</f>
        <v>0</v>
      </c>
      <c r="L370" s="5"/>
    </row>
    <row r="371" spans="1:12" outlineLevel="1">
      <c r="A371" s="7" t="s">
        <v>1322</v>
      </c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5"/>
    </row>
    <row r="372" spans="1:12" customHeight="1" ht="105" outlineLevel="3">
      <c r="A372" s="1"/>
      <c r="B372" s="1">
        <v>888492</v>
      </c>
      <c r="C372" s="1" t="s">
        <v>1323</v>
      </c>
      <c r="D372" s="1" t="s">
        <v>1324</v>
      </c>
      <c r="E372" s="2" t="s">
        <v>1325</v>
      </c>
      <c r="F372" s="2" t="s">
        <v>1326</v>
      </c>
      <c r="G372" s="2">
        <v>0</v>
      </c>
      <c r="H372" s="2">
        <v>0</v>
      </c>
      <c r="I372" s="1">
        <v>0</v>
      </c>
      <c r="J372" s="3" t="s">
        <v>18</v>
      </c>
      <c r="K372" s="2" t="str">
        <f>J372*17184.30</f>
        <v>0</v>
      </c>
      <c r="L372" s="5"/>
    </row>
    <row r="373" spans="1:12" customHeight="1" ht="105" outlineLevel="3">
      <c r="A373" s="1"/>
      <c r="B373" s="1">
        <v>888493</v>
      </c>
      <c r="C373" s="1" t="s">
        <v>1327</v>
      </c>
      <c r="D373" s="1" t="s">
        <v>1328</v>
      </c>
      <c r="E373" s="2" t="s">
        <v>1329</v>
      </c>
      <c r="F373" s="2" t="s">
        <v>1330</v>
      </c>
      <c r="G373" s="2">
        <v>0</v>
      </c>
      <c r="H373" s="2">
        <v>0</v>
      </c>
      <c r="I373" s="1">
        <v>0</v>
      </c>
      <c r="J373" s="3" t="s">
        <v>18</v>
      </c>
      <c r="K373" s="2" t="str">
        <f>J373*17626.77</f>
        <v>0</v>
      </c>
      <c r="L373" s="5"/>
    </row>
    <row r="374" spans="1:12" customHeight="1" ht="105" outlineLevel="3">
      <c r="A374" s="1"/>
      <c r="B374" s="1">
        <v>888494</v>
      </c>
      <c r="C374" s="1" t="s">
        <v>1331</v>
      </c>
      <c r="D374" s="1" t="s">
        <v>1332</v>
      </c>
      <c r="E374" s="2" t="s">
        <v>1333</v>
      </c>
      <c r="F374" s="2" t="s">
        <v>1334</v>
      </c>
      <c r="G374" s="2">
        <v>0</v>
      </c>
      <c r="H374" s="2">
        <v>0</v>
      </c>
      <c r="I374" s="1">
        <v>0</v>
      </c>
      <c r="J374" s="3" t="s">
        <v>18</v>
      </c>
      <c r="K374" s="2" t="str">
        <f>J374*13573.98</f>
        <v>0</v>
      </c>
      <c r="L37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69:K69"/>
    <mergeCell ref="A136:K136"/>
    <mergeCell ref="A161:K161"/>
    <mergeCell ref="A190:K190"/>
    <mergeCell ref="A227:K227"/>
    <mergeCell ref="A310:K310"/>
    <mergeCell ref="A331:K331"/>
    <mergeCell ref="A343:K343"/>
    <mergeCell ref="A356:K356"/>
    <mergeCell ref="A368:K368"/>
    <mergeCell ref="A371:K371"/>
    <mergeCell ref="A4:K4"/>
    <mergeCell ref="A16:K16"/>
    <mergeCell ref="A24:K24"/>
    <mergeCell ref="A33:K33"/>
    <mergeCell ref="A44:K44"/>
    <mergeCell ref="A53:K53"/>
    <mergeCell ref="A62:K62"/>
    <mergeCell ref="A70:K70"/>
    <mergeCell ref="A77:K77"/>
    <mergeCell ref="A96:K96"/>
    <mergeCell ref="A111:K111"/>
    <mergeCell ref="A137:K137"/>
    <mergeCell ref="A144:K144"/>
    <mergeCell ref="A154:K154"/>
    <mergeCell ref="A162:K162"/>
    <mergeCell ref="A191:K191"/>
    <mergeCell ref="A219:K219"/>
    <mergeCell ref="A228:K228"/>
    <mergeCell ref="A311:K311"/>
    <mergeCell ref="A332:K332"/>
    <mergeCell ref="A337:K337"/>
    <mergeCell ref="A344:K344"/>
    <mergeCell ref="A352:K352"/>
    <mergeCell ref="A359:K359"/>
    <mergeCell ref="A362:K362"/>
    <mergeCell ref="A229:K229"/>
    <mergeCell ref="A240:K240"/>
    <mergeCell ref="A272:K27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2026-04-30T01:00:04+03:00</dcterms:created>
  <dcterms:modified xsi:type="dcterms:W3CDTF">2026-04-30T01:00:04+03:00</dcterms:modified>
  <dc:title>Untitled Spreadsheet</dc:title>
  <dc:description/>
  <dc:subject/>
  <cp:keywords/>
  <cp:category/>
</cp:coreProperties>
</file>