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<sst xmlns="http://schemas.openxmlformats.org/spreadsheetml/2006/main" uniqueCount="4054">
  <si>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</si>
  <si>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</si>
  <si>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</si>
  <si>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</si>
  <si>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</si>
  <si>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</si>
  <si>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</si>
  <si>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</si>
  <si>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</si>
  <si>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</si>
  <si>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</si>
  <si>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Циркуляционные насосы для отопления</t>
  </si>
  <si>
    <t>Резьбовые циркуляционные насосы</t>
  </si>
  <si>
    <t>Циркуляционные насосы для отопления VALTEC</t>
  </si>
  <si>
    <t>VLC-921001</t>
  </si>
  <si>
    <t>VRS.254.13.0</t>
  </si>
  <si>
    <t>Насос цирк. VALTEC RS 25/4-130 с гайками</t>
  </si>
  <si>
    <t>3 989.00 руб.</t>
  </si>
  <si>
    <t>&gt;100</t>
  </si>
  <si>
    <t>шт</t>
  </si>
  <si>
    <t>VLC-921002</t>
  </si>
  <si>
    <t>VRS.254.18.0</t>
  </si>
  <si>
    <t>Насос цирк. VALTEC RS 25/4-180 с гайками</t>
  </si>
  <si>
    <t>&gt;10</t>
  </si>
  <si>
    <t>VLC-921003</t>
  </si>
  <si>
    <t>VRS.256.13.0</t>
  </si>
  <si>
    <t>Насос цирк. VALTEC RS 25/6-130 с гайками</t>
  </si>
  <si>
    <t>4 311.00 руб.</t>
  </si>
  <si>
    <t>VLC-921004</t>
  </si>
  <si>
    <t>VRS.256EA.18.0</t>
  </si>
  <si>
    <t>Энергосберегающий цирк насос VALTEC RS 25/6EA-180 с частотным регулированием с гайками</t>
  </si>
  <si>
    <t>8 117.00 руб.</t>
  </si>
  <si>
    <t>VLC-921005</t>
  </si>
  <si>
    <t>VRS.256EA.13.0</t>
  </si>
  <si>
    <t>Энергосберегающий цирк насос VALTEC RS 25/6EA-130 с частотным регулированием с гайками</t>
  </si>
  <si>
    <t>8 286.00 руб.</t>
  </si>
  <si>
    <t>&gt;50</t>
  </si>
  <si>
    <t>VLC-921006</t>
  </si>
  <si>
    <t>VRS.256.18.0</t>
  </si>
  <si>
    <t>Насос цирк. VALTEC RS 25/6-180 с гайками</t>
  </si>
  <si>
    <t>4 186.00 руб.</t>
  </si>
  <si>
    <t>&gt;500</t>
  </si>
  <si>
    <t>VLC-921007</t>
  </si>
  <si>
    <t>VRS.258.18.0</t>
  </si>
  <si>
    <t>Насос цирк. VALTEC RS 25/8-180 с гайками</t>
  </si>
  <si>
    <t>8 077.00 руб.</t>
  </si>
  <si>
    <t>VLC-921008</t>
  </si>
  <si>
    <t>VRS.324.18.0</t>
  </si>
  <si>
    <t>Насос цирк. VALTEC RS 32/4-180 с гайками</t>
  </si>
  <si>
    <t>4 301.00 руб.</t>
  </si>
  <si>
    <t>VLC-921009</t>
  </si>
  <si>
    <t>VRS.326.18.0</t>
  </si>
  <si>
    <t>Насос цирк. VALTEC RS 32/6-180 с гайками</t>
  </si>
  <si>
    <t>4 498.00 руб.</t>
  </si>
  <si>
    <t>VLC-921010</t>
  </si>
  <si>
    <t>VRS.328.18.0</t>
  </si>
  <si>
    <t>Насос цирк. VALTEC RS 32/8-180 с гайками</t>
  </si>
  <si>
    <t>8 456.00 руб.</t>
  </si>
  <si>
    <t>VLC-921013</t>
  </si>
  <si>
    <t>VRS.129G.15.0</t>
  </si>
  <si>
    <t>Насос повышения давления VALTEC VRS12/9G</t>
  </si>
  <si>
    <t>6 037.00 руб.</t>
  </si>
  <si>
    <t>Циркуляционные насосы для отопления ZEGOR</t>
  </si>
  <si>
    <t>ZGR-001078</t>
  </si>
  <si>
    <t>ZRS25/4GB</t>
  </si>
  <si>
    <t>Насос циркуляционный 25/4 180мм в комплекте с гайками и кабелем (1/8 шт)</t>
  </si>
  <si>
    <t>2 874.32 руб.</t>
  </si>
  <si>
    <t>ZGR-001079</t>
  </si>
  <si>
    <t>ZRS25/6GB</t>
  </si>
  <si>
    <t>Насос циркуляционный 25/6 180мм в комплекте с гайками и кабелем (1/8 шт)</t>
  </si>
  <si>
    <t>3 132.41 руб.</t>
  </si>
  <si>
    <t>ZGR-001081</t>
  </si>
  <si>
    <t>ZRS32/4GB</t>
  </si>
  <si>
    <t>Насос циркуляционный 32/4 180мм в комплекте с гайками и кабелем (1/8 шт)</t>
  </si>
  <si>
    <t>3 113.50 руб.</t>
  </si>
  <si>
    <t>ZGR-001082</t>
  </si>
  <si>
    <t>ZRS32/6GB</t>
  </si>
  <si>
    <t>Насос циркуляционный 32/6 180мм в комплекте с гайками и кабелем (1/8 шт)</t>
  </si>
  <si>
    <t>3 376.41 руб.</t>
  </si>
  <si>
    <t>ZGR-001120</t>
  </si>
  <si>
    <t>ZRS25/4GB-130</t>
  </si>
  <si>
    <t>Насос циркуляционный 25/4 130мм в комплекте с гайками и кабелем (1/8 шт)</t>
  </si>
  <si>
    <t>3 088.04 руб.</t>
  </si>
  <si>
    <t>ZGR-001121</t>
  </si>
  <si>
    <t>ZRS25/6GB-130</t>
  </si>
  <si>
    <t>Насос циркуляционный 25/6 130мм в комплекте с гайками и кабелем (1/8 шт)</t>
  </si>
  <si>
    <t>3 298.93 руб.</t>
  </si>
  <si>
    <t>ZGR-001248</t>
  </si>
  <si>
    <t>ZRS25/4E</t>
  </si>
  <si>
    <t>2 513.45 руб.</t>
  </si>
  <si>
    <t>ZGR-001249</t>
  </si>
  <si>
    <t>ZRS25/6E</t>
  </si>
  <si>
    <t>2 721.38 руб.</t>
  </si>
  <si>
    <t>Профессиональные циркуляционые насосы для отопления ZEGOR PRO</t>
  </si>
  <si>
    <t>ZGR-001111</t>
  </si>
  <si>
    <t>ZRS25/4G-130 Pro</t>
  </si>
  <si>
    <t>Насос циркуляционный бесшумный СЕРИЯ PRO 25/4 130мм с гайками и кабелем. ГАРАНТИЯ 5 ЛЕТ (1/8 шт)</t>
  </si>
  <si>
    <t>4 014.13 руб.</t>
  </si>
  <si>
    <t>ZGR-001112</t>
  </si>
  <si>
    <t>ZRS25/4G Pro</t>
  </si>
  <si>
    <t>Насос циркуляционный бесшумный СЕРИЯ PRO 25/4 180мм с гайками и кабелем. ГАРАНТИЯ 5 ЛЕТ (1/8 шт)</t>
  </si>
  <si>
    <t>4 102.51 руб.</t>
  </si>
  <si>
    <t>ZGR-001113</t>
  </si>
  <si>
    <t>ZRS25/6G-130 Pro</t>
  </si>
  <si>
    <t>Насос циркуляционный бесшумный СЕРИЯ PRO 25/6 130мм с гайками и кабелем. ГАРАНТИЯ 5 ЛЕТ (1/8 шт)</t>
  </si>
  <si>
    <t>4 068.30 руб.</t>
  </si>
  <si>
    <t>ZGR-001114</t>
  </si>
  <si>
    <t>ZRS25/6G Pro</t>
  </si>
  <si>
    <t>Насос циркуляционный бесшумный СЕРИЯ PRO 25/6 180мм с гайками и кабелем. ГАРАНТИЯ 5 ЛЕТ (1/8 шт)</t>
  </si>
  <si>
    <t>4 270.72 руб.</t>
  </si>
  <si>
    <t>ZGR-001194</t>
  </si>
  <si>
    <t>ZRS25/8G-180 Pro</t>
  </si>
  <si>
    <t>Насос циркуляционный бесшумный СЕРИЯ PRO 25/8 180мм с гайками и кабелем. ГАРАНТИЯ 5 ЛЕТ (1/4 шт)</t>
  </si>
  <si>
    <t>7 051.86 руб.</t>
  </si>
  <si>
    <t>ZGR-001195</t>
  </si>
  <si>
    <t>SMAC25/6 Pro</t>
  </si>
  <si>
    <t>(В) Энергосберегающий циркул насос 25/6 180мм ZEGOR СЕРИЯ PRO с частотным регулир,ГАРАНТИЯ 7 ЛЕТ (1/</t>
  </si>
  <si>
    <t>8 586.66 руб.</t>
  </si>
  <si>
    <t>ZGR-001204</t>
  </si>
  <si>
    <t>ZRS20/6G-130 Pro</t>
  </si>
  <si>
    <t>Насос для ГВС СЕРИЯ PRO 20/6 130мм с гайками 3/4 и кабелем. ГАРАНТИЯ 5 ЛЕТ (1/8шт)</t>
  </si>
  <si>
    <t>4 379.06 руб.</t>
  </si>
  <si>
    <t>ZGR-001227</t>
  </si>
  <si>
    <t>ZRS32/8G-180 Pro</t>
  </si>
  <si>
    <t>Насос циркуляционный бесшумный СЕРИЯ PRO 32/8 180мм с гайками и кабелем. ГАРАНТИЯ 5 ЛЕТ (1/4 шт)</t>
  </si>
  <si>
    <t>7 319.29 руб.</t>
  </si>
  <si>
    <t>ZGR-001235</t>
  </si>
  <si>
    <t>ZRS32/4G-180 Pro</t>
  </si>
  <si>
    <t>Насос циркуляционный бесшумный СЕРИЯ PRO 32/4 180мм с гайками и кабелем. ГАРАНТИЯ 5 ЛЕТ (1/8 шт)</t>
  </si>
  <si>
    <t>4 039.41 руб.</t>
  </si>
  <si>
    <t>ZGR-001236</t>
  </si>
  <si>
    <t>ZRS32/6G-180 Pro</t>
  </si>
  <si>
    <t>Насос циркуляционный бесшумный СЕРИЯ PRO 32/6 180мм с гайками и кабелем. ГАРАНТИЯ 5 ЛЕТ (1/8 шт)</t>
  </si>
  <si>
    <t>4 370.50 руб.</t>
  </si>
  <si>
    <t>Циркуляционные насосы для отопления АКВАТЕК</t>
  </si>
  <si>
    <t>WST-100201</t>
  </si>
  <si>
    <t>ACP 25-40</t>
  </si>
  <si>
    <t>Насос циркуляционный Акватек ACP 25-40 (с гайками, без кабеля) (1/8шт)</t>
  </si>
  <si>
    <t>2 399.04 руб.</t>
  </si>
  <si>
    <t>WST-100202</t>
  </si>
  <si>
    <t>ACP 25-60</t>
  </si>
  <si>
    <t>Насос циркуляционный Акватек ACP 25-60 (с гайками, без кабеля) (1/8шт)</t>
  </si>
  <si>
    <t>2 508.71 руб.</t>
  </si>
  <si>
    <t>WST-100203</t>
  </si>
  <si>
    <t>ACP 25-80</t>
  </si>
  <si>
    <t>Насос циркуляционный Акватек ACP 25-80 (с гайками, без кабеля) (1/4шт)</t>
  </si>
  <si>
    <t>4 600.07 руб.</t>
  </si>
  <si>
    <t>WST-100204</t>
  </si>
  <si>
    <t>ACP 32-40</t>
  </si>
  <si>
    <t>Насос циркуляционный Акватек ACP 32-40 (с гайками, без кабеля) (1/8шт)</t>
  </si>
  <si>
    <t>2 594.01 руб.</t>
  </si>
  <si>
    <t>WST-100205</t>
  </si>
  <si>
    <t>ACP 32-60</t>
  </si>
  <si>
    <t>Насос циркуляционный Акватек ACP 32-60 (с гайками, без кабеля) (1/8шт)</t>
  </si>
  <si>
    <t>2 689.96 руб.</t>
  </si>
  <si>
    <t>WST-100206</t>
  </si>
  <si>
    <t>ACP 32-80</t>
  </si>
  <si>
    <t>Насос циркуляционный Акватек ACP 32-80 (с гайками, без кабеля) (1/4шт)</t>
  </si>
  <si>
    <t>4 752.39 руб.</t>
  </si>
  <si>
    <t>Циркуляционные насосы для отопления UNIPUMP CP</t>
  </si>
  <si>
    <t>UNI-101455</t>
  </si>
  <si>
    <t>Насос циркуляц. (отопл.) CP 25-40 130</t>
  </si>
  <si>
    <t>3 330.00 руб.</t>
  </si>
  <si>
    <t>UNI-101456</t>
  </si>
  <si>
    <t>Насос циркуляц. (отопл.) CP 25-60 130</t>
  </si>
  <si>
    <t>3 663.00 руб.</t>
  </si>
  <si>
    <t>UNI-101465</t>
  </si>
  <si>
    <t>Насос циркуляц. (отопл.) CP 25-40 180</t>
  </si>
  <si>
    <t>3 347.00 руб.</t>
  </si>
  <si>
    <t>UNI-101466</t>
  </si>
  <si>
    <t>Насос циркуляц. (отопл.) CP 25-60 180</t>
  </si>
  <si>
    <t>3 746.00 руб.</t>
  </si>
  <si>
    <t>UNI-101467</t>
  </si>
  <si>
    <t>Насос циркуляц. (отопл.) CP 25-80 180</t>
  </si>
  <si>
    <t>7 160.00 руб.</t>
  </si>
  <si>
    <t>UNI-101468</t>
  </si>
  <si>
    <t>Насос циркуляц. (отопл.) CP 32-40 180</t>
  </si>
  <si>
    <t>UNI-101469</t>
  </si>
  <si>
    <t>Насос циркуляц. (отопл.) CP 32-60 180</t>
  </si>
  <si>
    <t>3 996.00 руб.</t>
  </si>
  <si>
    <t>UNI-101470</t>
  </si>
  <si>
    <t>Насос циркуляц. (отопл.) CP 32-80 180</t>
  </si>
  <si>
    <t>7 326.00 руб.</t>
  </si>
  <si>
    <t>Циркуляционные насосы для отопления UNIPUMP UPC</t>
  </si>
  <si>
    <t>UNI-101457</t>
  </si>
  <si>
    <t>Насос циркуляц. (отопл.) UPC 25-40 130</t>
  </si>
  <si>
    <t>5 101.00 руб.</t>
  </si>
  <si>
    <t>UNI-101458</t>
  </si>
  <si>
    <t>Насос циркуляц. (отопл.) UPC 25-60 130</t>
  </si>
  <si>
    <t>5 277.00 руб.</t>
  </si>
  <si>
    <t>UNI-101471</t>
  </si>
  <si>
    <t>Насос циркуляц. (отопл.) UPC 25-40 180</t>
  </si>
  <si>
    <t>5 180.00 руб.</t>
  </si>
  <si>
    <t>UNI-101472</t>
  </si>
  <si>
    <t>Насос циркуляц. (отопл.) UPC 25-60 180</t>
  </si>
  <si>
    <t>5 458.00 руб.</t>
  </si>
  <si>
    <t>UNI-101473</t>
  </si>
  <si>
    <t>Насос циркуляц. (отопл.) UPC 25-80 180</t>
  </si>
  <si>
    <t>9 990.00 руб.</t>
  </si>
  <si>
    <t>UNI-101474</t>
  </si>
  <si>
    <t>Насос циркуляц. (отопл.) UPC 32-120 220 3-х скоростной</t>
  </si>
  <si>
    <t>26 270.00 руб.</t>
  </si>
  <si>
    <t>UNI-101475</t>
  </si>
  <si>
    <t>Насос циркуляц. (отопл.) UPC 32-40 180</t>
  </si>
  <si>
    <t>5 550.00 руб.</t>
  </si>
  <si>
    <t>UNI-101476</t>
  </si>
  <si>
    <t>Насос циркуляц. (отопл.) UPC 32-60 180</t>
  </si>
  <si>
    <t>5 735.00 руб.</t>
  </si>
  <si>
    <t>UNI-101477</t>
  </si>
  <si>
    <t>Насос циркуляц. (отопл.) UPC 32-80 180</t>
  </si>
  <si>
    <t>10 638.00 руб.</t>
  </si>
  <si>
    <t>UNI-101478</t>
  </si>
  <si>
    <t>Насос циркуляционный (отопление) UPC3 25-160 230</t>
  </si>
  <si>
    <t>41 463.00 руб.</t>
  </si>
  <si>
    <t>UNI-101479</t>
  </si>
  <si>
    <t>Насос циркуляционный (отопление) UPC3 25-200 230</t>
  </si>
  <si>
    <t>46 506.00 руб.</t>
  </si>
  <si>
    <t>Фланцевые циркуляционные насосы</t>
  </si>
  <si>
    <t>Фланцевые циркуляционные насосы для отопления ZEGOR</t>
  </si>
  <si>
    <t>ZGR-001237</t>
  </si>
  <si>
    <t>ZRS40/8F-220 Pro</t>
  </si>
  <si>
    <t>Насос фланцевый циркуляционный СЕРИЯ PRO 40/8 220мм с кабелем (248Вт, 8м, 9,6м3) (1/4 шт)</t>
  </si>
  <si>
    <t>6 499.32 руб.</t>
  </si>
  <si>
    <t>ZGR-001238</t>
  </si>
  <si>
    <t>ZRS40/12F-220-0.55kw Pro</t>
  </si>
  <si>
    <t>Насос фланцевый циркуляционный СЕРИЯ PRO 40/12 220мм с кабелем (550Вт, 12м, 10,2м3) (1шт)</t>
  </si>
  <si>
    <t>12 802.30 руб.</t>
  </si>
  <si>
    <t>ZGR-001239</t>
  </si>
  <si>
    <t>ZRS40/16F-250-0.75kw Pro</t>
  </si>
  <si>
    <t>Насос фланцевый циркуляционный СЕРИЯ PRO 40/16 250мм с кабелем (750Вт, 16м, 14,9м3) (1шт)</t>
  </si>
  <si>
    <t>19 062.52 руб.</t>
  </si>
  <si>
    <t>ZGR-001240</t>
  </si>
  <si>
    <t>ZRS50/12F-280-0.75kw Pro</t>
  </si>
  <si>
    <t>Насос фланцевый циркуляционный СЕРИЯ PRO 50/12 280мм с кабелем (750Вт, 12м, 19,8м3) (1шт)</t>
  </si>
  <si>
    <t>22 045.07 руб.</t>
  </si>
  <si>
    <t>ZGR-001241</t>
  </si>
  <si>
    <t>ZRS50/16F-280-1.1kw Pro</t>
  </si>
  <si>
    <t>Насос фланцевый циркуляционный СЕРИЯ PRO 50/16 280мм с кабелем (1100Вт, 16м, 22,8м3) (1шт)</t>
  </si>
  <si>
    <t>25 335.42 руб.</t>
  </si>
  <si>
    <t>ZGR-001242</t>
  </si>
  <si>
    <t>ZRS65/12F-300-1.5kw Pro</t>
  </si>
  <si>
    <t>Насос фланцевый циркуляционный СЕРИЯ PRO 65/12 300мм с кабелем (1500Вт, 12м, 31,8м3) (1шт)</t>
  </si>
  <si>
    <t>28 113.81 руб.</t>
  </si>
  <si>
    <t>ZGR-001268</t>
  </si>
  <si>
    <t>ZRS50/16D Pro</t>
  </si>
  <si>
    <t>Насос фланцевый циркуляционный СЕРИЯ PRO с кабелем ЕВРОСТАНДАРТ (1100Вт, 16м, 22м3, 280мм) (1шт)</t>
  </si>
  <si>
    <t>30 044.07 руб.</t>
  </si>
  <si>
    <t>ZGR-001269</t>
  </si>
  <si>
    <t>ZRS65/12D Pro</t>
  </si>
  <si>
    <t>Насос фланцевый циркуляционный СЕРИЯ PRO с кабелем ЕВРОСТАНДАРТ (1500Вт, 12м, 38м3, 300мм) (1шт)</t>
  </si>
  <si>
    <t>33 383.95 руб.</t>
  </si>
  <si>
    <t>Фланцевые циркуляционные насосы для отопления UNIPUMP</t>
  </si>
  <si>
    <t>UNI-101494</t>
  </si>
  <si>
    <t>Насос циркуляц. (отопл.) PF 40-130 250  3-х скоростной</t>
  </si>
  <si>
    <t>37 893.00 руб.</t>
  </si>
  <si>
    <t>UNI-101495</t>
  </si>
  <si>
    <t>Насос циркуляц. (отопл.) PF 40-180 250  3-х скоростной</t>
  </si>
  <si>
    <t>37 437.00 руб.</t>
  </si>
  <si>
    <t>UNI-101496</t>
  </si>
  <si>
    <t>Насос циркуляц. (отопл.) PF 40-90 250  3-х скоростной</t>
  </si>
  <si>
    <t>35 403.00 руб.</t>
  </si>
  <si>
    <t>UNI-101497</t>
  </si>
  <si>
    <t>Насос циркуляц. (отопл.) PF 50-130 280  3-х скоростной</t>
  </si>
  <si>
    <t>40 695.00 руб.</t>
  </si>
  <si>
    <t>UNI-101498</t>
  </si>
  <si>
    <t>Насос циркуляц. (отопл.) PF 50-180 280  3-х скоростной</t>
  </si>
  <si>
    <t>42 313.00 руб.</t>
  </si>
  <si>
    <t>UNI-101499</t>
  </si>
  <si>
    <t>Насос циркуляц. (отопл.) PF 50-90 280  3-х скоростной</t>
  </si>
  <si>
    <t>34 428.00 руб.</t>
  </si>
  <si>
    <t>UNI-101500</t>
  </si>
  <si>
    <t>Насос циркуляц. (отопл.) PF3 40-130 250  3-х скоростной</t>
  </si>
  <si>
    <t>36 255.00 руб.</t>
  </si>
  <si>
    <t>UNI-101501</t>
  </si>
  <si>
    <t>Насос циркуляц. (отопл.) PF3 40-180 250  3-х скоростной</t>
  </si>
  <si>
    <t>37 247.00 руб.</t>
  </si>
  <si>
    <t>UNI-101502</t>
  </si>
  <si>
    <t>Насос циркуляц. (отопл.) PF3 40-90 250  3-х скоростной</t>
  </si>
  <si>
    <t>35 272.00 руб.</t>
  </si>
  <si>
    <t>UNI-101503</t>
  </si>
  <si>
    <t>Насос циркуляц. (отопл.) PF3 50-130 280  3-х скоростной</t>
  </si>
  <si>
    <t>40 579.00 руб.</t>
  </si>
  <si>
    <t>UNI-101504</t>
  </si>
  <si>
    <t>Насос циркуляц. (отопл.) PF3 50-180 280  3-х скоростной</t>
  </si>
  <si>
    <t>40 843.00 руб.</t>
  </si>
  <si>
    <t>UNI-101505</t>
  </si>
  <si>
    <t>Насос циркуляц. (отопл.) PF3 50-90 280  3-х скоростной</t>
  </si>
  <si>
    <t>34 264.00 руб.</t>
  </si>
  <si>
    <t>UNI-101506</t>
  </si>
  <si>
    <t>Насос циркуляц. (отопл.) PF3 65-130 340  3-х скоростной</t>
  </si>
  <si>
    <t>43 428.00 руб.</t>
  </si>
  <si>
    <t>UNI-101507</t>
  </si>
  <si>
    <t>Насос циркуляц. (отопл.) PFE 50-120 280</t>
  </si>
  <si>
    <t>56 808.00 руб.</t>
  </si>
  <si>
    <t>UNI-101508</t>
  </si>
  <si>
    <t>Насос циркуляц. (отопл.) PFE 50-150 280</t>
  </si>
  <si>
    <t>UNI-101509</t>
  </si>
  <si>
    <t>Насос циркуляц. (отопл.) PFE 50-80 240</t>
  </si>
  <si>
    <t>59 011.00 руб.</t>
  </si>
  <si>
    <t>UNI-101510</t>
  </si>
  <si>
    <t>Насос циркуляц. (отопл.) PFE 65-100 340</t>
  </si>
  <si>
    <t>57 143.00 руб.</t>
  </si>
  <si>
    <t>UNI-101511</t>
  </si>
  <si>
    <t>Насос циркуляц. (отопл.) PFE 65-120 340</t>
  </si>
  <si>
    <t>62 595.00 руб.</t>
  </si>
  <si>
    <t>UNI-101512</t>
  </si>
  <si>
    <t>Насос циркуляц. (отопл.) PFE 65-80 340</t>
  </si>
  <si>
    <t>UNI-101513</t>
  </si>
  <si>
    <t>Насос циркуляц. (отопл.) UPF 32-120 220 3-х скоростной</t>
  </si>
  <si>
    <t>23 125.00 руб.</t>
  </si>
  <si>
    <t>UNI-101514</t>
  </si>
  <si>
    <t>Насос циркуляц. (отопл.) UPF 50-200 280</t>
  </si>
  <si>
    <t>49 719.00 руб.</t>
  </si>
  <si>
    <t>UNI-101515</t>
  </si>
  <si>
    <t>Насос циркуляц. (отопл.) UPF 65-100 300</t>
  </si>
  <si>
    <t>35 243.00 руб.</t>
  </si>
  <si>
    <t>UNI-101516</t>
  </si>
  <si>
    <t>Насос циркуляц. (отопл.) UPF 65-120 300</t>
  </si>
  <si>
    <t>48 563.00 руб.</t>
  </si>
  <si>
    <t>UNI-101517</t>
  </si>
  <si>
    <t>Насос циркуляц. (отопл.) UPF 65-80 280</t>
  </si>
  <si>
    <t>27 530.00 руб.</t>
  </si>
  <si>
    <t>UNI-101518</t>
  </si>
  <si>
    <t>Насос циркуляц. (отопл.) UPF3 65-100 300</t>
  </si>
  <si>
    <t>40 550.00 руб.</t>
  </si>
  <si>
    <t>UNI-101519</t>
  </si>
  <si>
    <t>Насос циркуляц. (отопл.) UPF3 65-80 280</t>
  </si>
  <si>
    <t>39 516.00 руб.</t>
  </si>
  <si>
    <t>UNI-101520</t>
  </si>
  <si>
    <t>Насос циркуляц. (отопл.) UPFE 40-100</t>
  </si>
  <si>
    <t>36 075.00 руб.</t>
  </si>
  <si>
    <t>UNI-101521</t>
  </si>
  <si>
    <t>Насос циркуляц. (отопл.) UPFE 40-60</t>
  </si>
  <si>
    <t>32 375.00 руб.</t>
  </si>
  <si>
    <t>UNI-101522</t>
  </si>
  <si>
    <t>Насос циркуляц. (отопл.) UPFE 40-80</t>
  </si>
  <si>
    <t>34 780.00 руб.</t>
  </si>
  <si>
    <t>UNI-101523</t>
  </si>
  <si>
    <t>Насос циркуляционный (отопление) UPF 32-90 220</t>
  </si>
  <si>
    <t>18 500.00 руб.</t>
  </si>
  <si>
    <t>UNI-101524</t>
  </si>
  <si>
    <t>Насос циркуляционный (отопление) UPF 40-45  230</t>
  </si>
  <si>
    <t>21 275.00 руб.</t>
  </si>
  <si>
    <t>UNI-101525</t>
  </si>
  <si>
    <t>Насос циркуляционный (отопление) UPF3 65-50 280</t>
  </si>
  <si>
    <t>38 295.00 руб.</t>
  </si>
  <si>
    <t>Фланцевые циркуляционные насосы для отопления UNIPUMP с сухим ротором</t>
  </si>
  <si>
    <t>UNI-101527</t>
  </si>
  <si>
    <t>Циркуляционный насос SVH 32-18-1,1/2</t>
  </si>
  <si>
    <t>30 665.00 руб.</t>
  </si>
  <si>
    <t>UNI-101528</t>
  </si>
  <si>
    <t>Циркуляционный насос SVH 32-21-1,5/2</t>
  </si>
  <si>
    <t>36 323.00 руб.</t>
  </si>
  <si>
    <t>UNI-101529</t>
  </si>
  <si>
    <t>Циркуляционный насос SVH 32-26-2,2/2</t>
  </si>
  <si>
    <t>33 370.00 руб.</t>
  </si>
  <si>
    <t>UNI-101530</t>
  </si>
  <si>
    <t>Циркуляционный насос SVH 40-16-1,1/2</t>
  </si>
  <si>
    <t>27 952.00 руб.</t>
  </si>
  <si>
    <t>UNI-101531</t>
  </si>
  <si>
    <t>Циркуляционный насос SVH 40-20-2,2/2</t>
  </si>
  <si>
    <t>35 212.00 руб.</t>
  </si>
  <si>
    <t>UNI-101532</t>
  </si>
  <si>
    <t>Циркуляционный насос SVH 40-21-1,5/2</t>
  </si>
  <si>
    <t>31 562.00 руб.</t>
  </si>
  <si>
    <t>UNI-101533</t>
  </si>
  <si>
    <t>Циркуляционный насос SVH 50-12-1,1/2</t>
  </si>
  <si>
    <t>32 613.00 руб.</t>
  </si>
  <si>
    <t>UNI-101534</t>
  </si>
  <si>
    <t>Циркуляционный насос SVH 50-15-1,5/2</t>
  </si>
  <si>
    <t>36 219.00 руб.</t>
  </si>
  <si>
    <t>UNI-101535</t>
  </si>
  <si>
    <t>Циркуляционный насос SVH 50-18-2,2/2</t>
  </si>
  <si>
    <t>38 361.00 руб.</t>
  </si>
  <si>
    <t>UNI-101536</t>
  </si>
  <si>
    <t>Циркуляционный насос SVH 65-15-2,2/2</t>
  </si>
  <si>
    <t>39 301.00 руб.</t>
  </si>
  <si>
    <t>UNI-101537</t>
  </si>
  <si>
    <t>Циркуляционный насос SVH 65-20-3/2</t>
  </si>
  <si>
    <t>46 171.00 руб.</t>
  </si>
  <si>
    <t>UNI-101538</t>
  </si>
  <si>
    <t>Циркуляционный насос SVH 65-22-4/2</t>
  </si>
  <si>
    <t>52 686.00 руб.</t>
  </si>
  <si>
    <t>UNI-101539</t>
  </si>
  <si>
    <t>Циркуляционный насос SVH 80-13-3/2</t>
  </si>
  <si>
    <t>49 149.00 руб.</t>
  </si>
  <si>
    <t>UNI-101540</t>
  </si>
  <si>
    <t>Циркуляционный насос SVH 80-18-4/2</t>
  </si>
  <si>
    <t>55 603.00 руб.</t>
  </si>
  <si>
    <t>UNI-101541</t>
  </si>
  <si>
    <t>Циркуляционный насос SVH 80-23-5,5/2</t>
  </si>
  <si>
    <t>70 307.00 руб.</t>
  </si>
  <si>
    <t>Энергосберегающие циркуляционные насосы</t>
  </si>
  <si>
    <t>Энергосберегающие циркуляционные насосы для отопления VIEIR</t>
  </si>
  <si>
    <t>NAS-210012</t>
  </si>
  <si>
    <t>VR25/4-180E</t>
  </si>
  <si>
    <t>Энергосберегающий циркуляционный насос с частотным регулированием "VIEIR" (8шт)</t>
  </si>
  <si>
    <t>7 257.39 руб.</t>
  </si>
  <si>
    <t>NAS-210013</t>
  </si>
  <si>
    <t>VR25/6-180E</t>
  </si>
  <si>
    <t>7 254.45 руб.</t>
  </si>
  <si>
    <t>NAS-210014</t>
  </si>
  <si>
    <t>VR32/6-180E</t>
  </si>
  <si>
    <t>8 356.95 руб.</t>
  </si>
  <si>
    <t>VER-001580</t>
  </si>
  <si>
    <t>VE20-6-130</t>
  </si>
  <si>
    <t>Насос циркуляционный с частотным регулированием для систем отопления 1" (8/1шт)</t>
  </si>
  <si>
    <t>8 927.31 руб.</t>
  </si>
  <si>
    <t>VER-001581</t>
  </si>
  <si>
    <t>VE25-6-130</t>
  </si>
  <si>
    <t>Насос циркуляционный с частотным регулированием для систем отопления 1 1/2" (8/1шт)</t>
  </si>
  <si>
    <t>9 255.12 руб.</t>
  </si>
  <si>
    <t>VER-001582</t>
  </si>
  <si>
    <t>VE25-4-180</t>
  </si>
  <si>
    <t>9 427.11 руб.</t>
  </si>
  <si>
    <t>VER-001583</t>
  </si>
  <si>
    <t>VE25-6-180</t>
  </si>
  <si>
    <t>Энергосберегающие циркуляционные насосы для отопления TEBO</t>
  </si>
  <si>
    <t>ALT-110765</t>
  </si>
  <si>
    <t>Энергосберегающий циркуляционный насос модель TEBO-E 25/4-130 (без гаек) (1/8)</t>
  </si>
  <si>
    <t>7 825.94 руб.</t>
  </si>
  <si>
    <t>ALT-110766</t>
  </si>
  <si>
    <t>Энергосберегающий циркуляционный насос модель TEBO-E 25/6-130 (без гаек) (1/8)</t>
  </si>
  <si>
    <t>8 070.59 руб.</t>
  </si>
  <si>
    <t>ALT-110767</t>
  </si>
  <si>
    <t>Энергосберегающий циркуляционный насос модель TEBO-E 25/4-180 (1/8)</t>
  </si>
  <si>
    <t>7 989.20 руб.</t>
  </si>
  <si>
    <t>ALT-110768</t>
  </si>
  <si>
    <t>Энергосберегающий циркуляционный насос модель TEBO-E 25/6-180 (1/8)</t>
  </si>
  <si>
    <t>8 315.02 руб.</t>
  </si>
  <si>
    <t>ALT-110769</t>
  </si>
  <si>
    <t>Энергосберегающий циркуляционный насос модель TEBO-E 25/8-180 (1/8)</t>
  </si>
  <si>
    <t>12 391.36 руб.</t>
  </si>
  <si>
    <t>ALT-110770</t>
  </si>
  <si>
    <t>Энергосберегающий циркуляционный насос модель TEBO-E 32/4-180 (1/8)</t>
  </si>
  <si>
    <t>ALT-110771</t>
  </si>
  <si>
    <t>Энергосберегающий циркуляционный насос модель TEBO-E 32/6-180 (1/8)</t>
  </si>
  <si>
    <t>8 641.30 руб.</t>
  </si>
  <si>
    <t>ALT-110772</t>
  </si>
  <si>
    <t>Энергосберегающий циркуляционный насос модель TEBO-E 32/8-180 (1/8)</t>
  </si>
  <si>
    <t>13 288.12 руб.</t>
  </si>
  <si>
    <t>Энергосберегающие циркуляционные насосы для отопления ZEGOR</t>
  </si>
  <si>
    <t>ZGR-001344</t>
  </si>
  <si>
    <t>SMAC25/6S Pro</t>
  </si>
  <si>
    <t>Насос циркуляционный с частотным регулированием ZEGOR (1/4шт)</t>
  </si>
  <si>
    <t>12 322.54 руб.</t>
  </si>
  <si>
    <t>ZGR-001345</t>
  </si>
  <si>
    <t>SMAC25/8S Pro</t>
  </si>
  <si>
    <t>13 150.90 руб.</t>
  </si>
  <si>
    <t>ZGR-001346</t>
  </si>
  <si>
    <t>SMAC32/6S Pro</t>
  </si>
  <si>
    <t>12 945.37 руб.</t>
  </si>
  <si>
    <t>Энергосберегающие циркуляционные насосы для отопления UNIPUMP</t>
  </si>
  <si>
    <t>UNI-101485</t>
  </si>
  <si>
    <t>Насос циркуляц. (отопл.) LPA 20-40</t>
  </si>
  <si>
    <t>8 914.00 руб.</t>
  </si>
  <si>
    <t>UNI-101486</t>
  </si>
  <si>
    <t>Насос циркуляц. (отопл.) LPA 20-60</t>
  </si>
  <si>
    <t>UNI-101487</t>
  </si>
  <si>
    <t>Насос циркуляц. (отопл.) LPA 25-40</t>
  </si>
  <si>
    <t>8 939.00 руб.</t>
  </si>
  <si>
    <t>UNI-101488</t>
  </si>
  <si>
    <t>Насос циркуляц. (отопл.) LPA 25-60</t>
  </si>
  <si>
    <t>9 805.00 руб.</t>
  </si>
  <si>
    <t>UNI-101489</t>
  </si>
  <si>
    <t>Насос циркуляц. (отопл.) LPA 25-80</t>
  </si>
  <si>
    <t>20 350.00 руб.</t>
  </si>
  <si>
    <t>UNI-101490</t>
  </si>
  <si>
    <t>Насос циркуляц. (отопл.) LPA 32-40</t>
  </si>
  <si>
    <t>8 676.00 руб.</t>
  </si>
  <si>
    <t>UNI-101491</t>
  </si>
  <si>
    <t>Насос циркуляц. (отопл.) LPA 32-60</t>
  </si>
  <si>
    <t>9 207.00 руб.</t>
  </si>
  <si>
    <t>UNI-101492</t>
  </si>
  <si>
    <t>Насос циркуляц. (отопл.) LPA 32-80</t>
  </si>
  <si>
    <t>Автоматика</t>
  </si>
  <si>
    <t>Насосная автоматика VALTEC</t>
  </si>
  <si>
    <t>VLC-901065</t>
  </si>
  <si>
    <t>VT.CRS7.02.1</t>
  </si>
  <si>
    <t>Автоматическое устройство управления насосом 1/4"</t>
  </si>
  <si>
    <t>3 020.00 руб.</t>
  </si>
  <si>
    <t>VLC-901066</t>
  </si>
  <si>
    <t>VT.CRS7.04.1</t>
  </si>
  <si>
    <t>Автоматическое устройство управления насосом 1/2"</t>
  </si>
  <si>
    <t>3 098.00 руб.</t>
  </si>
  <si>
    <t>&gt;25</t>
  </si>
  <si>
    <t>VLC-922001</t>
  </si>
  <si>
    <t>VT.EPC2.06.0</t>
  </si>
  <si>
    <t>Блок насосной автоматики EPC-2</t>
  </si>
  <si>
    <t>2 828.00 руб.</t>
  </si>
  <si>
    <t>VLC-922002</t>
  </si>
  <si>
    <t>VT.CRS5.02.1</t>
  </si>
  <si>
    <t>Реле давления CRS-5, 1/4" нак.гайка, преднастройка 2,1-3,5 бар</t>
  </si>
  <si>
    <t>654.00 руб.</t>
  </si>
  <si>
    <t>VLC-922003</t>
  </si>
  <si>
    <t>VT.CRS6.02.1</t>
  </si>
  <si>
    <t>Реле защиты насоса от «сухого хода» CRS-6, 1/4" нак.гайка</t>
  </si>
  <si>
    <t>697.00 руб.</t>
  </si>
  <si>
    <t>VLC-922004</t>
  </si>
  <si>
    <t>VT.EPC.11.06</t>
  </si>
  <si>
    <t>Блок насосной автоматики EPC-11 (пресс контроль)</t>
  </si>
  <si>
    <t>2 555.00 руб.</t>
  </si>
  <si>
    <t>Насосная автоматика Italtecnica</t>
  </si>
  <si>
    <t>NAS-410009</t>
  </si>
  <si>
    <t>Реле давления PM5G14 1-5 бар, 1/4" нак. гайка, 250В  Italtecnica</t>
  </si>
  <si>
    <t>845.41 руб.</t>
  </si>
  <si>
    <t>NAS-410010</t>
  </si>
  <si>
    <t>Реле давления PM53W со встр. маном 1-5 бар, 1" нар-вн-вн, 250В  Italtecnica</t>
  </si>
  <si>
    <t>1 529.83 руб.</t>
  </si>
  <si>
    <t>NAS-430001</t>
  </si>
  <si>
    <t>LP3F14 датчик сухого хода 0,05-0,4 бар, 1/4" гайка, 230В ITALTECNICA</t>
  </si>
  <si>
    <t>1 264.29 руб.</t>
  </si>
  <si>
    <t>NAS-430002</t>
  </si>
  <si>
    <t>LP3G14 датчик сухого хода 0,05-0,4 бар, 1/4" накид. гайка, 230В ITALTECNICA</t>
  </si>
  <si>
    <t>1 276.36 руб.</t>
  </si>
  <si>
    <t>NAS-430003</t>
  </si>
  <si>
    <t>LP3G14H5PR датчик сухого хода 0,05-0,4 бар, 1/4" гайка, кабель 230В ITALTECNICA</t>
  </si>
  <si>
    <t>1 780.24 руб.</t>
  </si>
  <si>
    <t>NAS-430004</t>
  </si>
  <si>
    <t>PM12G14 реле давления 3-12 бар, 1/4" гайка, 250В ITALTECNICA</t>
  </si>
  <si>
    <t>1 118.94 руб.</t>
  </si>
  <si>
    <t>NAS-430005</t>
  </si>
  <si>
    <t>PM5F14 реле давления 1-5 бар, 1/4" гайка, 250В ITALTECNICA</t>
  </si>
  <si>
    <t>0.00 руб.</t>
  </si>
  <si>
    <t>NAS-430006</t>
  </si>
  <si>
    <t>PM5G14R25 реле давления 1-5 бар, 1/4" накид. гайка, 250В, усил. контакты до 20А ITALTECNICA</t>
  </si>
  <si>
    <t>1 234.54 руб.</t>
  </si>
  <si>
    <t>NAS-430007</t>
  </si>
  <si>
    <t>PM5G14SG реле давления 1-5 бар, 1/4" накид. гайка, 250В, прозр. корпус со шкалой ITALTECNICA</t>
  </si>
  <si>
    <t>1 109.42 руб.</t>
  </si>
  <si>
    <t>NAS-430008</t>
  </si>
  <si>
    <t>PM5ML14 реле давления 1-5 бар, 1/4" штуцер, 250В ITALTECNICA</t>
  </si>
  <si>
    <t>918.51 руб.</t>
  </si>
  <si>
    <t>NAS-430009</t>
  </si>
  <si>
    <t>PT12G14 реле давления 3-12 бар, 1/4" гайка, 380В ITALTECNICA</t>
  </si>
  <si>
    <t>1 017.28 руб.</t>
  </si>
  <si>
    <t>NAS-430010</t>
  </si>
  <si>
    <t>PT5G14 реле давления 1-5 бар, 1/4" накид. гайка, 380В ITALTECNICA</t>
  </si>
  <si>
    <t>1 417.46 руб.</t>
  </si>
  <si>
    <t>NAS-430011</t>
  </si>
  <si>
    <t>BRIO TANK реле давления 1" нар, 12А, 230В с резервуаром для воды ITALTECNICA</t>
  </si>
  <si>
    <t>6 650.74 руб.</t>
  </si>
  <si>
    <t>NAS-430012</t>
  </si>
  <si>
    <t>BRIO-M реле давления 1" нар, 12А, 230В ITALTECNICA</t>
  </si>
  <si>
    <t>4 651.18 руб.</t>
  </si>
  <si>
    <t>NAS-430013</t>
  </si>
  <si>
    <t>SPIN реле расхода 1" нар, 230В ITALTECNICA</t>
  </si>
  <si>
    <t>4 137.12 руб.</t>
  </si>
  <si>
    <t>NAS-430014</t>
  </si>
  <si>
    <t>TECNOIT05S поплавковый выключатель с кабелем 0,5 м ITALTECNICA</t>
  </si>
  <si>
    <t>1 067.77 руб.</t>
  </si>
  <si>
    <t>NAS-430015</t>
  </si>
  <si>
    <t>TECNOIT10 поплавковый выключатель с кабелем 10 м с противовесом ITALTECNICA</t>
  </si>
  <si>
    <t>3 381.30 руб.</t>
  </si>
  <si>
    <t>NAS-430016</t>
  </si>
  <si>
    <t>TECNOIT3 поплавковый выключатель с кабелем 3 м с противовесом ITALTECNICA</t>
  </si>
  <si>
    <t>1 957.72 руб.</t>
  </si>
  <si>
    <t>Насосная автоматика VIEIR</t>
  </si>
  <si>
    <t>Блоки автоматики</t>
  </si>
  <si>
    <t>NAS-410002</t>
  </si>
  <si>
    <t>VER2.2/1C</t>
  </si>
  <si>
    <t>Блок автоматики VR-2,2 (1/12шт)</t>
  </si>
  <si>
    <t>2 162.37 руб.</t>
  </si>
  <si>
    <t>NAS-410003</t>
  </si>
  <si>
    <t>VER2.3/1C</t>
  </si>
  <si>
    <t>Блок автоматики насоса  VR-2,3 (1/30шт)</t>
  </si>
  <si>
    <t>1 880.13 руб.</t>
  </si>
  <si>
    <t>NAS-410008</t>
  </si>
  <si>
    <t>VER2.1/1C</t>
  </si>
  <si>
    <t>Блок насосной автоматики VR-2.1 (1/15шт)</t>
  </si>
  <si>
    <t>2 000.67 руб.</t>
  </si>
  <si>
    <t>NAS-410011</t>
  </si>
  <si>
    <t>VER2.1A/1C</t>
  </si>
  <si>
    <t>Блок насосной автоматики с подключ проводами VR-2.1A (1/12шт)</t>
  </si>
  <si>
    <t>2 213.82 руб.</t>
  </si>
  <si>
    <t>Контроллеры цифровые</t>
  </si>
  <si>
    <t>VER-000545</t>
  </si>
  <si>
    <t>VER3.1A</t>
  </si>
  <si>
    <t>Контроллер насоса  "VIEIR" - 3.1 (12/1шт)</t>
  </si>
  <si>
    <t>3 777.90 руб.</t>
  </si>
  <si>
    <t>VER-000717</t>
  </si>
  <si>
    <t>VER3.4</t>
  </si>
  <si>
    <t>Блок контроля давления с накидной гайкой 1/4" (20/1шт)</t>
  </si>
  <si>
    <t>2 922.36 руб.</t>
  </si>
  <si>
    <t>VER-000718</t>
  </si>
  <si>
    <t>VER3.5</t>
  </si>
  <si>
    <t>Блок контроля давления, штуцер 1/2" (20/1шт)</t>
  </si>
  <si>
    <t>VVR-000123</t>
  </si>
  <si>
    <t>VER2.4</t>
  </si>
  <si>
    <t>Плата контроллера насоса (250/1шт)</t>
  </si>
  <si>
    <t>665.91 руб.</t>
  </si>
  <si>
    <t>Поплавковые выключатели</t>
  </si>
  <si>
    <t>NAS-410004</t>
  </si>
  <si>
    <t>VER2.7</t>
  </si>
  <si>
    <t>Поплавковый выключатель, кабель 3м, 5 бар  VR-2,7 (1/20шт)</t>
  </si>
  <si>
    <t>711.48 руб.</t>
  </si>
  <si>
    <t>Реле</t>
  </si>
  <si>
    <t>NAS-410001</t>
  </si>
  <si>
    <t>VER7A/1B</t>
  </si>
  <si>
    <t>Реле давления VR-7 A  1-12 бар, нак. гайка 1/4 вн.р,  бок подвод проводов (1/50шт)</t>
  </si>
  <si>
    <t>377.79 руб.</t>
  </si>
  <si>
    <t>NAS-410005</t>
  </si>
  <si>
    <t>VR8A/1B</t>
  </si>
  <si>
    <t>Реле "сухого хода" VR-8 A (1/50шт)</t>
  </si>
  <si>
    <t>515.97 руб.</t>
  </si>
  <si>
    <t>NAS-410006</t>
  </si>
  <si>
    <t>VR9C/1B</t>
  </si>
  <si>
    <t>Реле давления VER9C 1-12 бар, нак гайка 1/4 вн.р., нижний подвод проводов (1/50шт)</t>
  </si>
  <si>
    <t>460.11 руб.</t>
  </si>
  <si>
    <t>NAS-410007</t>
  </si>
  <si>
    <t>VER9.1/1B</t>
  </si>
  <si>
    <t>Реле давления 1-5,3 бар с манометром VR-9.1 присоединие 1" (1/40шт)</t>
  </si>
  <si>
    <t>820.26 руб.</t>
  </si>
  <si>
    <t>NAS-410012</t>
  </si>
  <si>
    <t>VR9A/1B</t>
  </si>
  <si>
    <t>Реле давления VR-9A 1-12 бар,  1/4 нар.р., нижний подвод проводов (1/50шт)</t>
  </si>
  <si>
    <t>463.05 руб.</t>
  </si>
  <si>
    <t>Насосная автоматика ZEGOR</t>
  </si>
  <si>
    <t>ZGR-001094</t>
  </si>
  <si>
    <t>ZS-01</t>
  </si>
  <si>
    <t>Блок Автоматики Zegor ZS-01 (1/12шт)</t>
  </si>
  <si>
    <t>2 562.15 руб.</t>
  </si>
  <si>
    <t>ZGR-001095</t>
  </si>
  <si>
    <t>ZS-01А</t>
  </si>
  <si>
    <t>Блок Автоматики Zegor ZS-01A (1/12шт)</t>
  </si>
  <si>
    <t>2 838.41 руб.</t>
  </si>
  <si>
    <t>ZGR-001096</t>
  </si>
  <si>
    <t>ZS-01B</t>
  </si>
  <si>
    <t>(В) Блок Автоматики Zegor ZS-01B (1/12шт)</t>
  </si>
  <si>
    <t>2 848.56 руб.</t>
  </si>
  <si>
    <t>ZGR-001098</t>
  </si>
  <si>
    <t>ZS-03</t>
  </si>
  <si>
    <t>(В) -Блок Автоматики с маноматром Zegor ZS-03 (1/15шт)</t>
  </si>
  <si>
    <t>3 164.40 руб.</t>
  </si>
  <si>
    <t>ZGR-001099</t>
  </si>
  <si>
    <t>ZS-05B</t>
  </si>
  <si>
    <t>(В) Блок Автоматики с манометром Zegor ZS-05B (1/12шт)</t>
  </si>
  <si>
    <t>3 303.41 руб.</t>
  </si>
  <si>
    <t>ZGR-001223</t>
  </si>
  <si>
    <t>ZS-02B</t>
  </si>
  <si>
    <t>Блок Автоматики с манометром 1-3 бар с кабелем и розеткой Zegor (1/15шт)</t>
  </si>
  <si>
    <t>2 735.00 руб.</t>
  </si>
  <si>
    <t>ZGR-001224</t>
  </si>
  <si>
    <t>ZS-03B</t>
  </si>
  <si>
    <t>Блок Автоматики с манометром 1,5-3 бар с кабелем и розеткой Zegor (1/15шт)</t>
  </si>
  <si>
    <t>2 805.33 руб.</t>
  </si>
  <si>
    <t>ZGR-001285</t>
  </si>
  <si>
    <t>ZS-04</t>
  </si>
  <si>
    <t>Блок Автоматики с электро контроль давления и перезапуском (1/12шт)</t>
  </si>
  <si>
    <t>3 411.81 руб.</t>
  </si>
  <si>
    <t>ZGR-001349</t>
  </si>
  <si>
    <t>ZS-05</t>
  </si>
  <si>
    <t>Блок Автоматики с манометром 1,5-10бар, до1100Вт Zegor ZS-05 (1/12шт)</t>
  </si>
  <si>
    <t>2 886.42 руб.</t>
  </si>
  <si>
    <t>ZGR-001225</t>
  </si>
  <si>
    <t>ZS-06</t>
  </si>
  <si>
    <t>Блок Автоматики с цифровым управлением с перезапуском Zegor (1/12шт)</t>
  </si>
  <si>
    <t>3 650.87 руб.</t>
  </si>
  <si>
    <t>ZGR-001270</t>
  </si>
  <si>
    <t>ZS-07</t>
  </si>
  <si>
    <t>(В) Блок Автоматики 1,5-10бар с цифровым управлением Zegor (1/12шт)</t>
  </si>
  <si>
    <t>3 191.06 руб.</t>
  </si>
  <si>
    <t>ZGR-001292</t>
  </si>
  <si>
    <t>ZS-08</t>
  </si>
  <si>
    <t>Автоматический контроллер давления 0,5-9,8 бара, до 2,2кВт (1/12шт)</t>
  </si>
  <si>
    <t>4 958.96 руб.</t>
  </si>
  <si>
    <t>ZGR-001350</t>
  </si>
  <si>
    <t>ZS-06 PRO</t>
  </si>
  <si>
    <t>Блок Автоматики 0,5-9,6 бар, до 1,5кВт, с цифровым управлением и перезапуском (1/24шт)</t>
  </si>
  <si>
    <t>3 502.56 руб.</t>
  </si>
  <si>
    <t>ZGR-001351</t>
  </si>
  <si>
    <t>ZS-09</t>
  </si>
  <si>
    <t>Блок Автоматики 0,5-9,8бар,до 2,2кВт, с цифровым управлением и перезапуском (1/12шт)</t>
  </si>
  <si>
    <t>ZGR-001101</t>
  </si>
  <si>
    <t>SK-5B</t>
  </si>
  <si>
    <t>Реле давления 1,4-2,8 бар Zegor SK-5В 1/4 нак. гайка (1/50шт)</t>
  </si>
  <si>
    <t>441.64 руб.</t>
  </si>
  <si>
    <t>ZGR-001102</t>
  </si>
  <si>
    <t>SK-5C</t>
  </si>
  <si>
    <t>Реле давления 1,4-2,8 бар Zegor SK-5C 1/4 нар.р (1/50шт)</t>
  </si>
  <si>
    <t>412.20 руб.</t>
  </si>
  <si>
    <t>ZGR-001104</t>
  </si>
  <si>
    <t>SK-9B</t>
  </si>
  <si>
    <t>Реле давления 1,4-2,8 бар Zegor SK-9В 1/4 нак. гайка (1/50шт)</t>
  </si>
  <si>
    <t>520.29 руб.</t>
  </si>
  <si>
    <t>ZGR-001105</t>
  </si>
  <si>
    <t>SK-9C</t>
  </si>
  <si>
    <t>Реле давления 1,4-2,8 бар Zegor SK-9C 1/4 нар.р (1/50шт)</t>
  </si>
  <si>
    <t>585.78 руб.</t>
  </si>
  <si>
    <t>ZGR-001226</t>
  </si>
  <si>
    <t>SK-9A</t>
  </si>
  <si>
    <t>Реле сухого хода 1/4 нар.р. (раб давление 0,15-0,9 бар) Zegor (1/50шт)</t>
  </si>
  <si>
    <t>601.12 руб.</t>
  </si>
  <si>
    <t>ZGR-001257</t>
  </si>
  <si>
    <t>SK-2A</t>
  </si>
  <si>
    <t>Реле давления (подходит для WZB370) (1/100шт)</t>
  </si>
  <si>
    <t>386.97 руб.</t>
  </si>
  <si>
    <t>ZGR-001258</t>
  </si>
  <si>
    <t>SK-2B</t>
  </si>
  <si>
    <t>Реле давления (подходит для WZB550) (1/100шт)</t>
  </si>
  <si>
    <t>ZGR-001271</t>
  </si>
  <si>
    <t>SK-9T</t>
  </si>
  <si>
    <t>Реле давления с манометром 1,4-2,8 бар Zegor  1/4 нак. гайка (1/50шт)</t>
  </si>
  <si>
    <t>811.74 руб.</t>
  </si>
  <si>
    <t>ZGR-001352</t>
  </si>
  <si>
    <t>SK-2D</t>
  </si>
  <si>
    <t>Реле давления подходит для AUQB60-2VT и AUAB60-2VT (1/100шт)</t>
  </si>
  <si>
    <t>ZGR-001353</t>
  </si>
  <si>
    <t>SK-9M</t>
  </si>
  <si>
    <t>Реле давления 1-5,5 бар, 1/4 нак. Гайка, прозрачный корпус (1/50шт)</t>
  </si>
  <si>
    <t>Частотные преобразователи</t>
  </si>
  <si>
    <t>ZGR-001272</t>
  </si>
  <si>
    <t>ZS-11</t>
  </si>
  <si>
    <t>Частотный преобразователь для ТРЕХФАЗНОГО насоса 0,75-2,2 КВт, регулировка давления 1-9 бар (1/10шт)</t>
  </si>
  <si>
    <t>9 515.03 руб.</t>
  </si>
  <si>
    <t>ZGR-001273</t>
  </si>
  <si>
    <t>ZS-11A</t>
  </si>
  <si>
    <t>Частотный преобразователь для ОДНОФАЗНОГО насоса до 1,5 КВт, 1-9 бар, с розеткой и вилкой (1/10шт)</t>
  </si>
  <si>
    <t>11 245.03 руб.</t>
  </si>
  <si>
    <t>ZGR-001348</t>
  </si>
  <si>
    <t>ZS-11B</t>
  </si>
  <si>
    <t>Частотный преобразователь для ОДНОФАЗНОГО насоса до 1,5 КВт, 1-9 бар, с вилкой без розетки (1/10шт)</t>
  </si>
  <si>
    <t>Насосная автоматика UNIPUMP</t>
  </si>
  <si>
    <t>Блоки автоматики АКВАРОБОТ</t>
  </si>
  <si>
    <t>UNI-101910</t>
  </si>
  <si>
    <t>Блок управления насосом ТИСКОТРОН 3 кВт</t>
  </si>
  <si>
    <t>5 226.00 руб.</t>
  </si>
  <si>
    <t>UNI-101911</t>
  </si>
  <si>
    <t>Блок управления насосом ТУРБИ</t>
  </si>
  <si>
    <t>1 919.00 руб.</t>
  </si>
  <si>
    <t>UNI-101912</t>
  </si>
  <si>
    <t>Блок управления насосом ТУРБИ-М1</t>
  </si>
  <si>
    <t>3 147.00 руб.</t>
  </si>
  <si>
    <t>UNI-101913</t>
  </si>
  <si>
    <t>Блок управления насосом ТУРБИ-М2 (1,5-3,0 бар)</t>
  </si>
  <si>
    <t>UNI-101914</t>
  </si>
  <si>
    <t>Блок управления насосом ТУРБИ-М2 (2,0-3,5 бар)</t>
  </si>
  <si>
    <t>UNI-101915</t>
  </si>
  <si>
    <t>Блок управления насосом ТУРБИ-М2 (2,5-4,0 бар)</t>
  </si>
  <si>
    <t>UNI-101916</t>
  </si>
  <si>
    <t>Блок управления насосом ТУРБИ-М2 (3,0-4,5 бар)</t>
  </si>
  <si>
    <t>UNI-101917</t>
  </si>
  <si>
    <t>Блок управления насосом ТУРБИ-М3 однопороговый</t>
  </si>
  <si>
    <t>3 393.00 руб.</t>
  </si>
  <si>
    <t>UNI-101918</t>
  </si>
  <si>
    <t>Блок управления насосом ТУРБИПРЕСС 3 кВт</t>
  </si>
  <si>
    <t>6 370.00 руб.</t>
  </si>
  <si>
    <t>UNI-101919</t>
  </si>
  <si>
    <t>Блок управления насосом ТУРБИПРЕСС М</t>
  </si>
  <si>
    <t>3 464.00 руб.</t>
  </si>
  <si>
    <t>UNI-101920</t>
  </si>
  <si>
    <t>Блок управления насосом ТУРБИПРЕСС М с вилкой и розеткой</t>
  </si>
  <si>
    <t>4 005.00 руб.</t>
  </si>
  <si>
    <t>UNI-101921</t>
  </si>
  <si>
    <t>Блок управления насосом ТУРБИПРЕСС М2</t>
  </si>
  <si>
    <t>3 463.00 руб.</t>
  </si>
  <si>
    <t>UNI-101922</t>
  </si>
  <si>
    <t>Блок управления насосом ТУРБИПРЕСС М2 с вилкой и розеткой</t>
  </si>
  <si>
    <t>Пульты управления и Устройства защиты</t>
  </si>
  <si>
    <t>UNI-101936</t>
  </si>
  <si>
    <t>Пульт управления C3-HP1 18,5-22 кВт</t>
  </si>
  <si>
    <t>44 351.00 руб.</t>
  </si>
  <si>
    <t>UNI-101937</t>
  </si>
  <si>
    <t>Пульт управления M3-D1C 0.75-4 кВт</t>
  </si>
  <si>
    <t>15 945.00 руб.</t>
  </si>
  <si>
    <t>UNI-101938</t>
  </si>
  <si>
    <t>Пульт управления M3-D1C 11-13 кВт</t>
  </si>
  <si>
    <t>19 420.00 руб.</t>
  </si>
  <si>
    <t>UNI-101939</t>
  </si>
  <si>
    <t>Пульт управления M3-D1C 15 кВт</t>
  </si>
  <si>
    <t>26 260.00 руб.</t>
  </si>
  <si>
    <t>UNI-101940</t>
  </si>
  <si>
    <t>Пульт управления M3-D1C 5.5 кВт</t>
  </si>
  <si>
    <t>16 557.00 руб.</t>
  </si>
  <si>
    <t>UNI-101941</t>
  </si>
  <si>
    <t>Пульт управления M3-D1C 7.5-9,2 кВт</t>
  </si>
  <si>
    <t>17 849.00 руб.</t>
  </si>
  <si>
    <t>UNI-101942</t>
  </si>
  <si>
    <t>Устройство защиты SD-11-380V 1,1-11 кВт</t>
  </si>
  <si>
    <t>3 458.00 руб.</t>
  </si>
  <si>
    <t>UNI-101943</t>
  </si>
  <si>
    <t>Устройство защиты SD-22-380V 2,2-22 кВт</t>
  </si>
  <si>
    <t>3 562.00 руб.</t>
  </si>
  <si>
    <t>UNI-101929</t>
  </si>
  <si>
    <t>Датчик сухого хода LP/3</t>
  </si>
  <si>
    <t>734.30 руб.</t>
  </si>
  <si>
    <t>UNI-101930</t>
  </si>
  <si>
    <t>Реле давления PM/5 (внешняя резьба) 1/4"</t>
  </si>
  <si>
    <t>636.80 руб.</t>
  </si>
  <si>
    <t>UNI-101931</t>
  </si>
  <si>
    <t>Реле давления PM/5 (внутренняя резьба) 1/4"</t>
  </si>
  <si>
    <t>639.10 руб.</t>
  </si>
  <si>
    <t>UNI-101932</t>
  </si>
  <si>
    <t>Реле давления PM/5 (вращающаяся гайка) 1/4"</t>
  </si>
  <si>
    <t>UNI-101933</t>
  </si>
  <si>
    <t>Реле давления PM/5 с град.шкалой (вращ. гайка) 1/4"</t>
  </si>
  <si>
    <t>694.40 руб.</t>
  </si>
  <si>
    <t>UNI-101934</t>
  </si>
  <si>
    <t>Реле давления с манометром PM/5-3W</t>
  </si>
  <si>
    <t>970.80 руб.</t>
  </si>
  <si>
    <t>UNI-101924</t>
  </si>
  <si>
    <t>Частотный преобразователь ВАРУНА</t>
  </si>
  <si>
    <t>35 059.00 руб.</t>
  </si>
  <si>
    <t>UNI-101926</t>
  </si>
  <si>
    <t>Частотный преобразователь FCP-1.1MT</t>
  </si>
  <si>
    <t>16 662.00 руб.</t>
  </si>
  <si>
    <t>UNI-101927</t>
  </si>
  <si>
    <t>Частотный преобразователь FCP-1.5MT</t>
  </si>
  <si>
    <t>17 667.00 руб.</t>
  </si>
  <si>
    <t>UNI-101765</t>
  </si>
  <si>
    <t>Клапан поплавковый 1" VLF-100</t>
  </si>
  <si>
    <t>996.30 руб.</t>
  </si>
  <si>
    <t>UNI-101766</t>
  </si>
  <si>
    <t>Клапан поплавковый 1/2" VLF-012</t>
  </si>
  <si>
    <t>904.90 руб.</t>
  </si>
  <si>
    <t>UNI-101767</t>
  </si>
  <si>
    <t>Клапан поплавковый 3/4" VLF-034</t>
  </si>
  <si>
    <t>UNI-101779</t>
  </si>
  <si>
    <t>Поплавковый выключатель, 3 м FS-3</t>
  </si>
  <si>
    <t>890.20 руб.</t>
  </si>
  <si>
    <t>UNI-101780</t>
  </si>
  <si>
    <t>Поплавковый выключатель, 5 м FS-5</t>
  </si>
  <si>
    <t>1 198.00 руб.</t>
  </si>
  <si>
    <t>Вибрационные погружные насосы</t>
  </si>
  <si>
    <t>Погружные вибрационные насосы ZEGOR</t>
  </si>
  <si>
    <t>ZGR-001074</t>
  </si>
  <si>
    <t>ZVM60B-10Е</t>
  </si>
  <si>
    <t>Вибрационный насос с термозащитой диаметр 100мм, 250Вт, 10 м (верх.забор)</t>
  </si>
  <si>
    <t>2 325.13 руб.</t>
  </si>
  <si>
    <t>ZGR-001075</t>
  </si>
  <si>
    <t>ZVM60B-15E</t>
  </si>
  <si>
    <t>Вибрационный насос с термозащитой диаметр 100мм, 250Вт, 15 м (верх.забор)</t>
  </si>
  <si>
    <t>2 631.42 руб.</t>
  </si>
  <si>
    <t>ZGR-001076</t>
  </si>
  <si>
    <t>ZVM60H-10E</t>
  </si>
  <si>
    <t>Вибрационный насос с термозащитой диаметр 100мм, 250Вт, 10 м (нижний забор)</t>
  </si>
  <si>
    <t>2 442.32 руб.</t>
  </si>
  <si>
    <t>ZGR-001077</t>
  </si>
  <si>
    <t>ZVM60H-15E</t>
  </si>
  <si>
    <t>Вибрационный насос с термозащитой диаметр 100мм, 250Вт, 15 м (нижний забор) (4шт)</t>
  </si>
  <si>
    <t>2 712.35 руб.</t>
  </si>
  <si>
    <t>ZGR-001117</t>
  </si>
  <si>
    <t>ZVM60B-25E</t>
  </si>
  <si>
    <t>Вибрационный насос с термозащитой диаметр 100мм, 250Вт, 25 м (верх.забор)</t>
  </si>
  <si>
    <t>3 190.16 руб.</t>
  </si>
  <si>
    <t>ZGR-001118</t>
  </si>
  <si>
    <t>ZVM60H-25E</t>
  </si>
  <si>
    <t>Вибрационный насос с термозащитой диаметр 100мм, 250Вт, 25 м (нижний забор) (4шт)</t>
  </si>
  <si>
    <t>3 235.94 руб.</t>
  </si>
  <si>
    <t>Погружные вибрационные насосы FORA</t>
  </si>
  <si>
    <t>ALT-110671</t>
  </si>
  <si>
    <t>VP180U10</t>
  </si>
  <si>
    <t>Вибрационный насос 77мм, 60м, 180W, ВЕРХ (кабель 10м) FORA (1/6шт)</t>
  </si>
  <si>
    <t>2 462.27 руб.</t>
  </si>
  <si>
    <t>ALT-110672</t>
  </si>
  <si>
    <t>VP180U15</t>
  </si>
  <si>
    <t>Вибрационный насос 77мм, 60м, 180W, ВЕРХ (кабель 15м) FORA (1/6шт)</t>
  </si>
  <si>
    <t>2 597.78 руб.</t>
  </si>
  <si>
    <t>ALT-110673</t>
  </si>
  <si>
    <t>VP200U10</t>
  </si>
  <si>
    <t>Вибрационный насос 98мм, 70м, 200W, ВЕРХ (кабель 10м) FORA (1/6шт)</t>
  </si>
  <si>
    <t>2 577.20 руб.</t>
  </si>
  <si>
    <t>ALT-110674</t>
  </si>
  <si>
    <t>VP200U25</t>
  </si>
  <si>
    <t>Вибрационный насос 98мм, 70м, 250W, ВЕРХ (кабель 25м) FORA (1/4шт)</t>
  </si>
  <si>
    <t>3 111.83 руб.</t>
  </si>
  <si>
    <t>ALT-110675</t>
  </si>
  <si>
    <t>VP200U40</t>
  </si>
  <si>
    <t>Вибрационный насос 98мм, 70м, 250W, ВЕРХ (кабель 40м) FORA (1/4шт)</t>
  </si>
  <si>
    <t>3 790.53 руб.</t>
  </si>
  <si>
    <t>ALT-110677</t>
  </si>
  <si>
    <t>VP250D10-TP</t>
  </si>
  <si>
    <t>Вибрационный насос 98мм, 75м, 250W, НИЗ с термозащитой (кабель 10м) FORA (1/6шт)</t>
  </si>
  <si>
    <t>2 747.62 руб.</t>
  </si>
  <si>
    <t>ALT-110678</t>
  </si>
  <si>
    <t>VP250D15-TP</t>
  </si>
  <si>
    <t>Вибрационный насос 98мм, 75м, 250W, НИЗ с термозащитой (кабель 15м) FORA (1/6шт)</t>
  </si>
  <si>
    <t>2 908.80 руб.</t>
  </si>
  <si>
    <t>ALT-110679</t>
  </si>
  <si>
    <t>VP250D25-TP</t>
  </si>
  <si>
    <t>Вибрационный насос 100мм, 75м, 250W, НИЗ с термозащитой (кабель 25м) FORA (1/4шт)</t>
  </si>
  <si>
    <t>3 340.99 руб.</t>
  </si>
  <si>
    <t>ALT-110680</t>
  </si>
  <si>
    <t>VP250D40-TP</t>
  </si>
  <si>
    <t>Вибрационный насос 100мм, 75м, 250W, НИЗ с термозащитой (кабель 40м) FORA (1/4шт)</t>
  </si>
  <si>
    <t>3 909.15 руб.</t>
  </si>
  <si>
    <t>Погружные вибрационные насосы VIEIR</t>
  </si>
  <si>
    <t>NAS-130001</t>
  </si>
  <si>
    <t>VER60-10</t>
  </si>
  <si>
    <t>вибрационный насос КРЕПЫШ 10 м ВЕРХНИЙ забор (1/6шт)</t>
  </si>
  <si>
    <t>2 507.82 руб.</t>
  </si>
  <si>
    <t>NAS-130002</t>
  </si>
  <si>
    <t>VER60-16</t>
  </si>
  <si>
    <t>вибрационный насос КРЕПЫШ 16 м ВЕРХНИЙ забор (1/6шт)</t>
  </si>
  <si>
    <t>2 713.62 руб.</t>
  </si>
  <si>
    <t>NAS-130003</t>
  </si>
  <si>
    <t>VER60-25</t>
  </si>
  <si>
    <t>вибрационный насос КРЕПЫШ 25 м ВЕРХНИЙ забор (1/6шт)</t>
  </si>
  <si>
    <t>3 070.83 руб.</t>
  </si>
  <si>
    <t>NAS-130004</t>
  </si>
  <si>
    <t>VER60-1-10</t>
  </si>
  <si>
    <t>вибрационный насос КРЕПЫШ 10 м НИЖНИЙ забор (1/6шт)</t>
  </si>
  <si>
    <t>2 553.39 руб.</t>
  </si>
  <si>
    <t>NAS-130005</t>
  </si>
  <si>
    <t>VER60-1-16</t>
  </si>
  <si>
    <t>вибрационный насос КРЕПЫШ 16 м НИЖНИЙ забор (1/6шт)</t>
  </si>
  <si>
    <t>2 753.31 руб.</t>
  </si>
  <si>
    <t>NAS-130006</t>
  </si>
  <si>
    <t>VER60-1-25</t>
  </si>
  <si>
    <t>вибрационный насос КРЕПЫШ 25 м НИЖНИЙ забор (1/6шт)</t>
  </si>
  <si>
    <t>3 087.00 руб.</t>
  </si>
  <si>
    <t>Погружные вибрационные насосы БАВЛЕНЕЦ</t>
  </si>
  <si>
    <t>UNI-101253</t>
  </si>
  <si>
    <t>Насос вибр. Бавленец  БВ 0,12-40-У5, 10м (нижний забор)</t>
  </si>
  <si>
    <t>5 994.00 руб.</t>
  </si>
  <si>
    <t>UNI-101254</t>
  </si>
  <si>
    <t>Насос вибр. Бавленец  БВ 0,12-40-У5, 15м (нижний забор)</t>
  </si>
  <si>
    <t>4 665.00 руб.</t>
  </si>
  <si>
    <t>UNI-101255</t>
  </si>
  <si>
    <t>Насос вибр. Бавленец  БВ 0,12-40-У5, 25м (нижний забор)</t>
  </si>
  <si>
    <t>6 989.00 руб.</t>
  </si>
  <si>
    <t>UNI-101256</t>
  </si>
  <si>
    <t>Насос вибр. Бавленец  БВ 0,12-40-У5, 40м (нижний забор)</t>
  </si>
  <si>
    <t>8 018.00 руб.</t>
  </si>
  <si>
    <t>UNI-101257</t>
  </si>
  <si>
    <t>Насос вибр. Бавленец  БВ 0,12-40-У5, 6м (нижний забор)</t>
  </si>
  <si>
    <t>5 725.00 руб.</t>
  </si>
  <si>
    <t>UNI-101258</t>
  </si>
  <si>
    <t>Насос вибр. Бавленец-М  БВ 0,12-40-У5, 10м (верхний забор)</t>
  </si>
  <si>
    <t>6 109.00 руб.</t>
  </si>
  <si>
    <t>UNI-101259</t>
  </si>
  <si>
    <t>Насос вибр. Бавленец-М  БВ 0,12-40-У5, 15м (верхний забор)</t>
  </si>
  <si>
    <t>6 443.00 руб.</t>
  </si>
  <si>
    <t>UNI-101260</t>
  </si>
  <si>
    <t>Насос вибр. Бавленец-М  БВ 0,12-40-У5, 25м (верхний забор)</t>
  </si>
  <si>
    <t>7 105.00 руб.</t>
  </si>
  <si>
    <t>UNI-101261</t>
  </si>
  <si>
    <t>Насос вибр. Бавленец-М  БВ 0,12-40-У5, 40м (верхний забор)</t>
  </si>
  <si>
    <t>8 133.00 руб.</t>
  </si>
  <si>
    <t>UNI-101262</t>
  </si>
  <si>
    <t>Насос вибр. Бавленец-М  БВ 0,12-40-У5, 6м (верхний забор)</t>
  </si>
  <si>
    <t>4 112.00 руб.</t>
  </si>
  <si>
    <t>Дренажные насосы</t>
  </si>
  <si>
    <t>Дренажные насосы ZEGOR</t>
  </si>
  <si>
    <t>VVR-000141</t>
  </si>
  <si>
    <t>VRKQ250</t>
  </si>
  <si>
    <t>НАСОС ПОГРУЖНОЙ ДРЕНАЖНЫЙ ДЛЯ ЧИСТОЙ ВОДЫ 250ВТ  ViEiR  (6шт)</t>
  </si>
  <si>
    <t>4 315.92 руб.</t>
  </si>
  <si>
    <t>ZGR-000207</t>
  </si>
  <si>
    <t>ZTP-250CN</t>
  </si>
  <si>
    <t>(В) Погружной дренаж насос для ЧИСТОЙ воды С ДЕРЖАТЕЛЕМ поплавка (250Вт; 6м; 5,5м3/час)  (1/4шт)</t>
  </si>
  <si>
    <t>4 294.72 руб.</t>
  </si>
  <si>
    <t>ZGR-001048</t>
  </si>
  <si>
    <t>WQV250F</t>
  </si>
  <si>
    <t>Погружной дренажный насос (мощность 250Вт; напор 7,5м; расход 5м3/час) кабель 5м (1/1шт)</t>
  </si>
  <si>
    <t>8 697.90 руб.</t>
  </si>
  <si>
    <t>ZGR-001049</t>
  </si>
  <si>
    <t>WQV450F</t>
  </si>
  <si>
    <t>Погружной дренажный насос (мощность 450Вт; напор 12,5м; расход 19,5м3/час) кабель 5м (1шт)</t>
  </si>
  <si>
    <t>10 603.41 руб.</t>
  </si>
  <si>
    <t>ZGR-001050</t>
  </si>
  <si>
    <t>WQV750F</t>
  </si>
  <si>
    <t>Погружной дренажный насос (мощность 750Вт; напор 14м; расход 20,5м3/час) кабель 5м (1шт)</t>
  </si>
  <si>
    <t>12 265.93 руб.</t>
  </si>
  <si>
    <t>ZGR-001051</t>
  </si>
  <si>
    <t>WQV1100DF</t>
  </si>
  <si>
    <t>Погружной дренажно-фекальный насос с реж. ножом (мощность 1100Вт; напор 8,5м; расход 18м3/час) кабел</t>
  </si>
  <si>
    <t>13 954.53 руб.</t>
  </si>
  <si>
    <t>ZGR-001052</t>
  </si>
  <si>
    <t>WQV1500DF</t>
  </si>
  <si>
    <t>Погружной дренажно-фекальный насос с реж. ножом (мощность 1500Вт; напор 15м; расход 25м3/час) кабель</t>
  </si>
  <si>
    <t>16 918.46 руб.</t>
  </si>
  <si>
    <t>ZGR-001053</t>
  </si>
  <si>
    <t>AQD1100F</t>
  </si>
  <si>
    <t>Погружной дренажный насос (мощность 1100Вт; напор 13м; расход 21м3/час) кабель 8м (1/1шт)</t>
  </si>
  <si>
    <t>8 842.75 руб.</t>
  </si>
  <si>
    <t>ZGR-001054</t>
  </si>
  <si>
    <t>ZTP-250C</t>
  </si>
  <si>
    <t>(В) Погружной дренажный насос для чистой воды (мощность 250Вт; напор 6м; расход 5,5м3/час)  (1/4шт)</t>
  </si>
  <si>
    <t>4 061.23 руб.</t>
  </si>
  <si>
    <t>ZGR-001055</t>
  </si>
  <si>
    <t>ZTP-400C</t>
  </si>
  <si>
    <t>(В) Погружной дренажный насос для чистой воды (мощность 400Вт; напор 7,5м; расход 7,3м3/час)  (1/4шт</t>
  </si>
  <si>
    <t>4 295.42 руб.</t>
  </si>
  <si>
    <t>ZGR-001056</t>
  </si>
  <si>
    <t>ZTP-550C</t>
  </si>
  <si>
    <t>(В) - Погружной дренажный насос для чистой воды (мощность 550Вт; напор 8,5м; расход 10,5м3/час)  (1/</t>
  </si>
  <si>
    <t>4 774.85 руб.</t>
  </si>
  <si>
    <t>ZGR-001057</t>
  </si>
  <si>
    <t>ZTP-400D</t>
  </si>
  <si>
    <t>Погружной дренажный насос для грязной воды (мощность 400Вт; напор 5м; расход 7,5м3/час)  (1/4шт)</t>
  </si>
  <si>
    <t>3 834.36 руб.</t>
  </si>
  <si>
    <t>ZGR-001058</t>
  </si>
  <si>
    <t>ZTP-550D</t>
  </si>
  <si>
    <t>Погружной дренажный насос для грязной воды (мощность 550Вт; напор 7м; расход 11,5м3/час)  (1/4шт)</t>
  </si>
  <si>
    <t>4 221.84 руб.</t>
  </si>
  <si>
    <t>ZGR-001059</t>
  </si>
  <si>
    <t>ZTP-750D</t>
  </si>
  <si>
    <t>Погружной дренажный насос для грязной воды (мощность 750Вт; напор 8м; расход 12,6м3/час)  (1/4шт)</t>
  </si>
  <si>
    <t>4 519.69 руб.</t>
  </si>
  <si>
    <t>ZGR-001122</t>
  </si>
  <si>
    <t>AQD750F</t>
  </si>
  <si>
    <t>Погружной дренажно-фекальный насос (мощность 750Вт; напор 11,88м; расход 16м3/час) кабель 8м (1/1шт)</t>
  </si>
  <si>
    <t>8 983.76 руб.</t>
  </si>
  <si>
    <t>ZGR-001139</t>
  </si>
  <si>
    <t>AQD1100DF</t>
  </si>
  <si>
    <t>Погружной дренажно-фекальный насос с режущим ножом (мощность 1100Вт; напор 13м; расход 21 м3/час) ка</t>
  </si>
  <si>
    <t>10 710.26 руб.</t>
  </si>
  <si>
    <t>ZGR-001213</t>
  </si>
  <si>
    <t>ZTP-400CN</t>
  </si>
  <si>
    <t>(В) Погружной дренаж насос для ЧИСТОЙ воды С ДЕРЖАТЕЛЕМ поплавка (400Вт; 7,5м; 7,3м3/час)  (1/4шт)</t>
  </si>
  <si>
    <t>4 293.87 руб.</t>
  </si>
  <si>
    <t>ZGR-001214</t>
  </si>
  <si>
    <t>ZTP-550C/CN</t>
  </si>
  <si>
    <t>Погружной дренаж насос для ЧИСТОЙ воды С ДЕРЖАТЕЛЕМ поплавка (550Вт; 8,5м; 10,5м3/час)  (1/4шт)</t>
  </si>
  <si>
    <t>4 172.11 руб.</t>
  </si>
  <si>
    <t>ZGR-001215</t>
  </si>
  <si>
    <t>ZTP-400DN</t>
  </si>
  <si>
    <t>(В) Погружной дренаж насос для ГРЯЗНОЙ воды С ДЕРЖАТЕЛЕМ поплавка (400Вт; 5м; 7,5м3/час)  (1/4шт)</t>
  </si>
  <si>
    <t>4 388.30 руб.</t>
  </si>
  <si>
    <t>ZGR-001216</t>
  </si>
  <si>
    <t>ZTP-550DN</t>
  </si>
  <si>
    <t>(В) Погружной дренаж насос для ГРЯЗНОЙ воды С ДЕРЖАТЕЛЕМ поплавка (550Вт; 7м; 11,5м3/час)  (1/4шт)</t>
  </si>
  <si>
    <t>4 831.77 руб.</t>
  </si>
  <si>
    <t>ZGR-001217</t>
  </si>
  <si>
    <t>ZTP-750DN</t>
  </si>
  <si>
    <t>(В) Погружной дренаж насос для ГРЯЗНОЙ воды С ДЕРЖАТЕЛЕМ поплавка (750Вт; 8м; 12,6м3/час)  (1/4шт)</t>
  </si>
  <si>
    <t>5 099.78 руб.</t>
  </si>
  <si>
    <t>ZGR-001218</t>
  </si>
  <si>
    <t>ZTP-900DA</t>
  </si>
  <si>
    <t>Погружной дренаж насос для ГРЯЗНОЙ воды ВНУТР ПОПЛАВОК (мощность 900Вт; напор 8,7м; расход 14м3/час)</t>
  </si>
  <si>
    <t>5 214.27 руб.</t>
  </si>
  <si>
    <t>ZGR-001228</t>
  </si>
  <si>
    <t>WAV1100DF</t>
  </si>
  <si>
    <t>Погружной дренажный насос (мощность 1100Вт; напор 9м; расход 21м3/час) кабель 5м (1/1шт)</t>
  </si>
  <si>
    <t>11 031.74 руб.</t>
  </si>
  <si>
    <t>ZGR-001243</t>
  </si>
  <si>
    <t>QDX1,5-12-0,25F</t>
  </si>
  <si>
    <t>Погружной дренажный насос  с термозащитой 250Вт, напор 12м; макс. расход 1,5 м3/час; кабель 10м</t>
  </si>
  <si>
    <t>6 516.23 руб.</t>
  </si>
  <si>
    <t>ZGR-001244</t>
  </si>
  <si>
    <t>QDX1,5-17-0,37F</t>
  </si>
  <si>
    <t>Погружной дренажный насос с термозащитой 370Вт, напор 17м; макс. расход 1,5 м3/час; кабель 10м</t>
  </si>
  <si>
    <t>7 069.15 руб.</t>
  </si>
  <si>
    <t>ZGR-001245</t>
  </si>
  <si>
    <t>QDX10-12-0,55F</t>
  </si>
  <si>
    <t>Погружной дренажный насос  с термозащитой 550Вт, напор 12м; макс. расход 10 м3/час; кабель 10м</t>
  </si>
  <si>
    <t>8 274.50 руб.</t>
  </si>
  <si>
    <t>ZGR-001246</t>
  </si>
  <si>
    <t>QDX30-6-0,75F</t>
  </si>
  <si>
    <t>Погружной дренажный насос с термозащитой 750Вт, напор 6м; макс. расход 30 м3/час; кабель 10м</t>
  </si>
  <si>
    <t>9 701.88 руб.</t>
  </si>
  <si>
    <t>ZGR-001288</t>
  </si>
  <si>
    <t>QDX40-7-1,1F</t>
  </si>
  <si>
    <t>Погружной дренажный насос с термозащитой 1100Вт, напор 6м; макс. расход 40 м3/час; кабель 10м</t>
  </si>
  <si>
    <t>12 910.54 руб.</t>
  </si>
  <si>
    <t>ZGR-001328</t>
  </si>
  <si>
    <t>WQV1800GF</t>
  </si>
  <si>
    <t>Погружной дренажно-фекальный насос с реж. ножом (1800Вт; напор 17м; расход 300л/мин) кабель 7м</t>
  </si>
  <si>
    <t>19 563.79 руб.</t>
  </si>
  <si>
    <t>Дренажные насосы UNIPUMP</t>
  </si>
  <si>
    <t>UNI-101544</t>
  </si>
  <si>
    <t>Дренажный насос ARTSUB Q250</t>
  </si>
  <si>
    <t>7 226.00 руб.</t>
  </si>
  <si>
    <t>UNI-101545</t>
  </si>
  <si>
    <t>Дренажный насос ARTSUB Q400</t>
  </si>
  <si>
    <t>7 369.00 руб.</t>
  </si>
  <si>
    <t>UNI-101546</t>
  </si>
  <si>
    <t>Дренажный насос ARTSUB Q550</t>
  </si>
  <si>
    <t>7 826.00 руб.</t>
  </si>
  <si>
    <t>UNI-101547</t>
  </si>
  <si>
    <t>Дренажный насос ARTSUB Q750</t>
  </si>
  <si>
    <t>7 992.00 руб.</t>
  </si>
  <si>
    <t>UNI-101548</t>
  </si>
  <si>
    <t>Дренажный насос ARTSUB Q900</t>
  </si>
  <si>
    <t>8 355.00 руб.</t>
  </si>
  <si>
    <t>UNI-101549</t>
  </si>
  <si>
    <t>Дренажный насос ARTVORT Q400B</t>
  </si>
  <si>
    <t>7 076.00 руб.</t>
  </si>
  <si>
    <t>UNI-101550</t>
  </si>
  <si>
    <t>Дренажный насос ARTVORT Q550B</t>
  </si>
  <si>
    <t>8 300.00 руб.</t>
  </si>
  <si>
    <t>UNI-101551</t>
  </si>
  <si>
    <t>Дренажный насос ARTVORT Q750B</t>
  </si>
  <si>
    <t>8 898.00 руб.</t>
  </si>
  <si>
    <t>UNI-101552</t>
  </si>
  <si>
    <t>Дренажный насос ARTVORT Q900B</t>
  </si>
  <si>
    <t>10 280.00 руб.</t>
  </si>
  <si>
    <t>UNI-101553</t>
  </si>
  <si>
    <t>Дренажный насос FEKAPUMP V 1100F</t>
  </si>
  <si>
    <t>24 100.00 руб.</t>
  </si>
  <si>
    <t>UNI-101554</t>
  </si>
  <si>
    <t>Дренажный насос FEKAPUMP V 1500F</t>
  </si>
  <si>
    <t>29 153.00 руб.</t>
  </si>
  <si>
    <t>UNI-101555</t>
  </si>
  <si>
    <t>Дренажный насос FEKAPUMP V 2200F</t>
  </si>
  <si>
    <t>37 514.00 руб.</t>
  </si>
  <si>
    <t>UNI-101556</t>
  </si>
  <si>
    <t>Дренажный насос FEKAPUMP V 250F</t>
  </si>
  <si>
    <t>12 091.00 руб.</t>
  </si>
  <si>
    <t>UNI-101557</t>
  </si>
  <si>
    <t>Дренажный насос FEKAPUMP V 450F</t>
  </si>
  <si>
    <t>17 414.00 руб.</t>
  </si>
  <si>
    <t>UNI-101558</t>
  </si>
  <si>
    <t>Дренажный насос FEKAPUMP V 750F</t>
  </si>
  <si>
    <t>20 776.00 руб.</t>
  </si>
  <si>
    <t>UNI-101559</t>
  </si>
  <si>
    <t>Дренажный насос INOXPROF 10-11-0,75</t>
  </si>
  <si>
    <t>22 976.00 руб.</t>
  </si>
  <si>
    <t>UNI-101560</t>
  </si>
  <si>
    <t>Дренажный насос INOXPROF 12-13-1,1</t>
  </si>
  <si>
    <t>26 107.00 руб.</t>
  </si>
  <si>
    <t>UNI-101561</t>
  </si>
  <si>
    <t>Дренажный насос INOXPROF 15-15-1,5</t>
  </si>
  <si>
    <t>30 031.00 руб.</t>
  </si>
  <si>
    <t>UNI-101562</t>
  </si>
  <si>
    <t>Дренажный насос INOXPROF 6-16-0,75</t>
  </si>
  <si>
    <t>22 986.00 руб.</t>
  </si>
  <si>
    <t>UNI-101563</t>
  </si>
  <si>
    <t>Дренажный насос INOXVORT 1100 SW</t>
  </si>
  <si>
    <t>11 637.00 руб.</t>
  </si>
  <si>
    <t>UNI-101564</t>
  </si>
  <si>
    <t>Дренажный насос INOXVORT 400 SW</t>
  </si>
  <si>
    <t>9 121.00 руб.</t>
  </si>
  <si>
    <t>UNI-101565</t>
  </si>
  <si>
    <t>Дренажный насос SUB 209 P</t>
  </si>
  <si>
    <t>6 327.00 руб.</t>
  </si>
  <si>
    <t>UNI-101566</t>
  </si>
  <si>
    <t>Дренажный насос SUB 257 P</t>
  </si>
  <si>
    <t>6 682.00 руб.</t>
  </si>
  <si>
    <t>UNI-101567</t>
  </si>
  <si>
    <t>Дренажный насос SUB 407 P</t>
  </si>
  <si>
    <t>6 979.00 руб.</t>
  </si>
  <si>
    <t>UNI-101568</t>
  </si>
  <si>
    <t>Дренажный насос SUB 557 P</t>
  </si>
  <si>
    <t>8 462.00 руб.</t>
  </si>
  <si>
    <t>UNI-101569</t>
  </si>
  <si>
    <t>Дренажный насос VORT 1101 PW</t>
  </si>
  <si>
    <t>9 537.00 руб.</t>
  </si>
  <si>
    <t>UNI-101570</t>
  </si>
  <si>
    <t>Дренажный насос VORT 401 PW</t>
  </si>
  <si>
    <t>6 847.00 руб.</t>
  </si>
  <si>
    <t>UNI-101571</t>
  </si>
  <si>
    <t>Дренажный насос VORT 851 PW</t>
  </si>
  <si>
    <t>8 883.00 руб.</t>
  </si>
  <si>
    <t>UNI-101572</t>
  </si>
  <si>
    <t>Дренажный насос VORTPRO 1600</t>
  </si>
  <si>
    <t>18 361.00 руб.</t>
  </si>
  <si>
    <t>UNI-101573</t>
  </si>
  <si>
    <t>Дренажный насос VORTPRO 2000</t>
  </si>
  <si>
    <t>21 503.00 руб.</t>
  </si>
  <si>
    <t>UNI-101574</t>
  </si>
  <si>
    <t>Многост. дренажный насос MULTISUB 1000</t>
  </si>
  <si>
    <t>14 041.00 руб.</t>
  </si>
  <si>
    <t>UNI-101575</t>
  </si>
  <si>
    <t>Многост. дренажный насос MULTISUB 800</t>
  </si>
  <si>
    <t>13 029.00 руб.</t>
  </si>
  <si>
    <t>UNI-101576</t>
  </si>
  <si>
    <t>Садовый насос RAIN Q400</t>
  </si>
  <si>
    <t>6 667.00 руб.</t>
  </si>
  <si>
    <t>UNI-101577</t>
  </si>
  <si>
    <t>Садовый насос RAIN Q550M</t>
  </si>
  <si>
    <t>7 386.00 руб.</t>
  </si>
  <si>
    <t>Насосные станции</t>
  </si>
  <si>
    <t>Насосные станции ZEGOR</t>
  </si>
  <si>
    <t>ZGR-001063</t>
  </si>
  <si>
    <t>AUQB60</t>
  </si>
  <si>
    <t>Насосная станция с баком 20л (мощность 370Вт; напор 32м; расход 1,8м3/час; глуб всасыв до 8м) (1шт)</t>
  </si>
  <si>
    <t>10 207.62 руб.</t>
  </si>
  <si>
    <t>ZGR-001065</t>
  </si>
  <si>
    <t>AUJS-120S-W</t>
  </si>
  <si>
    <t>(В) -Насосная станция нерж. сталь с баком 24л (мощность 1100Вт; напор 47м; расход 3м3/час) (1шт)</t>
  </si>
  <si>
    <t>14 220.00 руб.</t>
  </si>
  <si>
    <t>ZGR-001068</t>
  </si>
  <si>
    <t>AUJET-100L</t>
  </si>
  <si>
    <t>Насосная станция чугун с баком 24л (мощность 750Вт; напор 48м; расход 3м3/час) (1шт)</t>
  </si>
  <si>
    <t>14 016.67 руб.</t>
  </si>
  <si>
    <t>ZGR-001069</t>
  </si>
  <si>
    <t>AUJET-120L</t>
  </si>
  <si>
    <t>Насосная станция чугун с баком 24л (мощность 1100Вт; напор 53м; расход 3,3м3/час) (1шт)</t>
  </si>
  <si>
    <t>13 814.25 руб.</t>
  </si>
  <si>
    <t>ZGR-001070</t>
  </si>
  <si>
    <t>AUJET-100S</t>
  </si>
  <si>
    <t>(В) Насосная станция чугун с баком 24л (мощность 750Вт; напор 40м; расход 3м3/час) (1шт)</t>
  </si>
  <si>
    <t>10 627.44 руб.</t>
  </si>
  <si>
    <t>ZGR-001071</t>
  </si>
  <si>
    <t>AUJET-120S</t>
  </si>
  <si>
    <t>Насосная станция чугун с баком 24л (мощность 1100Вт; напор 47м; расход 3м3/час) (1шт)</t>
  </si>
  <si>
    <t>13 880.04 руб.</t>
  </si>
  <si>
    <t>ZGR-001123</t>
  </si>
  <si>
    <t>AUAB60</t>
  </si>
  <si>
    <t>Насосная станция чугун, с баком 20л (мощность 370Вт; напор 35м; расход 2,1 м3/час, до 8м) (1шт)</t>
  </si>
  <si>
    <t>9 161.58 руб.</t>
  </si>
  <si>
    <t>ZGR-001125</t>
  </si>
  <si>
    <t>AUZTP-800</t>
  </si>
  <si>
    <t>Насосная станция пластик, с баком 24л (мощность 800Вт; напор 40м; расход 2,85 м3/час) (1шт)</t>
  </si>
  <si>
    <t>10 872.70 руб.</t>
  </si>
  <si>
    <t>ZGR-001127</t>
  </si>
  <si>
    <t>AUAET-120L</t>
  </si>
  <si>
    <t>Насосная станция чугун, с баком 24л (мощность 1100Вт; напор 45м; расход 3,3 м3/час, до 8м) (1шт)</t>
  </si>
  <si>
    <t>12 086.37 руб.</t>
  </si>
  <si>
    <t>ZGR-001130</t>
  </si>
  <si>
    <t>AUAET-120S</t>
  </si>
  <si>
    <t>Насосная станция чугун с баком 24л (мощность 1100Вт; напор 45м; расход 3,0 м3/час, до 8м) (1шт)</t>
  </si>
  <si>
    <t>11 933.56 руб.</t>
  </si>
  <si>
    <t>ZGR-001142</t>
  </si>
  <si>
    <t>AUJS-120S</t>
  </si>
  <si>
    <t>Насосная станция нерж. сталь с баком 24л (мощность 1100Вт; напор 47м; расход 3,0 м3/час, до 8м) (1шт</t>
  </si>
  <si>
    <t>14 496.65 руб.</t>
  </si>
  <si>
    <t>ZGR-001174</t>
  </si>
  <si>
    <t>AUAB80</t>
  </si>
  <si>
    <t>Насосная станция чугун, с баком 20л (мощность 750Вт; напор 44м; расход 2,7 м3/час, до 8м) (1шт)</t>
  </si>
  <si>
    <t>10 302.75 руб.</t>
  </si>
  <si>
    <t>ZGR-001175</t>
  </si>
  <si>
    <t>AUJET-120S-W</t>
  </si>
  <si>
    <t>(В) -Насосная станция чугун с баком 24л (мощность 1100Вт; напор 47м; расход 3м3/час) (1шт)</t>
  </si>
  <si>
    <t>12 240.00 руб.</t>
  </si>
  <si>
    <t>ZGR-001187</t>
  </si>
  <si>
    <t>AUQB80</t>
  </si>
  <si>
    <t>Насосная станция чугун с баком 24л (мощность 750Вт; напор 53м; расход 2,7м3/час) (1шт)</t>
  </si>
  <si>
    <t>12 195.64 руб.</t>
  </si>
  <si>
    <t>ZGR-001188</t>
  </si>
  <si>
    <t>AUJET-120L-W</t>
  </si>
  <si>
    <t>(В) -Насосная станция чугун с баком 24л (мощность 1100Вт; напор 53м; расход 3,3м3/час) (1шт)</t>
  </si>
  <si>
    <t>13 140.00 руб.</t>
  </si>
  <si>
    <t>ZGR-001189</t>
  </si>
  <si>
    <t>ALFA-1065</t>
  </si>
  <si>
    <t>Насосная станция  поддержания напора с частот преобразов нерж бак (650Вт; 45м; 4,5м3/час)</t>
  </si>
  <si>
    <t>23 791.44 руб.</t>
  </si>
  <si>
    <t>ZGR-001190</t>
  </si>
  <si>
    <t>TBOX-1110</t>
  </si>
  <si>
    <t>(В) Насосная станция ZEGOR PRO самовсасывающая с частотным преобразоват нерж бак (1100Вт; 42м; 4 м3/</t>
  </si>
  <si>
    <t>29 404.07 руб.</t>
  </si>
  <si>
    <t>ZGR-001219</t>
  </si>
  <si>
    <t>WZB370</t>
  </si>
  <si>
    <t>Насосная МИНИстанция чугун с баком 2л (мощность 370Вт; напор 28м; расход 2,1 м3/час) (1шт)</t>
  </si>
  <si>
    <t>7 590.64 руб.</t>
  </si>
  <si>
    <t>ZGR-001220</t>
  </si>
  <si>
    <t>WZB550</t>
  </si>
  <si>
    <t>Насосная МИНИстанция чугун с баком 2л (мощность 550Вт; напор 42м; расход 3 м3/час) (1шт)</t>
  </si>
  <si>
    <t>9 698.68 руб.</t>
  </si>
  <si>
    <t>ZGR-001221</t>
  </si>
  <si>
    <t>AKS370</t>
  </si>
  <si>
    <t>Насосная МИНИстанция чугун с баком 2л (мощность 370Вт; напор 25м; расход 2 м3/час) (1шт)</t>
  </si>
  <si>
    <t>5 436.35 руб.</t>
  </si>
  <si>
    <t>ZGR-001234</t>
  </si>
  <si>
    <t>ALFA-230</t>
  </si>
  <si>
    <t>Насосная станция поддержания напора с частот. преобразователем (650Вт; 42м;  4,5 м3/час)</t>
  </si>
  <si>
    <t>23 578.88 руб.</t>
  </si>
  <si>
    <t>ZGR-001247</t>
  </si>
  <si>
    <t>AUQB60-2VT</t>
  </si>
  <si>
    <t>Насосная МИНИстанция чугун с баком 2л (мощность 370Вт; напор 35м; расход 2,1 м3/час) (1шт)</t>
  </si>
  <si>
    <t>6 165.29 руб.</t>
  </si>
  <si>
    <t>ZGR-001254</t>
  </si>
  <si>
    <t>ALFA-330</t>
  </si>
  <si>
    <t>Насосная станция поддержания напора с частот. преобразователем  (900Вт; 45м;  5,5 м3/час)</t>
  </si>
  <si>
    <t>25 621.36 руб.</t>
  </si>
  <si>
    <t>ZGR-001260</t>
  </si>
  <si>
    <t>AUAB60-2VT</t>
  </si>
  <si>
    <t>Насосная МИНИстанция вихревого типа с чугун баком 2л (370Вт; напор 35м; расход 2,1 м3/час) (1шт)</t>
  </si>
  <si>
    <t>5 513.06 руб.</t>
  </si>
  <si>
    <t>ZGR-001265</t>
  </si>
  <si>
    <t>AUAS-120S</t>
  </si>
  <si>
    <t xml:space="preserve">Насосная станция центробежного типа чугун с баком 24л (1100Вт; напор 45м; расход 2,7 м3/час, до 8м) </t>
  </si>
  <si>
    <t>11 851.68 руб.</t>
  </si>
  <si>
    <t>ZGR-001266</t>
  </si>
  <si>
    <t>TBOX-1050</t>
  </si>
  <si>
    <t>Насосная станция ZEGOR PRO самовсасывающая с частот преобразоват нерж бак (500Вт; 40м; 4, 5м3/час)</t>
  </si>
  <si>
    <t>19 533.27 руб.</t>
  </si>
  <si>
    <t>ZGR-001267</t>
  </si>
  <si>
    <t>TBOX-1060</t>
  </si>
  <si>
    <t>Насосная станция частотная самовсасывающая (мощность 600Вт; напор 45м; расход 5 м3/час)</t>
  </si>
  <si>
    <t>21 308.20 руб.</t>
  </si>
  <si>
    <t>ZGR-001329</t>
  </si>
  <si>
    <t>WZB35</t>
  </si>
  <si>
    <t>Насосная МИНИстанция чугун с баком 2л (мощность 370Вт; напор 30м; расход 32л/мин) (1шт)</t>
  </si>
  <si>
    <t>6 142.49 руб.</t>
  </si>
  <si>
    <t>ZGR-001330</t>
  </si>
  <si>
    <t>WZB45</t>
  </si>
  <si>
    <t>Насосная МИНИстанция чугун с баком 2л (мощность 550Вт; напор 43м; расход 45л/мин) (1шт)</t>
  </si>
  <si>
    <t>8 515.52 руб.</t>
  </si>
  <si>
    <t>ZGR-001331</t>
  </si>
  <si>
    <t>WZB65</t>
  </si>
  <si>
    <t>Насосная МИНИстанция чугун с баком 2л (мощность 750Вт; напор 50м; расход 60л/мин) (1шт)</t>
  </si>
  <si>
    <t>9 330.37 руб.</t>
  </si>
  <si>
    <t>ZGR-001338</t>
  </si>
  <si>
    <t>ALFA-830W</t>
  </si>
  <si>
    <t>Автоматическая насосная станция с частотным преобразователем (1500Вт, напор 55м; расход 18,9м3/час)</t>
  </si>
  <si>
    <t>66 069.01 руб.</t>
  </si>
  <si>
    <t>ZGR-001339</t>
  </si>
  <si>
    <t>ALFA-1230W</t>
  </si>
  <si>
    <t>Автоматическая насосная станция с частотным преобразователем (2200Вт, напор 60м; расход 21,6м3/час)</t>
  </si>
  <si>
    <t>74 115.66 руб.</t>
  </si>
  <si>
    <t>ZGR-001340</t>
  </si>
  <si>
    <t>TBOX-1030</t>
  </si>
  <si>
    <t>Насосная станция ZEGOR PRO самовсасывающая с частот преобразоват нерж бак (260Вт; 26м; 3,6м3/час)</t>
  </si>
  <si>
    <t>15 362.25 руб.</t>
  </si>
  <si>
    <t>Насосные станции VIEIR</t>
  </si>
  <si>
    <t>VER-000454</t>
  </si>
  <si>
    <t>VRDS2-33</t>
  </si>
  <si>
    <t>Насосная станция самовсасывающая с частот преобразоват (650Вт, 45м, 5м3/ч)</t>
  </si>
  <si>
    <t>28 729.68 руб.</t>
  </si>
  <si>
    <t>VER-000671</t>
  </si>
  <si>
    <t>VRDS2-30</t>
  </si>
  <si>
    <t>Насосная станция поддержания давления с частот преобразоват (550Вт, 42м, 4,5м3/ч)</t>
  </si>
  <si>
    <t>25 779.39 руб.</t>
  </si>
  <si>
    <t>VER-000672</t>
  </si>
  <si>
    <t>VRDS3-30</t>
  </si>
  <si>
    <t>Насосная станция поддержания давления с частот преобразоват (750Вт, 45м, 5,5м3/ч)</t>
  </si>
  <si>
    <t>28 016.73 руб.</t>
  </si>
  <si>
    <t>VER-001006</t>
  </si>
  <si>
    <t>VRDS5-40</t>
  </si>
  <si>
    <t>Насосная станция с частотным регулированием (1шт)</t>
  </si>
  <si>
    <t>22 370.46 руб.</t>
  </si>
  <si>
    <t>VER-001542</t>
  </si>
  <si>
    <t>VRDS8-30</t>
  </si>
  <si>
    <t>Прифессиональная насосная станция с частотным регулированием 1500Вт (1шт)</t>
  </si>
  <si>
    <t>73 472.07 руб.</t>
  </si>
  <si>
    <t>VER-001543</t>
  </si>
  <si>
    <t>VRDS12-30</t>
  </si>
  <si>
    <t>Прифессиональная насосная станция с частотным регулированием 2200Вт (1шт)</t>
  </si>
  <si>
    <t>84 508.83 руб.</t>
  </si>
  <si>
    <t>VER-001584</t>
  </si>
  <si>
    <t>VRDS3.6-27</t>
  </si>
  <si>
    <t>Насосная станция с частотным регулированием 280Вт (1шт)</t>
  </si>
  <si>
    <t>15 861.30 руб.</t>
  </si>
  <si>
    <t xml:space="preserve">Насосные станции и Комплекты с автоматикой UNIPUMP </t>
  </si>
  <si>
    <t>Адаптивные станции АКВАРОБОТ с г/а 2 л</t>
  </si>
  <si>
    <t>UNI-101202</t>
  </si>
  <si>
    <t>Адапт. станция  АКВАРОБОТ ECO JET 100 LA (г/а 2л)</t>
  </si>
  <si>
    <t>14 097.00 руб.</t>
  </si>
  <si>
    <t>UNI-101203</t>
  </si>
  <si>
    <t>Адапт. станция  АКВАРОБОТ JET 100 L (г/а 2л)</t>
  </si>
  <si>
    <t>15 260.00 руб.</t>
  </si>
  <si>
    <t>UNI-101204</t>
  </si>
  <si>
    <t>Адапт. станция  АКВАРОБОТ JET 110 L (г/а 2л)</t>
  </si>
  <si>
    <t>16 775.00 руб.</t>
  </si>
  <si>
    <t>UNI-101205</t>
  </si>
  <si>
    <t>Адапт. станция  АКВАРОБОТ JET 40 S (г/а 2л)</t>
  </si>
  <si>
    <t>11 320.00 руб.</t>
  </si>
  <si>
    <t>UNI-101206</t>
  </si>
  <si>
    <t>Адапт. станция  АКВАРОБОТ JET 60 S (г/а 2л)</t>
  </si>
  <si>
    <t>12 559.00 руб.</t>
  </si>
  <si>
    <t>UNI-101207</t>
  </si>
  <si>
    <t>Адапт. станция  АКВАРОБОТ JS 100 (г/а 2л)</t>
  </si>
  <si>
    <t>14 648.00 руб.</t>
  </si>
  <si>
    <t>UNI-101208</t>
  </si>
  <si>
    <t>Адапт. станция  АКВАРОБОТ JS 80 (г/а 2л)</t>
  </si>
  <si>
    <t>14 415.00 руб.</t>
  </si>
  <si>
    <t>UNI-101209</t>
  </si>
  <si>
    <t>Адапт. станция  АКВАРОБОТ QB 60 (г/а 2л)</t>
  </si>
  <si>
    <t>8 699.00 руб.</t>
  </si>
  <si>
    <t>UNI-101210</t>
  </si>
  <si>
    <t>Адапт. станция  АКВАРОБОТ QB 70 (г/а 2л)</t>
  </si>
  <si>
    <t>10 625.00 руб.</t>
  </si>
  <si>
    <t>UNI-101211</t>
  </si>
  <si>
    <t>Адапт. станция  АКВАРОБОТ QB 80 (г/а 2л)</t>
  </si>
  <si>
    <t>11 107.00 руб.</t>
  </si>
  <si>
    <t>UNI-101212</t>
  </si>
  <si>
    <t>Адапт. станция АКВАРОБОТ JSW 55 (г/а 2л)</t>
  </si>
  <si>
    <t>16 587.00 руб.</t>
  </si>
  <si>
    <t>UNI-101213</t>
  </si>
  <si>
    <t>Адапт.станция  АКВАРОБОТ ECO JET 80 LA (г/а 2л)</t>
  </si>
  <si>
    <t>13 468.00 руб.</t>
  </si>
  <si>
    <t>UNI-101214</t>
  </si>
  <si>
    <t>Адапт.станция  АКВАРОБОТ JET 100 S (г/а 2л)</t>
  </si>
  <si>
    <t>14 814.00 руб.</t>
  </si>
  <si>
    <t>UNI-101215</t>
  </si>
  <si>
    <t>Адапт.станция  АКВАРОБОТ JET 80 L (г/а 2л)</t>
  </si>
  <si>
    <t>14 478.00 руб.</t>
  </si>
  <si>
    <t>UNI-101216</t>
  </si>
  <si>
    <t>Адапт.станция  АКВАРОБОТ JET 80 S (г/а 2л)</t>
  </si>
  <si>
    <t>14 703.00 руб.</t>
  </si>
  <si>
    <t>UNI-101217</t>
  </si>
  <si>
    <t>Адапт.станция АКВАРОБОТ JS 60 (г/а 2л)</t>
  </si>
  <si>
    <t>14 258.00 руб.</t>
  </si>
  <si>
    <t>Насосные станции SCA с частотным преобразователем</t>
  </si>
  <si>
    <t>UNI-101199</t>
  </si>
  <si>
    <t>Насосная станция SCA MAX с частотным преобразователем</t>
  </si>
  <si>
    <t>50 902.00 руб.</t>
  </si>
  <si>
    <t>UNI-101200</t>
  </si>
  <si>
    <t>Насосная станция SCA MINI с частотным преобразователем</t>
  </si>
  <si>
    <t>25 548.00 руб.</t>
  </si>
  <si>
    <t>Насосные станции ВИБРА, ECO VINT, Комплекты АКВАРОБОТ</t>
  </si>
  <si>
    <t>UNI-101232</t>
  </si>
  <si>
    <t>Комплект автоматики  АКВАРОБОТ ТУРБИПРЕСС 3,0 кВт</t>
  </si>
  <si>
    <t>9 820.00 руб.</t>
  </si>
  <si>
    <t>UNI-101233</t>
  </si>
  <si>
    <t>Комплект автоматики АКВАРОБОТ ТУРБИ-М1 с г/а 2л</t>
  </si>
  <si>
    <t>4 096.00 руб.</t>
  </si>
  <si>
    <t>UNI-101234</t>
  </si>
  <si>
    <t>Комплект автоматики с г/а 5л  АКВАРОБОТ ТУРБИ</t>
  </si>
  <si>
    <t>3 449.00 руб.</t>
  </si>
  <si>
    <t>UNI-101235</t>
  </si>
  <si>
    <t>Станция АКВАРОБОТ ECO VINT 3 - 24</t>
  </si>
  <si>
    <t>23 048.00 руб.</t>
  </si>
  <si>
    <t>Насосные станции и комплекты автоматики АКВАРОБОТ М</t>
  </si>
  <si>
    <t>UNI-101237</t>
  </si>
  <si>
    <t>Комплект автоматики с г/а 24л АКВАРОБОТ М</t>
  </si>
  <si>
    <t>5 467.00 руб.</t>
  </si>
  <si>
    <t>UNI-101238</t>
  </si>
  <si>
    <t>Комплект автоматики с г/а 5л АКВАРОБОТ М</t>
  </si>
  <si>
    <t>3 160.00 руб.</t>
  </si>
  <si>
    <t>UNI-101239</t>
  </si>
  <si>
    <t>Станция авт.водоснабж. АКВАРОБОТ М 24-10 В</t>
  </si>
  <si>
    <t>13 088.00 руб.</t>
  </si>
  <si>
    <t>UNI-101240</t>
  </si>
  <si>
    <t>Станция авт.водоснабж. АКВАРОБОТ М 24-10 Н</t>
  </si>
  <si>
    <t>12 943.00 руб.</t>
  </si>
  <si>
    <t>UNI-101241</t>
  </si>
  <si>
    <t>Станция авт.водоснабж. АКВАРОБОТ М 24-15 Н</t>
  </si>
  <si>
    <t>13 357.00 руб.</t>
  </si>
  <si>
    <t>UNI-101242</t>
  </si>
  <si>
    <t>Станция авт.водоснабж. АКВАРОБОТ М 24-25 В</t>
  </si>
  <si>
    <t>14 331.00 руб.</t>
  </si>
  <si>
    <t>UNI-101243</t>
  </si>
  <si>
    <t>Станция авт.водоснабж. АКВАРОБОТ М 24-40 Н</t>
  </si>
  <si>
    <t>15 472.00 руб.</t>
  </si>
  <si>
    <t>UNI-101244</t>
  </si>
  <si>
    <t>Станция авт.водоснабж. АКВАРОБОТ М 5-10 В</t>
  </si>
  <si>
    <t>10 680.00 руб.</t>
  </si>
  <si>
    <t>UNI-101245</t>
  </si>
  <si>
    <t>Станция авт.водоснабж. АКВАРОБОТ М 5-10 Н</t>
  </si>
  <si>
    <t>10 535.00 руб.</t>
  </si>
  <si>
    <t>UNI-101246</t>
  </si>
  <si>
    <t>Станция авт.водоснабж. АКВАРОБОТ М 5-15 В</t>
  </si>
  <si>
    <t>11 096.00 руб.</t>
  </si>
  <si>
    <t>UNI-101247</t>
  </si>
  <si>
    <t>Станция авт.водоснабж. АКВАРОБОТ М 5-15 Н</t>
  </si>
  <si>
    <t>10 949.00 руб.</t>
  </si>
  <si>
    <t>UNI-101248</t>
  </si>
  <si>
    <t>Станция авт.водоснабж. АКВАРОБОТ М 5-25 Н</t>
  </si>
  <si>
    <t>11 779.00 руб.</t>
  </si>
  <si>
    <t>UNI-101249</t>
  </si>
  <si>
    <t>Станция авт.водоснабж. АКВАРОБОТ М 5-40 В</t>
  </si>
  <si>
    <t>13 208.00 руб.</t>
  </si>
  <si>
    <t>UNI-101250</t>
  </si>
  <si>
    <t>Станция авт.водоснабж. АКВАРОБОТ М 5-40 Н</t>
  </si>
  <si>
    <t>13 063.00 руб.</t>
  </si>
  <si>
    <t>Насосные станции с г/а 2 и 5 л</t>
  </si>
  <si>
    <t>UNI-101140</t>
  </si>
  <si>
    <t>Станция авт. водоснабжения AUPS 1100</t>
  </si>
  <si>
    <t>11 290.00 руб.</t>
  </si>
  <si>
    <t>UNI-101141</t>
  </si>
  <si>
    <t>Станция авт. водоснабжения AUPS 550</t>
  </si>
  <si>
    <t>10 805.00 руб.</t>
  </si>
  <si>
    <t>UNI-101142</t>
  </si>
  <si>
    <t>Станция авт. водоснабжения AUPS 750</t>
  </si>
  <si>
    <t>11 155.00 руб.</t>
  </si>
  <si>
    <t>UNI-101143</t>
  </si>
  <si>
    <t>Станция авт.водоснабжения AUPS 126 (г/а-2 л)</t>
  </si>
  <si>
    <t>8 680.00 руб.</t>
  </si>
  <si>
    <t>UNI-101144</t>
  </si>
  <si>
    <t>Станция авт.водоснабжения AUTO JET 60 S-5</t>
  </si>
  <si>
    <t>11 198.00 руб.</t>
  </si>
  <si>
    <t>UNI-101145</t>
  </si>
  <si>
    <t>Станция авт.водоснабжения AUTO JET 80 L-5</t>
  </si>
  <si>
    <t>13 116.00 руб.</t>
  </si>
  <si>
    <t>UNI-101146</t>
  </si>
  <si>
    <t>Станция авт.водоснабжения AUTO JET 80 S-5</t>
  </si>
  <si>
    <t>13 342.00 руб.</t>
  </si>
  <si>
    <t>UNI-101147</t>
  </si>
  <si>
    <t>Станция авт.водоснабжения AUTO JS 100 - 5</t>
  </si>
  <si>
    <t>13 287.00 руб.</t>
  </si>
  <si>
    <t>UNI-101148</t>
  </si>
  <si>
    <t>Станция авт.водоснабжения AUTO QB 60 - 5</t>
  </si>
  <si>
    <t>6 716.00 руб.</t>
  </si>
  <si>
    <t>UNI-101149</t>
  </si>
  <si>
    <t>Станция авт.водоснабжения AUTO QB 70 - 5</t>
  </si>
  <si>
    <t>8 642.00 руб.</t>
  </si>
  <si>
    <t>Насосные станции с г/а 24 л</t>
  </si>
  <si>
    <t>UNI-101151</t>
  </si>
  <si>
    <t>Станция авт. водосн. AUTO MH 1000 C</t>
  </si>
  <si>
    <t>35 693.00 руб.</t>
  </si>
  <si>
    <t>UNI-101152</t>
  </si>
  <si>
    <t>Станция авт. водосн. AUTO MH 300 A</t>
  </si>
  <si>
    <t>18 886.00 руб.</t>
  </si>
  <si>
    <t>UNI-101153</t>
  </si>
  <si>
    <t>Станция авт. водосн. AUTO MH 300 C</t>
  </si>
  <si>
    <t>24 405.00 руб.</t>
  </si>
  <si>
    <t>UNI-101154</t>
  </si>
  <si>
    <t>Станция авт. водосн. AUTO MH 400 A</t>
  </si>
  <si>
    <t>21 940.00 руб.</t>
  </si>
  <si>
    <t>UNI-101155</t>
  </si>
  <si>
    <t>Станция авт. водосн. AUTO MH 400 C</t>
  </si>
  <si>
    <t>27 734.00 руб.</t>
  </si>
  <si>
    <t>UNI-101156</t>
  </si>
  <si>
    <t>Станция авт. водосн. AUTO MH 500 A</t>
  </si>
  <si>
    <t>24 161.00 руб.</t>
  </si>
  <si>
    <t>UNI-101157</t>
  </si>
  <si>
    <t>Станция авт. водосн. AUTO MH 500 C</t>
  </si>
  <si>
    <t>28 866.00 руб.</t>
  </si>
  <si>
    <t>UNI-101158</t>
  </si>
  <si>
    <t>Станция авт. водосн. AUTO MH 600 C</t>
  </si>
  <si>
    <t>29 249.00 руб.</t>
  </si>
  <si>
    <t>UNI-101159</t>
  </si>
  <si>
    <t>Станция авт. водосн. AUTO MH 800 C</t>
  </si>
  <si>
    <t>31 895.00 руб.</t>
  </si>
  <si>
    <t>UNI-101160</t>
  </si>
  <si>
    <t>Станция авт.водоснабжения AUTO DP-750</t>
  </si>
  <si>
    <t>22 704.00 руб.</t>
  </si>
  <si>
    <t>UNI-101161</t>
  </si>
  <si>
    <t>Станция авт.водоснабжения AUTO ECO JET 100 LA</t>
  </si>
  <si>
    <t>14 913.00 руб.</t>
  </si>
  <si>
    <t>UNI-101162</t>
  </si>
  <si>
    <t>Станция авт.водоснабжения AUTO ECO JET 80 LA</t>
  </si>
  <si>
    <t>14 284.00 руб.</t>
  </si>
  <si>
    <t>UNI-101163</t>
  </si>
  <si>
    <t>Станция авт.водоснабжения AUTO JET 100 L</t>
  </si>
  <si>
    <t>16 076.00 руб.</t>
  </si>
  <si>
    <t>UNI-101164</t>
  </si>
  <si>
    <t>Станция авт.водоснабжения AUTO JET 100 S</t>
  </si>
  <si>
    <t>15 445.00 руб.</t>
  </si>
  <si>
    <t>UNI-101165</t>
  </si>
  <si>
    <t>Станция авт.водоснабжения AUTO JET 110 L</t>
  </si>
  <si>
    <t>17 591.00 руб.</t>
  </si>
  <si>
    <t>UNI-101166</t>
  </si>
  <si>
    <t>Станция авт.водоснабжения AUTO JET 40 S</t>
  </si>
  <si>
    <t>11 951.00 руб.</t>
  </si>
  <si>
    <t>UNI-101167</t>
  </si>
  <si>
    <t>Станция авт.водоснабжения AUTO JET 60 S</t>
  </si>
  <si>
    <t>13 190.00 руб.</t>
  </si>
  <si>
    <t>UNI-101168</t>
  </si>
  <si>
    <t>Станция авт.водоснабжения AUTO JET 80 L</t>
  </si>
  <si>
    <t>15 293.00 руб.</t>
  </si>
  <si>
    <t>UNI-101169</t>
  </si>
  <si>
    <t>Станция авт.водоснабжения AUTO JET 80 S</t>
  </si>
  <si>
    <t>14 907.00 руб.</t>
  </si>
  <si>
    <t>UNI-101170</t>
  </si>
  <si>
    <t>Станция авт.водоснабжения AUTO JS 100</t>
  </si>
  <si>
    <t>15 279.00 руб.</t>
  </si>
  <si>
    <t>UNI-101171</t>
  </si>
  <si>
    <t>Станция авт.водоснабжения AUTO JS 60</t>
  </si>
  <si>
    <t>14 889.00 руб.</t>
  </si>
  <si>
    <t>UNI-101172</t>
  </si>
  <si>
    <t>Станция авт.водоснабжения AUTO JS 80</t>
  </si>
  <si>
    <t>15 171.00 руб.</t>
  </si>
  <si>
    <t>UNI-101173</t>
  </si>
  <si>
    <t>Станция авт.водоснабжения AUTO JSW 55</t>
  </si>
  <si>
    <t>UNI-101174</t>
  </si>
  <si>
    <t>Станция авт.водоснабжения AUTO QB 60</t>
  </si>
  <si>
    <t>10 240.00 руб.</t>
  </si>
  <si>
    <t>UNI-101175</t>
  </si>
  <si>
    <t>Станция авт.водоснабжения AUTO QB 70</t>
  </si>
  <si>
    <t>12 165.00 руб.</t>
  </si>
  <si>
    <t>UNI-101176</t>
  </si>
  <si>
    <t>Станция авт.водоснабжения AUTO QB 80</t>
  </si>
  <si>
    <t>12 648.00 руб.</t>
  </si>
  <si>
    <t>Насосные станции с г/а 24 л нерж. сталь</t>
  </si>
  <si>
    <t>UNI-101178</t>
  </si>
  <si>
    <t>Станция авт.водоснабжения AUTO JET 100 L-S</t>
  </si>
  <si>
    <t>18 944.00 руб.</t>
  </si>
  <si>
    <t>UNI-101179</t>
  </si>
  <si>
    <t>Станция авт.водоснабжения AUTO JET 110 L-S</t>
  </si>
  <si>
    <t>20 458.00 руб.</t>
  </si>
  <si>
    <t>UNI-101180</t>
  </si>
  <si>
    <t>Станция авт.водоснабжения AUTO JS 100-S</t>
  </si>
  <si>
    <t>18 147.00 руб.</t>
  </si>
  <si>
    <t>UNI-101181</t>
  </si>
  <si>
    <t>Станция авт.водоснабжения AUTO JS 60-S</t>
  </si>
  <si>
    <t>17 756.00 руб.</t>
  </si>
  <si>
    <t>Насосные станции с г/а 50 л</t>
  </si>
  <si>
    <t>UNI-101183</t>
  </si>
  <si>
    <t>Станция авт.водоснабжения AUTO DP 750-50</t>
  </si>
  <si>
    <t>26 072.00 руб.</t>
  </si>
  <si>
    <t>UNI-101184</t>
  </si>
  <si>
    <t>Станция авт.водоснабжения AUTO ECO JET 100 LA-50</t>
  </si>
  <si>
    <t>18 803.00 руб.</t>
  </si>
  <si>
    <t>UNI-101185</t>
  </si>
  <si>
    <t>Станция авт.водоснабжения AUTO ECO JET 80 LA-50</t>
  </si>
  <si>
    <t>18 174.00 руб.</t>
  </si>
  <si>
    <t>UNI-101186</t>
  </si>
  <si>
    <t>Станция авт.водоснабжения AUTO JET 100 L-50</t>
  </si>
  <si>
    <t>19 966.00 руб.</t>
  </si>
  <si>
    <t>UNI-101187</t>
  </si>
  <si>
    <t>Станция авт.водоснабжения AUTO JET 110 L-50</t>
  </si>
  <si>
    <t>21 480.00 руб.</t>
  </si>
  <si>
    <t>UNI-101188</t>
  </si>
  <si>
    <t>Станция авт.водоснабжения AUTO JET 60 S-50</t>
  </si>
  <si>
    <t>17 918.00 руб.</t>
  </si>
  <si>
    <t>UNI-101189</t>
  </si>
  <si>
    <t>Станция авт.водоснабжения AUTO JET 80 L-50</t>
  </si>
  <si>
    <t>19 183.00 руб.</t>
  </si>
  <si>
    <t>UNI-101190</t>
  </si>
  <si>
    <t>Станция авт.водоснабжения AUTO JET 80 S-50</t>
  </si>
  <si>
    <t>19 705.00 руб.</t>
  </si>
  <si>
    <t>UNI-101191</t>
  </si>
  <si>
    <t>Станция авт.водоснабжения AUTO JEТ 100 S-50</t>
  </si>
  <si>
    <t>19 816.00 руб.</t>
  </si>
  <si>
    <t>UNI-101192</t>
  </si>
  <si>
    <t>Станция авт.водоснабжения AUTO JS 100-50</t>
  </si>
  <si>
    <t>19 511.00 руб.</t>
  </si>
  <si>
    <t>UNI-101193</t>
  </si>
  <si>
    <t>Станция авт.водоснабжения AUTO JS 80-50</t>
  </si>
  <si>
    <t>19 110.00 руб.</t>
  </si>
  <si>
    <t>UNI-101194</t>
  </si>
  <si>
    <t>Станция авт.водоснабжения AUTO JSW-55-50</t>
  </si>
  <si>
    <t>19 719.00 руб.</t>
  </si>
  <si>
    <t>Насосные станции с г/а 50 л нерж. сталь</t>
  </si>
  <si>
    <t>UNI-101196</t>
  </si>
  <si>
    <t>Станция авт.водоснабжения AUTO JS 100-50-S</t>
  </si>
  <si>
    <t>23 868.00 руб.</t>
  </si>
  <si>
    <t>UNI-101197</t>
  </si>
  <si>
    <t>Станция авт.водоснабжения AUTO JS 80-50-S</t>
  </si>
  <si>
    <t>21 328.00 руб.</t>
  </si>
  <si>
    <t>Универсальные станции АКВАРОБОТ с г/а 24 л</t>
  </si>
  <si>
    <t>UNI-101219</t>
  </si>
  <si>
    <t>Универсальная станция  АКВАРОБОТ ECO JET 100 LA-24</t>
  </si>
  <si>
    <t>17 266.00 руб.</t>
  </si>
  <si>
    <t>UNI-101220</t>
  </si>
  <si>
    <t>Универсальная станция  АКВАРОБОТ ECO JET 80 LA-24</t>
  </si>
  <si>
    <t>16 637.00 руб.</t>
  </si>
  <si>
    <t>UNI-101221</t>
  </si>
  <si>
    <t>Универсальная станция  АКВАРОБОТ JET 100 L-24</t>
  </si>
  <si>
    <t>18 429.00 руб.</t>
  </si>
  <si>
    <t>UNI-101222</t>
  </si>
  <si>
    <t>Универсальная станция  АКВАРОБОТ JET 100 S-24</t>
  </si>
  <si>
    <t>18 162.00 руб.</t>
  </si>
  <si>
    <t>UNI-101223</t>
  </si>
  <si>
    <t>Универсальная станция  АКВАРОБОТ JET 110 L-24</t>
  </si>
  <si>
    <t>19 943.00 руб.</t>
  </si>
  <si>
    <t>UNI-101224</t>
  </si>
  <si>
    <t>Универсальная станция  АКВАРОБОТ JET 60 S-24</t>
  </si>
  <si>
    <t>15 728.00 руб.</t>
  </si>
  <si>
    <t>UNI-101225</t>
  </si>
  <si>
    <t>Универсальная станция  АКВАРОБОТ JET 80 L-24</t>
  </si>
  <si>
    <t>17 646.00 руб.</t>
  </si>
  <si>
    <t>UNI-101226</t>
  </si>
  <si>
    <t>Универсальная станция  АКВАРОБОТ JET 80 S-24</t>
  </si>
  <si>
    <t>18 057.00 руб.</t>
  </si>
  <si>
    <t>UNI-101227</t>
  </si>
  <si>
    <t>Универсальная станция  АКВАРОБОТ JS 100-24</t>
  </si>
  <si>
    <t>17 632.00 руб.</t>
  </si>
  <si>
    <t>UNI-101228</t>
  </si>
  <si>
    <t>Универсальная станция  АКВАРОБОТ JS 60-24</t>
  </si>
  <si>
    <t>17 241.00 руб.</t>
  </si>
  <si>
    <t>UNI-101229</t>
  </si>
  <si>
    <t>Универсальная станция  АКВАРОБОТ JS 80-24</t>
  </si>
  <si>
    <t>17 336.00 руб.</t>
  </si>
  <si>
    <t>UNI-101230</t>
  </si>
  <si>
    <t>Универсальная станция  АКВАРОБОТ JSW 55-24</t>
  </si>
  <si>
    <t>20 580.00 руб.</t>
  </si>
  <si>
    <t>Скважные погружные насосы</t>
  </si>
  <si>
    <t>Скважные вихревые насосы</t>
  </si>
  <si>
    <t>ZGR-001010</t>
  </si>
  <si>
    <t>3SKM100A-0.75kw 20m</t>
  </si>
  <si>
    <t>Скважинный вихревой насос 3" (75мм) 750 Вт;  напор 59м; макс. расход 2,0 м3/час;  кабель 20м (1/1шт)</t>
  </si>
  <si>
    <t>12 171.96 руб.</t>
  </si>
  <si>
    <t>ZGR-001011</t>
  </si>
  <si>
    <t>4SKM100-0,75kw 10m</t>
  </si>
  <si>
    <t>Скважинный вихревой насос 4" (100мм) 750 Вт;  напор 58м; макс. расход 3,0 м3/час;  кабель 10м (1/1шт</t>
  </si>
  <si>
    <t>10 407.13 руб.</t>
  </si>
  <si>
    <t>ZGR-001012</t>
  </si>
  <si>
    <t>4SKM100-0,75kw 20m</t>
  </si>
  <si>
    <t>Скважинный вихревой насос 4" (100мм) 750 Вт;  напор 58м; макс. расход 3,0 м3/час;  кабель 20м (1/1шт</t>
  </si>
  <si>
    <t>11 225.88 руб.</t>
  </si>
  <si>
    <t>ZGR-001013</t>
  </si>
  <si>
    <t>4SKM100A-0,75kw 10m</t>
  </si>
  <si>
    <t>10 583.29 руб.</t>
  </si>
  <si>
    <t>ZGR-001014</t>
  </si>
  <si>
    <t>4SKM100A-0,75kw 20m</t>
  </si>
  <si>
    <t>Скважинный вихревой насос 4"(100мм) 750 Вт;  напор 58м; макс. расход 3,0 м3/час;  кабель 20м (1/1шт)</t>
  </si>
  <si>
    <t>12 258.60 руб.</t>
  </si>
  <si>
    <t>ZGR-001015</t>
  </si>
  <si>
    <t>4SKM150A-1,1kw 20m</t>
  </si>
  <si>
    <t>Скважинный вихревой насос 4" (100мм) 1100 Вт;  напор 100м; макс. расход 3,0 м3/час;  кабель 20м (1/1</t>
  </si>
  <si>
    <t>14 237.61 руб.</t>
  </si>
  <si>
    <t>ZGR-001016</t>
  </si>
  <si>
    <t>4SKM200A-1,5kw 20m</t>
  </si>
  <si>
    <t>Скважинный вихревой насос 4" (100мм) 1500 Вт;  напор 135м; макс. расход 3,0 м3/час;  кабель 20м (1/1</t>
  </si>
  <si>
    <t>16 167.93 руб.</t>
  </si>
  <si>
    <t>Скважные многоступенчатые насосы</t>
  </si>
  <si>
    <t>Скважные погружные насосы ZEGOR</t>
  </si>
  <si>
    <t>Скважные насосы диаметр 3,5&amp;quot; (90мм)</t>
  </si>
  <si>
    <t>ZGR-001024</t>
  </si>
  <si>
    <t>3,5SDM3/09-0.55kw 20m</t>
  </si>
  <si>
    <t>Скважинный многоступенчатый насос 3,5" (90мм) 550 Вт;  напор 50м; макс. расход 5,2 м3/час;  кабель 2</t>
  </si>
  <si>
    <t>12 661.20 руб.</t>
  </si>
  <si>
    <t>ZGR-001025</t>
  </si>
  <si>
    <t>3,5SDM3/12-0.75kw 20m</t>
  </si>
  <si>
    <t>Скважинный многоступенчатый насос 3,5" (90мм) 750 Вт;  напор 72м; макс. расход 5,2 м3/час;  кабель 2</t>
  </si>
  <si>
    <t>12 611.82 руб.</t>
  </si>
  <si>
    <t>ZGR-001145</t>
  </si>
  <si>
    <t>3.5ZEF2/06-0.25kw-20m</t>
  </si>
  <si>
    <t>Скважинный насос 3,5" (90мм) 250 Вт;  напор 32м; макс. расход 4 м3/час;  резьба 11/4, кабель 20м (1/</t>
  </si>
  <si>
    <t>10 478.14 руб.</t>
  </si>
  <si>
    <t>ZGR-001146</t>
  </si>
  <si>
    <t>3.5ZEF2/08-0.37kw-30m</t>
  </si>
  <si>
    <t>Скважинный насос 3,5" (90мм) 370 Вт;  напор 42м; макс. расход 4 м3/час;  резьба 11/4, кабель 30м (1/</t>
  </si>
  <si>
    <t>12 000.37 руб.</t>
  </si>
  <si>
    <t>ZGR-001147</t>
  </si>
  <si>
    <t>3.5ZEF2/10-0.55kw-40m</t>
  </si>
  <si>
    <t>Скважинный насос 3,5" (90мм) 550 Вт;  напор 52м; макс. расход 4 м3/час;  резьба 11/4, кабель 40м (1/</t>
  </si>
  <si>
    <t>13 216.01 руб.</t>
  </si>
  <si>
    <t>ZGR-001148</t>
  </si>
  <si>
    <t>3.5ZEF2/12-0.75kw-50m</t>
  </si>
  <si>
    <t>Скважинный насос 3,5" (90мм) 750 Вт;  напор 63м; макс. расход 4 м3/час;  резьба 11/4, кабель 50м (1/</t>
  </si>
  <si>
    <t>15 641.90 руб.</t>
  </si>
  <si>
    <t>ZGR-001149</t>
  </si>
  <si>
    <t>3.5ZEF2/18-1.1kw-60m</t>
  </si>
  <si>
    <t>Скважинный насос 3,5" (90мм) 1100 Вт;  напор 92м; макс. расход 4 м3/час;  резьба 11/4, кабель 60м (1</t>
  </si>
  <si>
    <t>20 326.95 руб.</t>
  </si>
  <si>
    <t>ZGR-001150</t>
  </si>
  <si>
    <t>3.5ZEF2/20-1.5kw-60m</t>
  </si>
  <si>
    <t xml:space="preserve">(В) -Скважинный насос 3,5" (90мм) 1500 Вт;  напор 135м; макс. расход 4 м3/час;  резьба 11/4, кабель </t>
  </si>
  <si>
    <t>ZGR-001164</t>
  </si>
  <si>
    <t>3.5ZEF2/25-1.5kw-60m</t>
  </si>
  <si>
    <t>Скважинный насос 3,5" (90мм) 1500 Вт;  напор 135м; макс. расход 4 м3/час;  резьба 1", кабель 60м</t>
  </si>
  <si>
    <t>24 487.32 руб.</t>
  </si>
  <si>
    <t>ZGR-001264</t>
  </si>
  <si>
    <t>3.5SDM3/09-0.55kw 8m</t>
  </si>
  <si>
    <t>Скважинный многоступенчатый насос 3,5" (90мм) 550 Вт;  напор 50м; макс. расход 5,2 м3/час;  кабель 8</t>
  </si>
  <si>
    <t>11 137.92 руб.</t>
  </si>
  <si>
    <t>Скважные насосы диаметр 3&amp;quot; (75мм)</t>
  </si>
  <si>
    <t>ZGR-001017</t>
  </si>
  <si>
    <t>3SDM2/11-0.37kw 20m</t>
  </si>
  <si>
    <t>Скважинный многоступенчатый насос 3" (75мм) 370 Вт;  напор 48м; макс. расход 3,3 м3/час;  кабель 20м</t>
  </si>
  <si>
    <t>11 601.27 руб.</t>
  </si>
  <si>
    <t>ZGR-001018</t>
  </si>
  <si>
    <t>3SDM2/17-0.55kw 20m</t>
  </si>
  <si>
    <t>Скважинный многоступенчатый насос 3" (75мм) 550 Вт;  напор 74м; макс. расход 3,3 м3/час;  кабель 20м</t>
  </si>
  <si>
    <t>12 977.49 руб.</t>
  </si>
  <si>
    <t>ZGR-001019</t>
  </si>
  <si>
    <t>3SDM2/24-0.75kw 20m</t>
  </si>
  <si>
    <t>Скважинный многоступенчатый насос 3" (75мм)750 Вт;  напор 104м; макс. расход 3,3 м3/час;  кабель 20м</t>
  </si>
  <si>
    <t>15 361.73 руб.</t>
  </si>
  <si>
    <t>ZGR-001020</t>
  </si>
  <si>
    <t>3SDM2/33-1.1kw 20m</t>
  </si>
  <si>
    <t>Скважинный многоступенчатый насос 3" (75мм) 1100 Вт;  напор 144м; макс. расход 3,3 м3/час;  кабель 2</t>
  </si>
  <si>
    <t>19 600.65 руб.</t>
  </si>
  <si>
    <t>ZGR-001021</t>
  </si>
  <si>
    <t>3SDM3/13-0.55kw 20m</t>
  </si>
  <si>
    <t>Скважинный многоступенчатый насос 3" (75мм) 550 Вт;  напор 52м; макс. расход 5,2 м3/час;  кабель 20м</t>
  </si>
  <si>
    <t>13 287.77 руб.</t>
  </si>
  <si>
    <t>ZGR-001022</t>
  </si>
  <si>
    <t>3SDM3/18-0.75kw 20m</t>
  </si>
  <si>
    <t>Скважинный многоступенчатый насос 3" (75мм) 750 Вт;  напор 71м; макс. расход 5,2 м3/час;  кабель 20м</t>
  </si>
  <si>
    <t>15 403.29 руб.</t>
  </si>
  <si>
    <t>ZGR-001023</t>
  </si>
  <si>
    <t>3SDM3/22-1.1kw 20m</t>
  </si>
  <si>
    <t>Скважинный многоступенчатый насос 3" (75мм) 1100 Вт;  напор 87м; макс. расход 5,2 м3/час;  кабель 20</t>
  </si>
  <si>
    <t>16 683.01 руб.</t>
  </si>
  <si>
    <t>ZGR-001032</t>
  </si>
  <si>
    <t>3ZED1.5/13-0.37kw 25m</t>
  </si>
  <si>
    <t>Скважинный многоступенчатый насос 3" (75мм) 370 Вт;  напор 49м; макс. расход 2,8 м3/час;  кабель 25м</t>
  </si>
  <si>
    <t>11 737.82 руб.</t>
  </si>
  <si>
    <t>ZGR-001033</t>
  </si>
  <si>
    <t>3ZED1.5/18-0.55kw 35m</t>
  </si>
  <si>
    <t>Скважинный многоступенчатый насос 3" (75мм) 550 Вт;  напор 65м; макс. расход 2,8 м3/час;  кабель 35м</t>
  </si>
  <si>
    <t>14 542.32 руб.</t>
  </si>
  <si>
    <t>ZGR-001034</t>
  </si>
  <si>
    <t>3ZED1.5/25-0.75kw 45m</t>
  </si>
  <si>
    <t>Скважинный многоступенчатый насос 3" (75мм) 750 Вт;  напор 90м; макс. расход 2,8 м3/час;  кабель 45м</t>
  </si>
  <si>
    <t>15 657.52 руб.</t>
  </si>
  <si>
    <t>ZGR-001035</t>
  </si>
  <si>
    <t>3ZED1.5/35-1.1kw 60m</t>
  </si>
  <si>
    <t>Скважинный многоступенчатый насос 3" (75мм) 1100 Вт;  напор 126м; макс. расход 2,8 м3/час;  кабель 6</t>
  </si>
  <si>
    <t>21 473.38 руб.</t>
  </si>
  <si>
    <t>ZGR-001040</t>
  </si>
  <si>
    <t>3SEM1.5/15-0.37kw 30m</t>
  </si>
  <si>
    <t>Скважинный многоступенчатый насос 3" (75мм) 370 Вт;  напор 55м; макс. расход 2,8 м3/час;  кабель 30м</t>
  </si>
  <si>
    <t>12 709.49 руб.</t>
  </si>
  <si>
    <t>ZGR-001041</t>
  </si>
  <si>
    <t>3SEM1.5/22-0.55kw 40m</t>
  </si>
  <si>
    <t>Скважинный многоступенчатый насос 3" (75мм) 550 Вт;  напор 79м; макс. расход 2,8 м3/час;  кабель 40м</t>
  </si>
  <si>
    <t>15 592.52 руб.</t>
  </si>
  <si>
    <t>ZGR-001042</t>
  </si>
  <si>
    <t>3SEM1.5/30-0.75kw 50m</t>
  </si>
  <si>
    <t>Скважинный многоступенчатый насос 3" (75мм) 750 Вт;  напор 108м; макс. расход 2,8 м3/час;  кабель 50</t>
  </si>
  <si>
    <t>19 400.03 руб.</t>
  </si>
  <si>
    <t>ZGR-001043</t>
  </si>
  <si>
    <t>3SEM1.5/40-1.1kw 65m</t>
  </si>
  <si>
    <t>Скважинный многоступенчатый насос 3" (75мм) 1100 Вт;  напор 144м; макс. расход 2,8 м3/час;  кабель 6</t>
  </si>
  <si>
    <t>20 020.03 руб.</t>
  </si>
  <si>
    <t>ZGR-001165</t>
  </si>
  <si>
    <t>3SEM1.5/48-1.5kw</t>
  </si>
  <si>
    <t>(В) Скважинный насос 3" (75мм) 1500 Вт;  напор 185м; макс. расход 2,8 м3/час;  резьба 1", без кабеля</t>
  </si>
  <si>
    <t>31 637.08 руб.</t>
  </si>
  <si>
    <t>ZGR-001166</t>
  </si>
  <si>
    <t>3SEM2.5/11-0.37kw 28m</t>
  </si>
  <si>
    <t>Скважинный насос 3" (75мм) 370 Вт;  напор 39м; макс. расход 3,8 м3/час;  резьба 1", кабель 28м</t>
  </si>
  <si>
    <t>12 744.85 руб.</t>
  </si>
  <si>
    <t>ZGR-001167</t>
  </si>
  <si>
    <t>3SEM2.5/17-0.55kw 40m</t>
  </si>
  <si>
    <t>Скважинный насос 3" (75мм) 550 Вт;  напор 60м; макс. расход 3,8 м3/час;  резьба 1", кабель 40м</t>
  </si>
  <si>
    <t>15 959.23 руб.</t>
  </si>
  <si>
    <t>ZGR-001261</t>
  </si>
  <si>
    <t>3SDM2/11-0.37kw 8m</t>
  </si>
  <si>
    <t xml:space="preserve">Скважинный многоступенчатый насос 3" (75мм) 370 Вт;  напор 48м; макс. расход 3,3 м3/час;  кабель 8м </t>
  </si>
  <si>
    <t>10 050.01 руб.</t>
  </si>
  <si>
    <t>ZGR-001262</t>
  </si>
  <si>
    <t>3SDM2/17-0.55kw 8m</t>
  </si>
  <si>
    <t>(В) Скважинный многоступенчатый насос 3" (75мм) 550 Вт;  напор 74м; макс. расход 3,3 м3/час;  кабель</t>
  </si>
  <si>
    <t>13 691.11 руб.</t>
  </si>
  <si>
    <t>ZGR-001263</t>
  </si>
  <si>
    <t>3SDM2/24-0.75kw 8m</t>
  </si>
  <si>
    <t>Скважинный многоступенчатый насос 3" (75мм) 750 Вт;  напор 104м; макс. расход 3,3 м3/час;  кабель 8м</t>
  </si>
  <si>
    <t>13 527.91 руб.</t>
  </si>
  <si>
    <t>ZGR-001316</t>
  </si>
  <si>
    <t>3SEM1.5/48-1.5kw 85m</t>
  </si>
  <si>
    <t>Скважинный насос 3" (75мм) 1800 Вт;  напор 185м; макс. расход 2,8м3/час</t>
  </si>
  <si>
    <t>24 810.76 руб.</t>
  </si>
  <si>
    <t>Скважные насосы диаметр 4&amp;quot; (100мм)</t>
  </si>
  <si>
    <t>ZGR-001026</t>
  </si>
  <si>
    <t>4SDM2/11-0.55kw 20m</t>
  </si>
  <si>
    <t>Скважинный многоступенчатый насос 4" (100мм) 550 Вт;  напор 78м; макс. расход 3,6 м3/час;  кабель 20</t>
  </si>
  <si>
    <t>14 154.77 руб.</t>
  </si>
  <si>
    <t>ZGR-001027</t>
  </si>
  <si>
    <t>4SDM2/14-0.75kw 20m</t>
  </si>
  <si>
    <t>Скважинный многоступенчатый насос 4" (100мм) 750 Вт;  напор 99м; макс. расход 3,6 м3/час;  кабель 20</t>
  </si>
  <si>
    <t>16 044.30 руб.</t>
  </si>
  <si>
    <t>ZGR-001028</t>
  </si>
  <si>
    <t>4SDM2/20-1.1kw 20m</t>
  </si>
  <si>
    <t xml:space="preserve">Скважинный многоступенчатый насос 4" (100мм) 1100 Вт;  напор 142м; макс. расход 3,6 м3/час;  кабель </t>
  </si>
  <si>
    <t>18 085.07 руб.</t>
  </si>
  <si>
    <t>ZGR-001029</t>
  </si>
  <si>
    <t>4SDM4/08-0.55kw 20m</t>
  </si>
  <si>
    <t>Скважинный многоступенчатый насос 4" (100мм)  550 Вт;  напор 57м; макс. расход 6,5 м3/час;  кабель 2</t>
  </si>
  <si>
    <t>13 928.84 руб.</t>
  </si>
  <si>
    <t>ZGR-001030</t>
  </si>
  <si>
    <t>4SDM4/10-0.75kw 20m</t>
  </si>
  <si>
    <t>Скважинный многоступенчатый насос 4" (100мм)  750 Вт;  напор 71м; макс. расход 6,5 м3/час;  кабель 2</t>
  </si>
  <si>
    <t>14 511.03 руб.</t>
  </si>
  <si>
    <t>ZGR-001031</t>
  </si>
  <si>
    <t>4SDM4/14-1.1kw 20m</t>
  </si>
  <si>
    <t xml:space="preserve">Скважинный многоступенчатый насос 4" (100мм)  1100 Вт;  напор 99м; макс. расход 6,5 м3/час;  кабель </t>
  </si>
  <si>
    <t>18 425.29 руб.</t>
  </si>
  <si>
    <t>ZGR-001036</t>
  </si>
  <si>
    <t>4ZED2/07-0.37kw 35m</t>
  </si>
  <si>
    <t>(В) Скважинный многоступенчатый насос 4" (100мм) 370 Вт;  напор 45м; макс. расход 3,2 м3/час;  кабел</t>
  </si>
  <si>
    <t>15 818.54 руб.</t>
  </si>
  <si>
    <t>ZGR-001037</t>
  </si>
  <si>
    <t>4ZED2/09-0.55kw 45m</t>
  </si>
  <si>
    <t>(В) Скважинный многоступенчатый насос 4" (100мм) 550 Вт;  напор 57м; макс. расход 3,2 м3/час;  кабел</t>
  </si>
  <si>
    <t>17 582.37 руб.</t>
  </si>
  <si>
    <t>ZGR-001038</t>
  </si>
  <si>
    <t>4ZED2/12-0.75kw 50m</t>
  </si>
  <si>
    <t>(В) Скважинный многоступенчатый насос 4" (100мм) 750 Вт;  напор 76м; макс. расход 3,2 м3/час;  кабел</t>
  </si>
  <si>
    <t>20 018.15 руб.</t>
  </si>
  <si>
    <t>ZGR-001039</t>
  </si>
  <si>
    <t>4ZED2/18-1.1kw 55m</t>
  </si>
  <si>
    <t xml:space="preserve">Скважинный многоступенчатый насос 4" (100мм) 1100 Вт;  напор 119м; макс. расход 3,2 м3/час;  кабель </t>
  </si>
  <si>
    <t>19 541.22 руб.</t>
  </si>
  <si>
    <t>ZGR-001044</t>
  </si>
  <si>
    <t>4SEM2/08-0.37kw 35m</t>
  </si>
  <si>
    <t>Скважинный многоступенчатый насос 4" (100мм) 370 Вт;  напор 51м; макс. расход 3,2 м3/час;  кабель 35</t>
  </si>
  <si>
    <t>13 932.54 руб.</t>
  </si>
  <si>
    <t>ZGR-001045</t>
  </si>
  <si>
    <t>4SEM2/11-0.55kw 45m</t>
  </si>
  <si>
    <t>Скважинный многоступенчатый насос 4" (100мм) 550 Вт;  напор 65м; макс. расход 3,2 м3/час;  кабель 45</t>
  </si>
  <si>
    <t>17 176.16 руб.</t>
  </si>
  <si>
    <t>ZGR-001046</t>
  </si>
  <si>
    <t>4SEM2/15-0.75kw 50m</t>
  </si>
  <si>
    <t>(В) Скважинный многоступенчатый насос 4" (100мм) 750 Вт;  напор 86м; макс. расход 3,2 м3/час;  кабел</t>
  </si>
  <si>
    <t>21 017.66 руб.</t>
  </si>
  <si>
    <t>ZGR-001047</t>
  </si>
  <si>
    <t>4SEM2/20-1.1kw 55m</t>
  </si>
  <si>
    <t>(В) Скважинный многоступенчатый насос 4" (100мм) 1100 Вт;  напор 125м; макс. расход 3,2 м3/час;  каб</t>
  </si>
  <si>
    <t>25 724.02 руб.</t>
  </si>
  <si>
    <t>ZGR-001135</t>
  </si>
  <si>
    <t>4ZEF2/11-0.55kw 40m</t>
  </si>
  <si>
    <t>Скважинный многоступенчатый насос 4" (100мм) 550 Вт;  напор 70м; макс. расход 3,2 м3/час;  резьба 11</t>
  </si>
  <si>
    <t>14 004.02 руб.</t>
  </si>
  <si>
    <t>ZGR-001136</t>
  </si>
  <si>
    <t>4ZEF2/15-0.75kw 45m</t>
  </si>
  <si>
    <t>Скважинный многоступенчатый насос 4" (100мм) 750 Вт;  напор 91м; макс. расход 3,2 м3/час;  резьба 11</t>
  </si>
  <si>
    <t>17 373.92 руб.</t>
  </si>
  <si>
    <t>ZGR-001137</t>
  </si>
  <si>
    <t>4ZEF2/21-1.1kw 55m</t>
  </si>
  <si>
    <t xml:space="preserve">Скважинный многоступенчатый насос 4" (100мм) 1100 Вт;  напор 130м; макс. расход 3,2 м3/час;  резьба </t>
  </si>
  <si>
    <t>22 153.09 руб.</t>
  </si>
  <si>
    <t>ZGR-001138</t>
  </si>
  <si>
    <t>4SEM2/14-0.75kw 50m</t>
  </si>
  <si>
    <t>(В) Скважинный многоступенчатый насос 4" (100мм) 1700 Вт;  напор 86м; макс. расход 3,2 м3/час;  резь</t>
  </si>
  <si>
    <t>ZGR-001151</t>
  </si>
  <si>
    <t>4ZEF2/08-0.37kw-30m</t>
  </si>
  <si>
    <t>(В) Скважинный насос 4" (100мм) 370 Вт;  напор 50м; макс. расход 3,2 м3/час;  резьба 11/4, кабель 30</t>
  </si>
  <si>
    <t>16 134.34 руб.</t>
  </si>
  <si>
    <t>ZGR-001152</t>
  </si>
  <si>
    <t>4ZEF2/29-1.5kw-60m</t>
  </si>
  <si>
    <t xml:space="preserve">(В) Скважинный насос 4" (100мм) 1500 Вт;  напор 184м; макс. расход 3,2 м3/час;  резьба 11/4, кабель </t>
  </si>
  <si>
    <t>33 666.57 руб.</t>
  </si>
  <si>
    <t>ZGR-001168</t>
  </si>
  <si>
    <t>4SEM2/27-1.5kw</t>
  </si>
  <si>
    <t>Скважинный многоступенчатый насос 4" (100мм) 1500 Вт;  напор 146м; макс. расход 3,2 м3/час</t>
  </si>
  <si>
    <t>18 572.97 руб.</t>
  </si>
  <si>
    <t>ZGR-001169</t>
  </si>
  <si>
    <t>4SRM8/06-0.55kw</t>
  </si>
  <si>
    <t>Скваж многоступ насос 4" (100мм) 550 Вт;  напор 37м; макс. расход 11м3/час; резьба 11/2,  без кабеля</t>
  </si>
  <si>
    <t>12 838.16 руб.</t>
  </si>
  <si>
    <t>ZGR-001170</t>
  </si>
  <si>
    <t>4SRM8/08-0.75kw</t>
  </si>
  <si>
    <t>Скваж многоступ насос 4" (100мм) 750 Вт;  напор 49м; макс. расход 11м3/час; резьба 11/2,  без кабеля</t>
  </si>
  <si>
    <t>14 910.86 руб.</t>
  </si>
  <si>
    <t>ZGR-001171</t>
  </si>
  <si>
    <t>4SRM8/10-1.1kw</t>
  </si>
  <si>
    <t>Скваж многоступ насос 4" (100мм) 1100 Вт;  напор 61м; макс. расход 11м3/час; резьба 11/2,  без кабел</t>
  </si>
  <si>
    <t>16 058.44 руб.</t>
  </si>
  <si>
    <t>ZGR-001172</t>
  </si>
  <si>
    <t>4SRM8/13-1.5kw</t>
  </si>
  <si>
    <t>Скваж многоступ насос 4" (100мм) 1500 Вт;  напор 79м; макс. расход 11м3/час; резьба 11/2,  без кабел</t>
  </si>
  <si>
    <t>20 717.11 руб.</t>
  </si>
  <si>
    <t>ZGR-001173</t>
  </si>
  <si>
    <t>4SRM8/18-2.2kw</t>
  </si>
  <si>
    <t>Скваж многоступ насос 4" (100мм) 2200 Вт;  напор 110м; макс. расход 11м3/час; резьба 11/2,  без кабе</t>
  </si>
  <si>
    <t>21 907.34 руб.</t>
  </si>
  <si>
    <t>Скважные погружные насосы ZEGOR PRO</t>
  </si>
  <si>
    <t>ZGR-001307</t>
  </si>
  <si>
    <t>3.5ZEF2/40-20m (D)</t>
  </si>
  <si>
    <t>PRO Скважинный насос 3,5" (90мм) 250 Вт;  напор 41м; макс. расход 2,7 м3/час;  кабель 20м</t>
  </si>
  <si>
    <t>12 044.75 руб.</t>
  </si>
  <si>
    <t>ZGR-001308</t>
  </si>
  <si>
    <t>3.5ZEF2/55-30m (D)</t>
  </si>
  <si>
    <t>PRO Скважинный насос 3,5" (90мм) 370 Вт;  напор 59м; макс. расход 2,7 м3/час;  кабель 30м</t>
  </si>
  <si>
    <t>14 116.31 руб.</t>
  </si>
  <si>
    <t>ZGR-001309</t>
  </si>
  <si>
    <t>3.5ZEF2/80-40m (D)</t>
  </si>
  <si>
    <t>PRO Скважинный насос 3,5" (90мм) 550 Вт;  напор 82м; макс. расход 2,7 м3/час;  кабель 40м</t>
  </si>
  <si>
    <t>17 286.29 руб.</t>
  </si>
  <si>
    <t>ZGR-001310</t>
  </si>
  <si>
    <t>3.5ZEF2/105-50m (D)</t>
  </si>
  <si>
    <t>PRO Скважинный насос 3,5" (90мм) 750 Вт;  напор 106м; макс. расход 2,7 м3/час;  кабель 50м</t>
  </si>
  <si>
    <t>21 097.25 руб.</t>
  </si>
  <si>
    <t>ZGR-001311</t>
  </si>
  <si>
    <t>3ZED2/45-20m(D)</t>
  </si>
  <si>
    <t>PRO Скважинный насос 3" (75мм) 250 Вт;  напор 47м; макс. расход 2,7 м3/час;  кабель 20м</t>
  </si>
  <si>
    <t>10 324.69 руб.</t>
  </si>
  <si>
    <t>ZGR-001312</t>
  </si>
  <si>
    <t>3ZED2/60-30m(D)</t>
  </si>
  <si>
    <t>PRO Скважинный насос 3" (75мм) 370 Вт;  напор 64м; макс. расход 2,7 м3/час;  кабель 30м</t>
  </si>
  <si>
    <t>12 337.64 руб.</t>
  </si>
  <si>
    <t>ZGR-001313</t>
  </si>
  <si>
    <t>3ZED2/80-40m(D)</t>
  </si>
  <si>
    <t>PRO Скважинный насос 3" (75мм) 550 Вт;  напор 89м; макс. расход 2,7 м3/час;  кабель 40м</t>
  </si>
  <si>
    <t>15 884.14 руб.</t>
  </si>
  <si>
    <t>ZGR-001314</t>
  </si>
  <si>
    <t>3ZED2/115-50m(D)</t>
  </si>
  <si>
    <t>PRO Скважинный насос 3" (75мм) 750 Вт;  напор 115м; макс. расход 2,7 м3/час;  кабель 50м</t>
  </si>
  <si>
    <t>19 482.62 руб.</t>
  </si>
  <si>
    <t>ZGR-001315</t>
  </si>
  <si>
    <t>3ZED2/140-60m(D)</t>
  </si>
  <si>
    <t>PRO Скважинный насос 3" (75мм) 920 Вт;  напор 141м; макс. расход 2,7 м3/час;  кабель 60м</t>
  </si>
  <si>
    <t>22 800.96 руб.</t>
  </si>
  <si>
    <t>ZGR-001317</t>
  </si>
  <si>
    <t>3SEM2/30-20m PRO</t>
  </si>
  <si>
    <t>PRO Скважинный насос 3" (75мм) 180 Вт;  напор 34м; макс. расход 2,7 м3/час;  кабель 20м</t>
  </si>
  <si>
    <t>10 379.56 руб.</t>
  </si>
  <si>
    <t>ZGR-001318</t>
  </si>
  <si>
    <t>3SEM2/45-20m PRO</t>
  </si>
  <si>
    <t>11 118.90 руб.</t>
  </si>
  <si>
    <t>ZGR-001319</t>
  </si>
  <si>
    <t>3SEM2/60-30m PRO</t>
  </si>
  <si>
    <t>13 131.85 руб.</t>
  </si>
  <si>
    <t>ZGR-001320</t>
  </si>
  <si>
    <t>3SEM2/85-40m PRO</t>
  </si>
  <si>
    <t>16 675.46 руб.</t>
  </si>
  <si>
    <t>ZGR-001321</t>
  </si>
  <si>
    <t>3SEM2/115-50m PRO</t>
  </si>
  <si>
    <t>20 276.82 руб.</t>
  </si>
  <si>
    <t>ZGR-001322</t>
  </si>
  <si>
    <t>3SEM2/140-60m PRO</t>
  </si>
  <si>
    <t>23 595.16 руб.</t>
  </si>
  <si>
    <t>ZGR-001323</t>
  </si>
  <si>
    <t>3SEM3/20-15m PRO</t>
  </si>
  <si>
    <t>PRO Скважинный насос 3" (75мм) 180 Вт;  напор 24м; макс. расход 3,9 м3/час;  кабель 15м</t>
  </si>
  <si>
    <t>9 920.37 руб.</t>
  </si>
  <si>
    <t>ZGR-001324</t>
  </si>
  <si>
    <t>3SEM3/40-20m PRO</t>
  </si>
  <si>
    <t>PRO Скважинный насос 3" (75мм) 370 Вт;  напор 44м; макс. расход 3,9 м3/час;  кабель 20м</t>
  </si>
  <si>
    <t>12 138.37 руб.</t>
  </si>
  <si>
    <t>ZGR-001325</t>
  </si>
  <si>
    <t>3SEM3/60-30m PRO</t>
  </si>
  <si>
    <t>PRO Скважинный насос 3" (75мм) 550 Вт;  напор 64м; макс. расход 3,9 м3/час;  кабель 30м</t>
  </si>
  <si>
    <t>14 789.58 руб.</t>
  </si>
  <si>
    <t>ZGR-001326</t>
  </si>
  <si>
    <t>3SEM3/80-40m PRO</t>
  </si>
  <si>
    <t>PRO Скважинный насос 3" (75мм) 750 Вт;  напор 84м; макс. расход 3,9 м3/час;  кабель 40м</t>
  </si>
  <si>
    <t>17 810.45 руб.</t>
  </si>
  <si>
    <t>ZGR-001327</t>
  </si>
  <si>
    <t>3SEM3/100-50m PRO</t>
  </si>
  <si>
    <t>PRO Скважинный насос 3" (75мм) 920 Вт;  напор 104м; макс. расход 3,9 м3/час;  кабель 50м</t>
  </si>
  <si>
    <t>21 639.97 руб.</t>
  </si>
  <si>
    <t>Скважные погружные насосы UNIPUMP</t>
  </si>
  <si>
    <t>Погружные насосы 3,5&amp;quot; ECO MIDI</t>
  </si>
  <si>
    <t>UNI-101289</t>
  </si>
  <si>
    <t>Погружной  скважинный насос ECO MIDI-0 (0,37 кВт, 20 м)</t>
  </si>
  <si>
    <t>17 927.00 руб.</t>
  </si>
  <si>
    <t>UNI-101290</t>
  </si>
  <si>
    <t>Погружной  скважинный насос ECO MIDI-1 (0,55кВт, 30м)</t>
  </si>
  <si>
    <t>21 125.00 руб.</t>
  </si>
  <si>
    <t>UNI-101291</t>
  </si>
  <si>
    <t>Погружной  скважинный насос ECO MIDI-2 (0,55 кВт, 40м)</t>
  </si>
  <si>
    <t>22 612.00 руб.</t>
  </si>
  <si>
    <t>UNI-101292</t>
  </si>
  <si>
    <t>Погружной  скважинный насос ECO MIDI-3 (0,75кВт, 2м)</t>
  </si>
  <si>
    <t>19 224.00 руб.</t>
  </si>
  <si>
    <t>UNI-101293</t>
  </si>
  <si>
    <t>Погружной  скважинный насос ECO MIDI-4 (1,1кВт, 2м)</t>
  </si>
  <si>
    <t>22 233.00 руб.</t>
  </si>
  <si>
    <t>UNI-101294</t>
  </si>
  <si>
    <t>Погружной  скважинный насос ECO MIDI-5 (1,5кВт, 2м)</t>
  </si>
  <si>
    <t>25 352.00 руб.</t>
  </si>
  <si>
    <t>Погружные насосы 3,5&amp;quot; БЦП, ECO RUS (БЭЗ)</t>
  </si>
  <si>
    <t>UNI-101296</t>
  </si>
  <si>
    <t>Погружной насос БЦП  3,5-0,63-36 (370 Вт,1 м) ном Q2,2 м³/ч-36</t>
  </si>
  <si>
    <t>9 623.00 руб.</t>
  </si>
  <si>
    <t>UNI-101297</t>
  </si>
  <si>
    <t>Погружной насос БЦП  3,5-0,63-36 (370 Вт,15 м) ном Q2,2 м³/ч-36</t>
  </si>
  <si>
    <t>10 098.00 руб.</t>
  </si>
  <si>
    <t>UNI-101298</t>
  </si>
  <si>
    <t>Погружной насос БЦП  3,5-0,63-45 (550 Вт,1 м) ном Q2,2 м³/ч-45</t>
  </si>
  <si>
    <t>11 288.00 руб.</t>
  </si>
  <si>
    <t>UNI-101299</t>
  </si>
  <si>
    <t>Погружной насос БЦП  3,5-0,63-55 (750 Вт,1 м) ном Q2,2 м³/ч-55</t>
  </si>
  <si>
    <t>12 891.00 руб.</t>
  </si>
  <si>
    <t>UNI-101300</t>
  </si>
  <si>
    <t>Погружной насос БЦП 3,5-0,5-110 (1300 Вт,1 м) ном Q1,8 м³/ч-110</t>
  </si>
  <si>
    <t>18 477.00 руб.</t>
  </si>
  <si>
    <t>UNI-101301</t>
  </si>
  <si>
    <t>Погружной насос БЦП 3,5-0,5-150 (1800 Вт,1 м) ном Q1,8 м³/ч-150</t>
  </si>
  <si>
    <t>22 524.00 руб.</t>
  </si>
  <si>
    <t>UNI-101302</t>
  </si>
  <si>
    <t>Погружной насос БЦП 3,5-0,5-40 (370 Вт,1 м) ном Q1,8 м³/ч-40</t>
  </si>
  <si>
    <t>11 816.00 руб.</t>
  </si>
  <si>
    <t>UNI-101303</t>
  </si>
  <si>
    <t>Погружной насос БЦП 3,5-0,5-40 В (370 Вт,20 м с вилкой) ном Q1,8 м³/ч-40</t>
  </si>
  <si>
    <t>14 579.00 руб.</t>
  </si>
  <si>
    <t>UNI-101304</t>
  </si>
  <si>
    <t>Погружной насос БЦП 3,5-0,5-65 В (750 Вт,45 м с вилкой) ном Q1,8 м³/ч-65</t>
  </si>
  <si>
    <t>19 518.00 руб.</t>
  </si>
  <si>
    <t>UNI-101305</t>
  </si>
  <si>
    <t>Погружной скважинный насос ECO RUS 1-100 (0,75 кВт, 1 м)</t>
  </si>
  <si>
    <t>19 057.00 руб.</t>
  </si>
  <si>
    <t>UNI-101306</t>
  </si>
  <si>
    <t>Погружной скважинный насос ECO RUS 1-100 (0,75 кВт, 50 м)</t>
  </si>
  <si>
    <t>23 880.00 руб.</t>
  </si>
  <si>
    <t>UNI-101307</t>
  </si>
  <si>
    <t>Погружной скважинный насос ECO RUS 1-140 (1,3 кВт, 1 м)</t>
  </si>
  <si>
    <t>23 354.00 руб.</t>
  </si>
  <si>
    <t>UNI-101308</t>
  </si>
  <si>
    <t>Погружной скважинный насос ECO RUS 1-40 (0,37 кВт, 1 м)</t>
  </si>
  <si>
    <t>12 847.00 руб.</t>
  </si>
  <si>
    <t>UNI-101309</t>
  </si>
  <si>
    <t>Погружной скважинный насос ECO RUS 1-40 (0,37 кВт, 35 м)</t>
  </si>
  <si>
    <t>15 907.00 руб.</t>
  </si>
  <si>
    <t>UNI-101310</t>
  </si>
  <si>
    <t>Погружной скважинный насос ECO RUS 1-60 (0,55 кВт, 1 м)</t>
  </si>
  <si>
    <t>14 517.00 руб.</t>
  </si>
  <si>
    <t>UNI-101311</t>
  </si>
  <si>
    <t>Погружной скважинный насос ECO RUS 1-60 (0,55 кВт, 45 м)</t>
  </si>
  <si>
    <t>18 245.00 руб.</t>
  </si>
  <si>
    <t>UNI-101312</t>
  </si>
  <si>
    <t>Погружной скважинный насос ECO RUS 1-80 (0,75 кВт, 1 м)</t>
  </si>
  <si>
    <t>16 659.00 руб.</t>
  </si>
  <si>
    <t>UNI-101313</t>
  </si>
  <si>
    <t>Погружной скважинный насос ECO RUS 1-80 (0,75 кВт, 50 м)</t>
  </si>
  <si>
    <t>21 165.00 руб.</t>
  </si>
  <si>
    <t>UNI-101314</t>
  </si>
  <si>
    <t>Погружной скважинный насос ECO RUS 2-100 (1,3 кВт, 1 м)</t>
  </si>
  <si>
    <t>21 510.00 руб.</t>
  </si>
  <si>
    <t>UNI-101315</t>
  </si>
  <si>
    <t>Погружной скважинный насос ECO RUS 2-100 (1,3 кВт, 50 м)</t>
  </si>
  <si>
    <t>29 388.00 руб.</t>
  </si>
  <si>
    <t>UNI-101316</t>
  </si>
  <si>
    <t>Погружной скважинный насос ECO RUS 2-130 (1,8 кВт, 1 м)</t>
  </si>
  <si>
    <t>26 480.00 руб.</t>
  </si>
  <si>
    <t>UNI-101317</t>
  </si>
  <si>
    <t>Погружной скважинный насос ECO RUS 2-35 (0,37 кВт, 35 м)</t>
  </si>
  <si>
    <t>16 537.00 руб.</t>
  </si>
  <si>
    <t>UNI-101318</t>
  </si>
  <si>
    <t>Погружной скважинный насос ECO RUS 2-45 (0,55 кВт, 1 м)</t>
  </si>
  <si>
    <t>14 389.00 руб.</t>
  </si>
  <si>
    <t>UNI-101319</t>
  </si>
  <si>
    <t>Погружной скважинный насос ECO RUS 2-45 (0,55 кВт, 45 м)</t>
  </si>
  <si>
    <t>18 258.00 руб.</t>
  </si>
  <si>
    <t>UNI-101320</t>
  </si>
  <si>
    <t>Погружной скважинный насос ECO RUS 2-55 (0,75 кВт, 1 м)</t>
  </si>
  <si>
    <t>16 029.00 руб.</t>
  </si>
  <si>
    <t>UNI-101321</t>
  </si>
  <si>
    <t>Погружной скважинный насос ECO RUS 2-55 (0,75 кВт, 50 м)</t>
  </si>
  <si>
    <t>21 371.00 руб.</t>
  </si>
  <si>
    <t>UNI-101322</t>
  </si>
  <si>
    <t>Погружной скважинный насос ECO RUS 2-65 (0,9 кВт, 1 м)</t>
  </si>
  <si>
    <t>17 433.00 руб.</t>
  </si>
  <si>
    <t>UNI-101323</t>
  </si>
  <si>
    <t>Погружной скважинный насос ECO RUS 2-65 (0,9 кВт, 50 м)</t>
  </si>
  <si>
    <t>22 827.00 руб.</t>
  </si>
  <si>
    <t>UNI-101324</t>
  </si>
  <si>
    <t>Погружной скважинный насос ECO RUS 4-110 swim (2,8 кВт, 1 м)</t>
  </si>
  <si>
    <t>26 597.00 руб.</t>
  </si>
  <si>
    <t>UNI-101325</t>
  </si>
  <si>
    <t>Погружной скважинный насос ECO RUS 4-28 swim (0,75 кВт, 30 м)</t>
  </si>
  <si>
    <t>17 461.00 руб.</t>
  </si>
  <si>
    <t>UNI-101326</t>
  </si>
  <si>
    <t>Погружной скважинный насос ECO RUS 4-33 (0,75 кВт, 1 м)</t>
  </si>
  <si>
    <t>15 316.00 руб.</t>
  </si>
  <si>
    <t>UNI-101327</t>
  </si>
  <si>
    <t>Погружной скважинный насос ECO RUS 4-33 (0,75 кВт, 35 м)</t>
  </si>
  <si>
    <t>18 284.00 руб.</t>
  </si>
  <si>
    <t>UNI-101328</t>
  </si>
  <si>
    <t>Погружной скважинный насос ECO RUS 4-38 swim (0,9 кВт, 40 м)</t>
  </si>
  <si>
    <t>24 078.00 руб.</t>
  </si>
  <si>
    <t>UNI-101329</t>
  </si>
  <si>
    <t>Погружной скважинный насос ECO RUS 4-40 (0,9 кВт, 1 м)</t>
  </si>
  <si>
    <t>15 970.00 руб.</t>
  </si>
  <si>
    <t>UNI-101330</t>
  </si>
  <si>
    <t>Погружной скважинный насос ECO RUS 4-40 (0,9 кВт, 40 м)</t>
  </si>
  <si>
    <t>20 126.00 руб.</t>
  </si>
  <si>
    <t>UNI-101331</t>
  </si>
  <si>
    <t>Погружной скважинный насос ECO RUS 4-50 (1,3 кВт, 1 м)</t>
  </si>
  <si>
    <t>UNI-101332</t>
  </si>
  <si>
    <t>Погружной скважинный насос ECO RUS 4-50 (1,3 кВт, 50 м)</t>
  </si>
  <si>
    <t>25 258.00 руб.</t>
  </si>
  <si>
    <t>UNI-101333</t>
  </si>
  <si>
    <t>Погружной скважинный насос ECO RUS 4-53 swim (1,3 кВт, 1 м)</t>
  </si>
  <si>
    <t>17 420.00 руб.</t>
  </si>
  <si>
    <t>UNI-101334</t>
  </si>
  <si>
    <t>Погружной скважинный насос ECO RUS 4-53 swim (1,3 кВт, 50 м)</t>
  </si>
  <si>
    <t>30 916.00 руб.</t>
  </si>
  <si>
    <t>UNI-101335</t>
  </si>
  <si>
    <t>Погружной скважинный насос ECO RUS 4-75 (1,8 кВт, 1 м)</t>
  </si>
  <si>
    <t>23 457.00 руб.</t>
  </si>
  <si>
    <t>UNI-101336</t>
  </si>
  <si>
    <t>Погружной скважинный насос ECO RUS 4-78 swim (1,8 кВт, 1 м)</t>
  </si>
  <si>
    <t>22 849.00 руб.</t>
  </si>
  <si>
    <t>UNI-101337</t>
  </si>
  <si>
    <t>Погружной скважинный насос ECO RUS 4-90 swim (2,2 кВт, 1 м)</t>
  </si>
  <si>
    <t>23 993.00 руб.</t>
  </si>
  <si>
    <t>Погружные насосы 3&amp;quot; ECO MINI</t>
  </si>
  <si>
    <t>UNI-101270</t>
  </si>
  <si>
    <t>Погружной насоc 3" MINI ECO 1-98 (0,75 кВт, 40 м)</t>
  </si>
  <si>
    <t>23 865.00 руб.</t>
  </si>
  <si>
    <t>UNI-101271</t>
  </si>
  <si>
    <t>Погружной насос 3" MINI ECO 1-127 (1,1 кВт, 50 м)</t>
  </si>
  <si>
    <t>30 155.00 руб.</t>
  </si>
  <si>
    <t>UNI-101272</t>
  </si>
  <si>
    <t>Погружной насос 3" MINI ECO 1-154 (1,5 кВт, 50 м)</t>
  </si>
  <si>
    <t>33 596.00 руб.</t>
  </si>
  <si>
    <t>UNI-101273</t>
  </si>
  <si>
    <t>Погружной насос 3" MINI ECO 1-35 (0,25 кВТ, 20 м)</t>
  </si>
  <si>
    <t>14 091.00 руб.</t>
  </si>
  <si>
    <t>UNI-101274</t>
  </si>
  <si>
    <t>Погружной насос 3" MINI ECO 1-49 (0,37 кВт, 30 м)</t>
  </si>
  <si>
    <t>17 483.00 руб.</t>
  </si>
  <si>
    <t>UNI-101275</t>
  </si>
  <si>
    <t>Погружной насос 3" MINI ECO 1-70 (0,55 кВт, 30 м)</t>
  </si>
  <si>
    <t>19 763.00 руб.</t>
  </si>
  <si>
    <t>UNI-101276</t>
  </si>
  <si>
    <t>Погружной насос 3" MINI ECO 2-108 (1,5 кВт, 50 м)</t>
  </si>
  <si>
    <t>32 542.00 руб.</t>
  </si>
  <si>
    <t>UNI-101277</t>
  </si>
  <si>
    <t>Погружной насос 3" MINI ECO 2-32 (0,37 кВт, 30 м)</t>
  </si>
  <si>
    <t>15 954.00 руб.</t>
  </si>
  <si>
    <t>UNI-101278</t>
  </si>
  <si>
    <t>Погружной насос 3" MINI ECO 2-49 (0,55 кВт, 30 м)</t>
  </si>
  <si>
    <t>19 068.00 руб.</t>
  </si>
  <si>
    <t>UNI-101279</t>
  </si>
  <si>
    <t>Погружной насос 3" MINI ECO 2-68 (0,75 кВт, 40 м)</t>
  </si>
  <si>
    <t>22 584.00 руб.</t>
  </si>
  <si>
    <t>UNI-101280</t>
  </si>
  <si>
    <t>Погружной насос 3" MINI ECO 2-87 (1,1 кВт, 50 м)</t>
  </si>
  <si>
    <t>28 712.00 руб.</t>
  </si>
  <si>
    <t>UNI-101281</t>
  </si>
  <si>
    <t>Погружной насос 3" MINI ECO 3-100 (2 кВт, 50 м)</t>
  </si>
  <si>
    <t>37 962.00 руб.</t>
  </si>
  <si>
    <t>UNI-101282</t>
  </si>
  <si>
    <t>Погружной насос 3" MINI ECO 3-46 (0,75 кВт, 40 м)</t>
  </si>
  <si>
    <t>21 440.00 руб.</t>
  </si>
  <si>
    <t>UNI-101283</t>
  </si>
  <si>
    <t>Погружной насос 3" MINI ECO 3-62 (1,1 кВт, 50 м)</t>
  </si>
  <si>
    <t>28 176.00 руб.</t>
  </si>
  <si>
    <t>UNI-101284</t>
  </si>
  <si>
    <t>Погружной насос 3" MINI ECO 4-35 (0,75 кВт, 40 м)</t>
  </si>
  <si>
    <t>22 829.00 руб.</t>
  </si>
  <si>
    <t>UNI-101285</t>
  </si>
  <si>
    <t>Погружной насос 3" MINI ECO 4-50 (1,1 кВт, 50 м)</t>
  </si>
  <si>
    <t>28 083.00 руб.</t>
  </si>
  <si>
    <t>UNI-101286</t>
  </si>
  <si>
    <t>Погружной насос 3" MINI ECO 4-60 (1,5 кВт, 50 м)</t>
  </si>
  <si>
    <t>31 617.00 руб.</t>
  </si>
  <si>
    <t>UNI-101287</t>
  </si>
  <si>
    <t>Погружной насос 3" MINI ECO 4-72 (2 кВТ, 50 м)</t>
  </si>
  <si>
    <t>36 723.00 руб.</t>
  </si>
  <si>
    <t>Погружные насосы 4&amp;quot; ECO</t>
  </si>
  <si>
    <t>UNI-101339</t>
  </si>
  <si>
    <t>Погружной насос 4" ECO 2-100  (1.1 кВт,1 м)</t>
  </si>
  <si>
    <t>23 237.00 руб.</t>
  </si>
  <si>
    <t>UNI-101340</t>
  </si>
  <si>
    <t>Погружной насос 4" ECO 2-112  (1.5 кВт,1 м)</t>
  </si>
  <si>
    <t>25 540.00 руб.</t>
  </si>
  <si>
    <t>UNI-101341</t>
  </si>
  <si>
    <t>Погружной насос 4" ECO 2-157  (2.2 кВт,1 м)</t>
  </si>
  <si>
    <t>26 558.00 руб.</t>
  </si>
  <si>
    <t>UNI-101342</t>
  </si>
  <si>
    <t>Погружной насос 4" ECO 2-34  (0.37 кВт,10 м)</t>
  </si>
  <si>
    <t>17 354.00 руб.</t>
  </si>
  <si>
    <t>UNI-101343</t>
  </si>
  <si>
    <t>Погружной насос 4" ECO 2-56  (0.55 кВт,30 м)</t>
  </si>
  <si>
    <t>20 195.00 руб.</t>
  </si>
  <si>
    <t>UNI-101344</t>
  </si>
  <si>
    <t>Погружной насос 4" ECO 2-73  (0.75 кВт,40 м)</t>
  </si>
  <si>
    <t>24 057.00 руб.</t>
  </si>
  <si>
    <t>UNI-101345</t>
  </si>
  <si>
    <t>Погружной насос 4" ECO 2-89  (0.9 кВт,50 м)</t>
  </si>
  <si>
    <t>28 064.00 руб.</t>
  </si>
  <si>
    <t>UNI-101346</t>
  </si>
  <si>
    <t>Погружной насос 4" ECO 3-115  (2.2 кВт,1 м)</t>
  </si>
  <si>
    <t>28 979.00 руб.</t>
  </si>
  <si>
    <t>UNI-101347</t>
  </si>
  <si>
    <t>Погружной насос 4" ECO 3-150 (3 кВт, 1 м)</t>
  </si>
  <si>
    <t>35 573.00 руб.</t>
  </si>
  <si>
    <t>UNI-101348</t>
  </si>
  <si>
    <t>Погружной насос 4" ECO 3-40  (0.55 кВт,20 м)</t>
  </si>
  <si>
    <t>19 301.00 руб.</t>
  </si>
  <si>
    <t>UNI-101349</t>
  </si>
  <si>
    <t>Погружной насос 4" ECO 3-55  (0.75 кВт,30 м)</t>
  </si>
  <si>
    <t>22 624.00 руб.</t>
  </si>
  <si>
    <t>UNI-101350</t>
  </si>
  <si>
    <t>Погружной насос 4" ECO 3-70  (0.9 кВт,40 м)</t>
  </si>
  <si>
    <t>26 796.00 руб.</t>
  </si>
  <si>
    <t>UNI-101351</t>
  </si>
  <si>
    <t>Погружной насос 4" ECO 3-80  (1.1 кВт,50 м)</t>
  </si>
  <si>
    <t>29 728.00 руб.</t>
  </si>
  <si>
    <t>UNI-101352</t>
  </si>
  <si>
    <t>Погружной насос 4" ECO 3-90  (1.5 кВт,1 м)</t>
  </si>
  <si>
    <t>25 464.00 руб.</t>
  </si>
  <si>
    <t>UNI-101353</t>
  </si>
  <si>
    <t>Погружной насос 4" ECO 4-104  (2.2 кВт,1 м)</t>
  </si>
  <si>
    <t>28 468.00 руб.</t>
  </si>
  <si>
    <t>UNI-101354</t>
  </si>
  <si>
    <t>Погружной насос 4" ECO 4-132 (3 кВт, 1 м)</t>
  </si>
  <si>
    <t>34 684.00 руб.</t>
  </si>
  <si>
    <t>UNI-101355</t>
  </si>
  <si>
    <t>Погружной насос 4" ECO 4-142  (3 кВт,1 м)</t>
  </si>
  <si>
    <t>35 531.00 руб.</t>
  </si>
  <si>
    <t>UNI-101356</t>
  </si>
  <si>
    <t>Погружной насос 4" ECO 4-76  (1.5 кВт,50 м)</t>
  </si>
  <si>
    <t>33 752.00 руб.</t>
  </si>
  <si>
    <t>UNI-101357</t>
  </si>
  <si>
    <t>Погружной насос 4" ECO 5-105  (3 кВт, 1 м)</t>
  </si>
  <si>
    <t>34 702.00 руб.</t>
  </si>
  <si>
    <t>UNI-101358</t>
  </si>
  <si>
    <t>Погружной насос 4" ECO 5-60  (1.5 кВт, 30 м)</t>
  </si>
  <si>
    <t>29 351.00 руб.</t>
  </si>
  <si>
    <t>UNI-101359</t>
  </si>
  <si>
    <t>Погружной насос 4" ECO 5-75  (2.2 кВт, 1 м)</t>
  </si>
  <si>
    <t>27 963.00 руб.</t>
  </si>
  <si>
    <t>UNI-101361</t>
  </si>
  <si>
    <t>Погружной скважинный насос ECO-AUTOMAT  (0.75kW,20 м)</t>
  </si>
  <si>
    <t>34 255.00 руб.</t>
  </si>
  <si>
    <t>UNI-101363</t>
  </si>
  <si>
    <t>Погружной насос ECO FLOAT-1 с попл. выкл., 340Вт</t>
  </si>
  <si>
    <t>21 754.00 руб.</t>
  </si>
  <si>
    <t>UNI-101364</t>
  </si>
  <si>
    <t>Погружной насос ECO FLOAT-2 с попл. выкл., 410Вт</t>
  </si>
  <si>
    <t>23 024.00 руб.</t>
  </si>
  <si>
    <t>UNI-101365</t>
  </si>
  <si>
    <t>Погружной насос ECO FLOAT-3 с попл. выкл., 480Вт</t>
  </si>
  <si>
    <t>23 871.00 руб.</t>
  </si>
  <si>
    <t>Погружные насосы ЭЦВ 4&amp;quot; (Китай)</t>
  </si>
  <si>
    <t>UNI-101383</t>
  </si>
  <si>
    <t>Насос ЭЦВ 4-10-108 (пр.часть,двиг.5,5 кВт)</t>
  </si>
  <si>
    <t>51 117.00 руб.</t>
  </si>
  <si>
    <t>UNI-101384</t>
  </si>
  <si>
    <t>Насос ЭЦВ 4-10-54 (пр часть, двиг.2,2 кВт)</t>
  </si>
  <si>
    <t>31 347.00 руб.</t>
  </si>
  <si>
    <t>UNI-101385</t>
  </si>
  <si>
    <t>Насос ЭЦВ 4-10-65 (пр часть, двиг.3 кВт)</t>
  </si>
  <si>
    <t>37 726.00 руб.</t>
  </si>
  <si>
    <t>UNI-101386</t>
  </si>
  <si>
    <t>Насос ЭЦВ 4-16-77 (пр.часть, двиг.7,5 кВт)</t>
  </si>
  <si>
    <t>55 719.00 руб.</t>
  </si>
  <si>
    <t>UNI-101387</t>
  </si>
  <si>
    <t>Насос ЭЦВ 4-20-60 (пр. часть, двиг.7,5 кВт)</t>
  </si>
  <si>
    <t>55 267.00 руб.</t>
  </si>
  <si>
    <t>UNI-101388</t>
  </si>
  <si>
    <t>Насос ЭЦВ 4-6-114 (пр часть, двиг.3 кВт)</t>
  </si>
  <si>
    <t>38 317.00 руб.</t>
  </si>
  <si>
    <t>UNI-101389</t>
  </si>
  <si>
    <t>Насос ЭЦВ 4-6-140 (пр часть, двиг.4 кВт)</t>
  </si>
  <si>
    <t>44 771.00 руб.</t>
  </si>
  <si>
    <t>UNI-101390</t>
  </si>
  <si>
    <t>Насос ЭЦВ 4-6-189 (пр.часть, двиг.7,5 кВт)</t>
  </si>
  <si>
    <t>56 938.00 руб.</t>
  </si>
  <si>
    <t>UNI-101391</t>
  </si>
  <si>
    <t>Насос ЭЦВ 4-6-87 (пр часть, двиг.2,2 кВт)</t>
  </si>
  <si>
    <t>31 540.00 руб.</t>
  </si>
  <si>
    <t>UNI-101392</t>
  </si>
  <si>
    <t>Насос ЭЦВ 4-8-110 (пр. часть, двиг.4 кВт)</t>
  </si>
  <si>
    <t>43 271.00 руб.</t>
  </si>
  <si>
    <t>UNI-101393</t>
  </si>
  <si>
    <t>Насос ЭЦВ 4-8-75 (пр. часть, двиг.3 кВт)</t>
  </si>
  <si>
    <t>33 939.00 руб.</t>
  </si>
  <si>
    <t>Погружные насосы ЭЦВ 4&amp;quot; (Россия, БЭЗ)</t>
  </si>
  <si>
    <t>UNI-101367</t>
  </si>
  <si>
    <t>Насос скваж. ЭЦВ 4-2-130 (1500 Вт), (Россия, БЭЗ)</t>
  </si>
  <si>
    <t>28 731.00 руб.</t>
  </si>
  <si>
    <t>UNI-101368</t>
  </si>
  <si>
    <t>Насос скваж. ЭЦВ 4-2-45 (370 Вт), (Россия, БЭЗ)</t>
  </si>
  <si>
    <t>16 928.00 руб.</t>
  </si>
  <si>
    <t>UNI-101369</t>
  </si>
  <si>
    <t>Насос скваж. ЭЦВ 4-2-60 (550 Вт), (Россия, БЭЗ)</t>
  </si>
  <si>
    <t>18 905.00 руб.</t>
  </si>
  <si>
    <t>UNI-101370</t>
  </si>
  <si>
    <t>Насос скваж. ЭЦВ 4-2-70 (750 Вт), (Россия, БЭЗ)</t>
  </si>
  <si>
    <t>21 376.00 руб.</t>
  </si>
  <si>
    <t>UNI-101371</t>
  </si>
  <si>
    <t>Насос скваж. ЭЦВ 4-3-100 (1500 Вт), (Россия, БЭЗ)</t>
  </si>
  <si>
    <t>30 351.00 руб.</t>
  </si>
  <si>
    <t>UNI-101372</t>
  </si>
  <si>
    <t>Насос скваж. ЭЦВ 4-3-120 (1800 Вт), (Россия, БЭЗ)</t>
  </si>
  <si>
    <t>32 456.00 руб.</t>
  </si>
  <si>
    <t>UNI-101373</t>
  </si>
  <si>
    <t>Насос скваж. ЭЦВ 4-3-140 (2200 Вт), (Россия, БЭЗ)</t>
  </si>
  <si>
    <t>36 023.00 руб.</t>
  </si>
  <si>
    <t>UNI-101374</t>
  </si>
  <si>
    <t>Насос скваж. ЭЦВ 4-3-55 (750 Вт), (Россия, БЭЗ)</t>
  </si>
  <si>
    <t>22 906.00 руб.</t>
  </si>
  <si>
    <t>UNI-101375</t>
  </si>
  <si>
    <t>Насос скваж. ЭЦВ 4-3-75 (1100 Вт), (Россия, БЭЗ)</t>
  </si>
  <si>
    <t>25 628.00 руб.</t>
  </si>
  <si>
    <t>UNI-101376</t>
  </si>
  <si>
    <t>Насос скваж. ЭЦВ 4-4-100 (2200 Вт), (Россия, БЭЗ)</t>
  </si>
  <si>
    <t>33 499.00 руб.</t>
  </si>
  <si>
    <t>UNI-101377</t>
  </si>
  <si>
    <t>Насос скваж. ЭЦВ 4-4-25 (370 Вт), (Россия, БЭЗ)</t>
  </si>
  <si>
    <t>16 078.00 руб.</t>
  </si>
  <si>
    <t>UNI-101378</t>
  </si>
  <si>
    <t>Насос скваж. ЭЦВ 4-4-32 (550 Вт), (Россия, БЭЗ)</t>
  </si>
  <si>
    <t>17 874.00 руб.</t>
  </si>
  <si>
    <t>UNI-101379</t>
  </si>
  <si>
    <t>Насос скваж. ЭЦВ 4-4-40 (750 Вт), (Россия, БЭЗ)</t>
  </si>
  <si>
    <t>UNI-101380</t>
  </si>
  <si>
    <t>Насос скваж. ЭЦВ 4-4-55 (1100 Вт), (Россия, БЭЗ)</t>
  </si>
  <si>
    <t>25 576.00 руб.</t>
  </si>
  <si>
    <t>UNI-101381</t>
  </si>
  <si>
    <t>Насос скваж. ЭЦВ 4-4-80 (1500 Вт), (Россия, БЭЗ)</t>
  </si>
  <si>
    <t>28 612.00 руб.</t>
  </si>
  <si>
    <t>Погружные насосы ЭЦВ 5&amp;quot; (Китай)</t>
  </si>
  <si>
    <t>UNI-101395</t>
  </si>
  <si>
    <t>Насос ЭЦВ 5-10-100 (пр. часть, двиг.5,5 кВт)</t>
  </si>
  <si>
    <t>63 827.00 руб.</t>
  </si>
  <si>
    <t>UNI-101396</t>
  </si>
  <si>
    <t>Насос ЭЦВ 5-10-119 (пр часть, двиг.5,5 кВт)</t>
  </si>
  <si>
    <t>64 560.00 руб.</t>
  </si>
  <si>
    <t>UNI-101397</t>
  </si>
  <si>
    <t>Насос ЭЦВ 5-10-135 (пр. часть, двиг.7,5 кВт)</t>
  </si>
  <si>
    <t>72 244.00 руб.</t>
  </si>
  <si>
    <t>UNI-101398</t>
  </si>
  <si>
    <t>Насос ЭЦВ 5-10-162 (пр часть, двиг.7,5 кВт)</t>
  </si>
  <si>
    <t>72 651.00 руб.</t>
  </si>
  <si>
    <t>UNI-101399</t>
  </si>
  <si>
    <t>Насос ЭЦВ 5-10-185 (пр. часть, двиг.11 кВт)</t>
  </si>
  <si>
    <t>85 396.00 руб.</t>
  </si>
  <si>
    <t>UNI-101400</t>
  </si>
  <si>
    <t>Насос ЭЦВ 5-10-68 (пр часть, двиг.3 кВт)</t>
  </si>
  <si>
    <t>44 641.00 руб.</t>
  </si>
  <si>
    <t>UNI-101401</t>
  </si>
  <si>
    <t>Насос ЭЦВ 5-10-85 (пр часть, двиг.4 кВт)</t>
  </si>
  <si>
    <t>55 559.00 руб.</t>
  </si>
  <si>
    <t>UNI-101402</t>
  </si>
  <si>
    <t>Насос ЭЦВ 5-15-100 (пр часть, двиг.7,5 кВт)</t>
  </si>
  <si>
    <t>74 118.00 руб.</t>
  </si>
  <si>
    <t>UNI-101403</t>
  </si>
  <si>
    <t>Насос ЭЦВ 5-15-120 (пр часть, двиг.9,2 кВт)</t>
  </si>
  <si>
    <t>82 735.00 руб.</t>
  </si>
  <si>
    <t>UNI-101404</t>
  </si>
  <si>
    <t>Насос ЭЦВ 5-15-46 (пр часть, двиг.3 кВт)</t>
  </si>
  <si>
    <t>49 557.00 руб.</t>
  </si>
  <si>
    <t>UNI-101405</t>
  </si>
  <si>
    <t>Насос ЭЦВ 5-15-61 (пр часть, двиг.4 кВт)</t>
  </si>
  <si>
    <t>55 945.00 руб.</t>
  </si>
  <si>
    <t>UNI-101406</t>
  </si>
  <si>
    <t>Насос ЭЦВ 5-15-81 (пр часть, двиг.5,5 кВт)</t>
  </si>
  <si>
    <t>66 900.00 руб.</t>
  </si>
  <si>
    <t>UNI-101407</t>
  </si>
  <si>
    <t>Насос ЭЦВ 5-20-100 (пр. часть, двиг.9,2 кВт)</t>
  </si>
  <si>
    <t>82 644.00 руб.</t>
  </si>
  <si>
    <t>UNI-101408</t>
  </si>
  <si>
    <t>Насос ЭЦВ 5-20-127 (пр. часть, двиг.11 кВт)</t>
  </si>
  <si>
    <t>91 523.00 руб.</t>
  </si>
  <si>
    <t>UNI-101409</t>
  </si>
  <si>
    <t>Насос ЭЦВ 5-20-47 (пр. часть, двиг.4 кВт)</t>
  </si>
  <si>
    <t>58 616.00 руб.</t>
  </si>
  <si>
    <t>UNI-101410</t>
  </si>
  <si>
    <t>Насос ЭЦВ 5-20-60 (пр. часть, двиг.5,5 кВт)</t>
  </si>
  <si>
    <t>64 788.00 руб.</t>
  </si>
  <si>
    <t>UNI-101411</t>
  </si>
  <si>
    <t>Насос ЭЦВ 5-20-73 (пр. часть, двиг.7,5 кВт)</t>
  </si>
  <si>
    <t>71 563.00 руб.</t>
  </si>
  <si>
    <t>UNI-101412</t>
  </si>
  <si>
    <t>Насос ЭЦВ 5-30-51 (пр. часть, двиг.7,5 кВт)</t>
  </si>
  <si>
    <t>68 267.00 руб.</t>
  </si>
  <si>
    <t>UNI-101413</t>
  </si>
  <si>
    <t>Насос ЭЦВ 5-30-67 (пр. часть, двиг.11 кВт)</t>
  </si>
  <si>
    <t>93 110.00 руб.</t>
  </si>
  <si>
    <t>UNI-101414</t>
  </si>
  <si>
    <t>Насос ЭЦВ 5-7-135 (пр. часть, двиг.4 кВт)</t>
  </si>
  <si>
    <t>62 282.00 руб.</t>
  </si>
  <si>
    <t>UNI-101415</t>
  </si>
  <si>
    <t>Насос ЭЦВ 5-7-180 (пр. часть, двиг.5,5 кВт)</t>
  </si>
  <si>
    <t>71 870.00 руб.</t>
  </si>
  <si>
    <t>UNI-101416</t>
  </si>
  <si>
    <t>Насос ЭЦВ 5-7-225 (пр. часть, двиг.7,5 кВт)</t>
  </si>
  <si>
    <t>82 022.00 руб.</t>
  </si>
  <si>
    <t>UNI-101417</t>
  </si>
  <si>
    <t>Насос ЭЦВ 5-7-72 (пр. часть, двиг.2,2 кВт)</t>
  </si>
  <si>
    <t>41 729.00 руб.</t>
  </si>
  <si>
    <t>UNI-101418</t>
  </si>
  <si>
    <t>Насос ЭЦВ 5-7-99 (пр. часть, двиг.3 кВт)</t>
  </si>
  <si>
    <t>54 299.00 руб.</t>
  </si>
  <si>
    <t>Погружные насосы ЭЦВ 6&amp;quot; (Китай)</t>
  </si>
  <si>
    <t>UNI-101420</t>
  </si>
  <si>
    <t>Насос ЭЦВ 6-12-105 (пр.часть, двиг.5,5 кВт)</t>
  </si>
  <si>
    <t>69 375.00 руб.</t>
  </si>
  <si>
    <t>UNI-101421</t>
  </si>
  <si>
    <t>Насос ЭЦВ 6-12-140 (пр. часть, двиг.7,5 кВт)</t>
  </si>
  <si>
    <t>91 180.00 руб.</t>
  </si>
  <si>
    <t>UNI-101422</t>
  </si>
  <si>
    <t>Насос ЭЦВ 6-12-175 (пр. часть, двиг.9,2 кВт)</t>
  </si>
  <si>
    <t>94 316.00 руб.</t>
  </si>
  <si>
    <t>UNI-101423</t>
  </si>
  <si>
    <t>Насос ЭЦВ 6-12-199 (пр. часть, двиг.11 кВт)</t>
  </si>
  <si>
    <t>99 602.00 руб.</t>
  </si>
  <si>
    <t>UNI-101424</t>
  </si>
  <si>
    <t>Насос ЭЦВ 6-12-234 (пр. часть, двиг.13 кВт)</t>
  </si>
  <si>
    <t>112 276.00 руб.</t>
  </si>
  <si>
    <t>UNI-101425</t>
  </si>
  <si>
    <t>Насос ЭЦВ 6-12-58 (пр. часть, двиг.3 кВт)</t>
  </si>
  <si>
    <t>66 345.00 руб.</t>
  </si>
  <si>
    <t>UNI-101426</t>
  </si>
  <si>
    <t>Насос ЭЦВ 6-12-82 (пр. часть, двиг.4 кВт)</t>
  </si>
  <si>
    <t>73 490.00 руб.</t>
  </si>
  <si>
    <t>UNI-101427</t>
  </si>
  <si>
    <t>Насос ЭЦВ 6-18-112 (пр. часть, двиг.9,2 кВт)</t>
  </si>
  <si>
    <t>92 194.00 руб.</t>
  </si>
  <si>
    <t>UNI-101428</t>
  </si>
  <si>
    <t>Насос ЭЦВ 6-18-134 (пр. часть, двиг.11 кВт)</t>
  </si>
  <si>
    <t>98 210.00 руб.</t>
  </si>
  <si>
    <t>UNI-101429</t>
  </si>
  <si>
    <t>Насос ЭЦВ 6-18-153 (пр. часть, двиг.13 кВт)</t>
  </si>
  <si>
    <t>107 912.00 руб.</t>
  </si>
  <si>
    <t>UNI-101430</t>
  </si>
  <si>
    <t>Насос ЭЦВ 6-18-181 (пр.часть, двиг.15 кВт)</t>
  </si>
  <si>
    <t>137 793.00 руб.</t>
  </si>
  <si>
    <t>UNI-101431</t>
  </si>
  <si>
    <t>Насос ЭЦВ 6-18-223 (пр. часть, двиг.18,5 кВт)</t>
  </si>
  <si>
    <t>153 103.00 руб.</t>
  </si>
  <si>
    <t>UNI-101432</t>
  </si>
  <si>
    <t>Насос ЭЦВ 6-18-52 (пр. часть, двиг.4 кВт)</t>
  </si>
  <si>
    <t>71 448.00 руб.</t>
  </si>
  <si>
    <t>UNI-101433</t>
  </si>
  <si>
    <t>Насос ЭЦВ 6-18-72 (пр. часть, двиг.5,5 кВт)</t>
  </si>
  <si>
    <t>75 850.00 руб.</t>
  </si>
  <si>
    <t>UNI-101434</t>
  </si>
  <si>
    <t>Насос ЭЦВ 6-18-94 (пр. часть, двиг.7,5 кВт)</t>
  </si>
  <si>
    <t>77 987.00 руб.</t>
  </si>
  <si>
    <t>UNI-101435</t>
  </si>
  <si>
    <t>Насос ЭЦВ 6-27-104 (пр. часть, двиг.13 кВт)</t>
  </si>
  <si>
    <t>117 379.00 руб.</t>
  </si>
  <si>
    <t>UNI-101436</t>
  </si>
  <si>
    <t>Насос ЭЦВ 6-27-120 (пр. часть, двиг.15 кВт)</t>
  </si>
  <si>
    <t>127 586.00 руб.</t>
  </si>
  <si>
    <t>UNI-101437</t>
  </si>
  <si>
    <t>Насос ЭЦВ 6-27-152 (пр. часть, двиг.18,5 кВт)</t>
  </si>
  <si>
    <t>142 897.00 руб.</t>
  </si>
  <si>
    <t>UNI-101438</t>
  </si>
  <si>
    <t>Насос ЭЦВ 6-27-48 (пр. часть, двиг.5,5 кВт)</t>
  </si>
  <si>
    <t>81 655.00 руб.</t>
  </si>
  <si>
    <t>UNI-101439</t>
  </si>
  <si>
    <t>Насос ЭЦВ 6-27-64 (пр. часть, двиг.7,5 кВт)</t>
  </si>
  <si>
    <t>89 821.00 руб.</t>
  </si>
  <si>
    <t>UNI-101440</t>
  </si>
  <si>
    <t>Насос ЭЦВ 6-27-80 (пр. часть, двиг.9,2 кВт)</t>
  </si>
  <si>
    <t>95 945.00 руб.</t>
  </si>
  <si>
    <t>UNI-101441</t>
  </si>
  <si>
    <t>Насос ЭЦВ 6-27-96 (пр. часть, двиг.11 кВт)</t>
  </si>
  <si>
    <t>104 971.00 руб.</t>
  </si>
  <si>
    <t>UNI-101442</t>
  </si>
  <si>
    <t>Насос ЭЦВ 6-36-107 (пр. часть, двиг.15 кВт)</t>
  </si>
  <si>
    <t>135 958.00 руб.</t>
  </si>
  <si>
    <t>UNI-101443</t>
  </si>
  <si>
    <t>Насос ЭЦВ 6-36-136 (пр. часть, двиг.18,5 кВт)</t>
  </si>
  <si>
    <t>169 522.00 руб.</t>
  </si>
  <si>
    <t>UNI-101444</t>
  </si>
  <si>
    <t>Насос ЭЦВ 6-36-156 (пр. часть, двиг.22 кВт)</t>
  </si>
  <si>
    <t>179 828.00 руб.</t>
  </si>
  <si>
    <t>UNI-101445</t>
  </si>
  <si>
    <t>Насос ЭЦВ 6-36-58 (пр. часть, двиг.7,5 кВт)</t>
  </si>
  <si>
    <t>96 966.00 руб.</t>
  </si>
  <si>
    <t>UNI-101446</t>
  </si>
  <si>
    <t>Насос ЭЦВ 6-36-68 (пр. часть, двиг.9,2 кВт)</t>
  </si>
  <si>
    <t>109 738.00 руб.</t>
  </si>
  <si>
    <t>UNI-101447</t>
  </si>
  <si>
    <t>Насос ЭЦВ 6-36-78 (пр. часть, двиг.11 кВт)</t>
  </si>
  <si>
    <t>107 627.00 руб.</t>
  </si>
  <si>
    <t>UNI-101448</t>
  </si>
  <si>
    <t>Насос ЭЦВ 6-36-97 (пр. часть, двиг.13 кВт)</t>
  </si>
  <si>
    <t>Скважные винтовые (шнековые) насосы</t>
  </si>
  <si>
    <t>Скважные винтовые насосы ZEGOR</t>
  </si>
  <si>
    <t>ZGR-001001</t>
  </si>
  <si>
    <t>3QGD1-25-0.25kw-10m</t>
  </si>
  <si>
    <t>Скважинный винтовой насос 3" (75мм) 250 Вт;  напор 70м; макс. расход 1,7 м3/час;  кабель 10м (1/1шт)</t>
  </si>
  <si>
    <t>6 358.89 руб.</t>
  </si>
  <si>
    <t>ZGR-001002</t>
  </si>
  <si>
    <t>3QGD1-25-0.25kw-20m</t>
  </si>
  <si>
    <t>Скважинный винтовой насос 3" (75мм)  250 Вт;  напор 70м; макс. расход 1,7 м3/час;  кабель 20м (1/1шт</t>
  </si>
  <si>
    <t>7 334.13 руб.</t>
  </si>
  <si>
    <t>ZGR-001003</t>
  </si>
  <si>
    <t>3QGD1.2-30-0.37-10m</t>
  </si>
  <si>
    <t>Скважинный винтовой насос 3" (75мм) 370 Вт;  напор 90м; макс. расход 1,9 м3/час;  кабель 10м (1/1шт)</t>
  </si>
  <si>
    <t>7 251.14 руб.</t>
  </si>
  <si>
    <t>ZGR-001004</t>
  </si>
  <si>
    <t>3QGD1.2-30-0.37-20m</t>
  </si>
  <si>
    <t>Скважинный винтовой насос 3" (75мм) 370 Вт;  напор 90м; макс. расход 1,9 м3/час;  кабель 20м (1/1шт)</t>
  </si>
  <si>
    <t>8 237.05 руб.</t>
  </si>
  <si>
    <t>ZGR-001005</t>
  </si>
  <si>
    <t>3QGD1.2-50-0.55-20m</t>
  </si>
  <si>
    <t>Скважинный винтовой насос 3" (75мм) 550 Вт;  напор 110м; макс. расход 1,9 м3/час;  кабель 20м (1/1шт</t>
  </si>
  <si>
    <t>9 057.16 руб.</t>
  </si>
  <si>
    <t>ZGR-001006</t>
  </si>
  <si>
    <t>4QGD1.2-50-0.37-10m</t>
  </si>
  <si>
    <t>(В) Скважинный винтовой насос 4" (100мм) 370 Вт;  напор 110м; макс. расход 1,9 м3/час;  кабель 10м (</t>
  </si>
  <si>
    <t>8 081.45 руб.</t>
  </si>
  <si>
    <t>ZGR-001007</t>
  </si>
  <si>
    <t>4QGD1.2-50-0.37-20m</t>
  </si>
  <si>
    <t>Скважинный винтовой насос 4" (100мм) 370 Вт;  напор 110м; макс. расход 1,9 м3/час;  кабель 20м (1шт)</t>
  </si>
  <si>
    <t>8 045.96 руб.</t>
  </si>
  <si>
    <t>ZGR-001008</t>
  </si>
  <si>
    <t>4QGD1.8-50-0.55-10m</t>
  </si>
  <si>
    <t>(В) Скважинный винтовой насос 4" (100мм) 550 Вт;  напор 110м; макс. расход 2,9 м3/час;  кабель 10м (</t>
  </si>
  <si>
    <t>9 737.50 руб.</t>
  </si>
  <si>
    <t>ZGR-001009</t>
  </si>
  <si>
    <t>4QGD1.8-50-0.55-20m</t>
  </si>
  <si>
    <t>Скважинный винтовой насос 4" (100мм) 550 Вт;  напор 110м; макс. расход 2,9 м3/час;  кабель 20м (1шт)</t>
  </si>
  <si>
    <t>9 674.57 руб.</t>
  </si>
  <si>
    <t>ZGR-001133</t>
  </si>
  <si>
    <t>3QGD1.2-50-0.55 10m</t>
  </si>
  <si>
    <t>(В) Скважинный винтовой насос 3" (75мм) 550 Вт;  напор 110м; макс. расход 1,9 м3/час;  кабель 10</t>
  </si>
  <si>
    <t>8 817.08 руб.</t>
  </si>
  <si>
    <t>ZGR-001134</t>
  </si>
  <si>
    <t>4QGD2-60-0.75 10m</t>
  </si>
  <si>
    <t>Скважинный винтовой насос 4" (100мм) 750 Вт;  напор 150м; макс. расход 3,0 м3/час</t>
  </si>
  <si>
    <t>8 510.77 руб.</t>
  </si>
  <si>
    <t>ZGR-001229</t>
  </si>
  <si>
    <t>3QGD1-25-0.25kw 15m</t>
  </si>
  <si>
    <t>Скважинный винтовой насос 3" (75мм)  250 Вт;  напор 70м; макс. расход 1,7 м3/час;  кабель 15м (1/1шт</t>
  </si>
  <si>
    <t>6 938.40 руб.</t>
  </si>
  <si>
    <t>ZGR-001230</t>
  </si>
  <si>
    <t>3QGD1.2-30-0.37 25m</t>
  </si>
  <si>
    <t>Скважинный винтовой насос 3" (75мм)  370 Вт;  напор 90м; макс. расход 1,9 м3/час;  кабель 25м (1/1шт</t>
  </si>
  <si>
    <t>8 065.96 руб.</t>
  </si>
  <si>
    <t>ZGR-001231</t>
  </si>
  <si>
    <t>3QGD1.2-50-0.55 30m</t>
  </si>
  <si>
    <t>Скважинный винтовой насос 3" (75мм)  550 Вт;  напор 110м; макс. расход 1,9 м3/час;  кабель 30м (1/1ш</t>
  </si>
  <si>
    <t>9 345.60 руб.</t>
  </si>
  <si>
    <t>ZGR-001305</t>
  </si>
  <si>
    <t>2QGD-0.37-20m</t>
  </si>
  <si>
    <t>Скважинный винтовой насос 2" (50мм) 370 Вт;  напор 52м; макс. расход 1,4 м3/час;  кабель 20м (1/1шт)</t>
  </si>
  <si>
    <t>12 958.20 руб.</t>
  </si>
  <si>
    <t>ZGR-001306</t>
  </si>
  <si>
    <t>2QGD-0.55-20m</t>
  </si>
  <si>
    <t>Скважинный винтовой насос 2" (50мм) 550 Вт;  напор 70м; макс. расход 1,4 м3/час;  кабель 20м (1/1шт)</t>
  </si>
  <si>
    <t>14 148.27 руб.</t>
  </si>
  <si>
    <t>Скважные винтовые насосы UNIPUMP</t>
  </si>
  <si>
    <t>UNI-101264</t>
  </si>
  <si>
    <t>Винтовой скважинный насос 2"  ECO VINT 0 (370 Вт, кабель-20м)</t>
  </si>
  <si>
    <t>12 993.00 руб.</t>
  </si>
  <si>
    <t>UNI-101266</t>
  </si>
  <si>
    <t>Винтовой скважинный насос 3"  ECO VINT 1 (370 Вт, кабель-15м)</t>
  </si>
  <si>
    <t>9 521.00 руб.</t>
  </si>
  <si>
    <t>UNI-101267</t>
  </si>
  <si>
    <t>Винтовой скважинный насос 3"  ECO VINT 2 (550 Вт, кабель-20м)</t>
  </si>
  <si>
    <t>10 887.00 руб.</t>
  </si>
  <si>
    <t>UNI-101268</t>
  </si>
  <si>
    <t>Винтовой скважинный насос 3"  ECO VINT 3 (750 Вт, кабель-30м)</t>
  </si>
  <si>
    <t>13 509.00 руб.</t>
  </si>
  <si>
    <t>Поверхностные насосы</t>
  </si>
  <si>
    <t>Поверхностные насосы ZEGOR</t>
  </si>
  <si>
    <t>NAS-710003</t>
  </si>
  <si>
    <t>AQPF370</t>
  </si>
  <si>
    <t>насос поверхностный для чистой воды   500ВТ  (1шт)</t>
  </si>
  <si>
    <t>6 306.30 руб.</t>
  </si>
  <si>
    <t>VER-000116</t>
  </si>
  <si>
    <t>VRS600</t>
  </si>
  <si>
    <t>НАСОС ПОВЕРХНОСТНЫЙ  600ВТ (ПЛАСТИК) "ViEiR" (1шт) AQPE370</t>
  </si>
  <si>
    <t>6 391.56 руб.</t>
  </si>
  <si>
    <t>ZGR-001060</t>
  </si>
  <si>
    <t>QB60</t>
  </si>
  <si>
    <t>Поверхностный вихревой насос (мощность 370Вт; напор 40м; расход 2,1м3/час; глуб всасыв до 8м)</t>
  </si>
  <si>
    <t>4 121.72 руб.</t>
  </si>
  <si>
    <t>ZGR-001061</t>
  </si>
  <si>
    <t>QB80</t>
  </si>
  <si>
    <t>Поверхностный вихревой насос (мощность 750Вт; напор 53м; расход 2,7м3/час; глуб всасыв до 8м)</t>
  </si>
  <si>
    <t>7 281.24 руб.</t>
  </si>
  <si>
    <t>ZGR-001062</t>
  </si>
  <si>
    <t>AB60</t>
  </si>
  <si>
    <t>Поверхностный вихревой насос (мощность 370Вт; напор 35м; расход 2,1м3/час; глуб всасывдо 8м)</t>
  </si>
  <si>
    <t>3 733.15 руб.</t>
  </si>
  <si>
    <t>ZGR-001064</t>
  </si>
  <si>
    <t>JS-120S</t>
  </si>
  <si>
    <t>Поверхностный вихревой насос (мощность 1100Вт; напор 47м; расход 3,0м3/час; глуб всасыв до 8м)(1шт)</t>
  </si>
  <si>
    <t>10 404.85 руб.</t>
  </si>
  <si>
    <t>ZGR-001066</t>
  </si>
  <si>
    <t>JET-100L</t>
  </si>
  <si>
    <t>Поверхностный вихревой насос (750Вт; напор 48м; расход 3,0м3/час; глуб всасыв до 8м)(1шт)</t>
  </si>
  <si>
    <t>8 573.81 руб.</t>
  </si>
  <si>
    <t>ZGR-001067</t>
  </si>
  <si>
    <t>JET-120S</t>
  </si>
  <si>
    <t>Поверхностный вихревой насос (1100Вт; напор 47м; расход 3,0м3/час; глуб всасыв до 8м)(1шт)</t>
  </si>
  <si>
    <t>8 835.95 руб.</t>
  </si>
  <si>
    <t>ZGR-001072</t>
  </si>
  <si>
    <t>AET-120L</t>
  </si>
  <si>
    <t>Поверхностный вихревой насос (мощность 1100Вт; напор 45м; расход 3,3м3/час; всасыв до 8м)(1шт)</t>
  </si>
  <si>
    <t>7 388.23 руб.</t>
  </si>
  <si>
    <t>ZGR-001073</t>
  </si>
  <si>
    <t>AET-120S</t>
  </si>
  <si>
    <t>Поверхностный центробежный насос (мощность 1100Вт; напор 45м; расход 3,0м3/час; всасыв до 8м)(1шт)</t>
  </si>
  <si>
    <t>7 322.74 руб.</t>
  </si>
  <si>
    <t>ZGR-001124</t>
  </si>
  <si>
    <t>ZTP800</t>
  </si>
  <si>
    <t>Поверхностный вихревой насос (мощность 800Вт; напор 40м; расход 2,85м3/час)</t>
  </si>
  <si>
    <t>6 164.28 руб.</t>
  </si>
  <si>
    <t>ZGR-001126</t>
  </si>
  <si>
    <t>СРМ158</t>
  </si>
  <si>
    <t>Поверхностный вихревой насос (мощность 750Вт; напор 32м; расход 6,0м3/час)</t>
  </si>
  <si>
    <t>9 683.28 руб.</t>
  </si>
  <si>
    <t>ZGR-001129</t>
  </si>
  <si>
    <t>JET-120L</t>
  </si>
  <si>
    <t>Поверхностный центробежный насос (мощность 1100Вт; напор 53м; расход 3,3м3/час)</t>
  </si>
  <si>
    <t>9 279.38 руб.</t>
  </si>
  <si>
    <t>ZGR-001140</t>
  </si>
  <si>
    <t>АB80</t>
  </si>
  <si>
    <t>Поверхностный вихревой насос (мощность 1750Вт; напор 47м; расход 2,7 м3/час)</t>
  </si>
  <si>
    <t>5 701.42 руб.</t>
  </si>
  <si>
    <t>ZGR-001141</t>
  </si>
  <si>
    <t>AS-120S</t>
  </si>
  <si>
    <t>Поверхностный центробежный насос (мощность 1100Вт; напор 42м; расход 3,0 м3/час)</t>
  </si>
  <si>
    <t>7 044.12 руб.</t>
  </si>
  <si>
    <t>ZGR-001176</t>
  </si>
  <si>
    <t>ZOTA110</t>
  </si>
  <si>
    <t>Поверхностный центробежный насос (мощность 1100Вт; напор 45м; расход 4,5м3/час; (1шт)</t>
  </si>
  <si>
    <t>11 787.43 руб.</t>
  </si>
  <si>
    <t>ZGR-001177</t>
  </si>
  <si>
    <t>ZOTA150</t>
  </si>
  <si>
    <t>Поверхностный центробежный насос (мощность 1500Вт; напор 55м; расход 5,4м3/час; (1шт)</t>
  </si>
  <si>
    <t>20 454.26 руб.</t>
  </si>
  <si>
    <t>ZGR-001232</t>
  </si>
  <si>
    <t>СРМ130</t>
  </si>
  <si>
    <t>Поверхностный вихревой насос (мощность 370Вт; напор 22м; расход 3,6м3/час)</t>
  </si>
  <si>
    <t>6 366.17 руб.</t>
  </si>
  <si>
    <t>ZGR-001233</t>
  </si>
  <si>
    <t>СРМ146</t>
  </si>
  <si>
    <t>Поверхностный вихревой насос (мощность 550Вт; напор 28м; расход 4,8м3/час)</t>
  </si>
  <si>
    <t>8 182.22 руб.</t>
  </si>
  <si>
    <t>ZGR-001277</t>
  </si>
  <si>
    <t>ZTK370</t>
  </si>
  <si>
    <t>Центробежный поверхностный насос (370Вт, напор 20м, макс расход 50л/мин) (1шт)</t>
  </si>
  <si>
    <t>6 720.25 руб.</t>
  </si>
  <si>
    <t>ZGR-001278</t>
  </si>
  <si>
    <t>ZTK550</t>
  </si>
  <si>
    <t>Центробежный поверхностный насос (550Вт, напор 21м, макс расход 67л/мин) (1шт)</t>
  </si>
  <si>
    <t>8 397.42 руб.</t>
  </si>
  <si>
    <t>ZGR-001279</t>
  </si>
  <si>
    <t>ZTK1100</t>
  </si>
  <si>
    <t>Центробежный поверхностный насос (1100Вт, напор 22м, макс расход 133л/мин) (1шт)</t>
  </si>
  <si>
    <t>10 638.47 руб.</t>
  </si>
  <si>
    <t>ZGR-001280</t>
  </si>
  <si>
    <t>ATK370</t>
  </si>
  <si>
    <t>ZGR-001281</t>
  </si>
  <si>
    <t>ATK550</t>
  </si>
  <si>
    <t>6 887.97 руб.</t>
  </si>
  <si>
    <t>ZGR-001282</t>
  </si>
  <si>
    <t>ATK1100</t>
  </si>
  <si>
    <t>8 698.16 руб.</t>
  </si>
  <si>
    <t>ZGR-001289</t>
  </si>
  <si>
    <t>AB60E</t>
  </si>
  <si>
    <t>Поверхностный вихревой насос (мощность 300Вт; напор 23м; расход 25л/мин; глуб всасыв до 5м) (1/6шт)</t>
  </si>
  <si>
    <t>2 937.86 руб.</t>
  </si>
  <si>
    <t>ZGR-001290</t>
  </si>
  <si>
    <t>АB80E</t>
  </si>
  <si>
    <t>Поверхностный вихревой насос (мощность 750Вт; напор 45м; расход 47л/мин; глуб всасыв до 5м) (1/2шт)</t>
  </si>
  <si>
    <t>5 127.91 руб.</t>
  </si>
  <si>
    <t>ZGR-001332</t>
  </si>
  <si>
    <t>ZOTA110A Pro</t>
  </si>
  <si>
    <t>PRO Поверхностный центробежный насос (мощность 1100Вт; напор 45м; расход 4,5м3/час</t>
  </si>
  <si>
    <t>10 605.44 руб.</t>
  </si>
  <si>
    <t>ZGR-001333</t>
  </si>
  <si>
    <t>ZMH4S-1075</t>
  </si>
  <si>
    <t>Поверхностный многоступенчатый насос (750Вт; напор 45м; расход 5,4м3/час)</t>
  </si>
  <si>
    <t>16 010.25 руб.</t>
  </si>
  <si>
    <t>ZGR-001334</t>
  </si>
  <si>
    <t>ZMH5S-1100</t>
  </si>
  <si>
    <t>Поверхностный многоступенчатый насос (1000Вт; напор 58м; расход 5,4м3/час)</t>
  </si>
  <si>
    <t>17 986.22 руб.</t>
  </si>
  <si>
    <t>ZGR-001335</t>
  </si>
  <si>
    <t>ZMH4S-1135</t>
  </si>
  <si>
    <t>Поверхностный многоступенчатый насос (1350Вт; напор 52м; расход 10,2м3/час)</t>
  </si>
  <si>
    <t>21 109.23 руб.</t>
  </si>
  <si>
    <t>ZGR-001336</t>
  </si>
  <si>
    <t>ZMH5S-1165</t>
  </si>
  <si>
    <t>Поверхностный многоступенчатый насос (1650Вт; напор 65м; расход 10,2м3/час)</t>
  </si>
  <si>
    <t>23 560.73 руб.</t>
  </si>
  <si>
    <t>ZGR-001337</t>
  </si>
  <si>
    <t>ZMH6S-1210</t>
  </si>
  <si>
    <t>Поверхностный многоступенчатый насос (2100Вт; напор 78м; расход 10,2м3/час)</t>
  </si>
  <si>
    <t>29 292.68 руб.</t>
  </si>
  <si>
    <t>Поверхностные насосы UNIPUMP</t>
  </si>
  <si>
    <t>Вихревые поверхностные насосы QB</t>
  </si>
  <si>
    <t>UNI-101049</t>
  </si>
  <si>
    <t>Поверхностный вихревой насос QB 60</t>
  </si>
  <si>
    <t>4 047.00 руб.</t>
  </si>
  <si>
    <t>UNI-101050</t>
  </si>
  <si>
    <t>Поверхностный вихревой насос QB 70</t>
  </si>
  <si>
    <t>5 971.00 руб.</t>
  </si>
  <si>
    <t>UNI-101051</t>
  </si>
  <si>
    <t>Поверхностный вихревой насос QB 80</t>
  </si>
  <si>
    <t>6 530.00 руб.</t>
  </si>
  <si>
    <t>Горизонтальные одноступенчатые насосы FS, FC, 380В</t>
  </si>
  <si>
    <t>UNI-101053</t>
  </si>
  <si>
    <t>Горизонтальный одноступенчатый насос FS50-32-160-1.5</t>
  </si>
  <si>
    <t>56 515.00 руб.</t>
  </si>
  <si>
    <t>UNI-101054</t>
  </si>
  <si>
    <t>Горизонтальный одноступенчатый насос FS50-32-160-2.2</t>
  </si>
  <si>
    <t>60 282.00 руб.</t>
  </si>
  <si>
    <t>UNI-101055</t>
  </si>
  <si>
    <t>Горизонтальный одноступенчатый насос FS50-32-200-4.0</t>
  </si>
  <si>
    <t>83 516.00 руб.</t>
  </si>
  <si>
    <t>UNI-101056</t>
  </si>
  <si>
    <t>Горизонтальный одноступенчатый насос FS50-32-200-5.5</t>
  </si>
  <si>
    <t>98 065.00 руб.</t>
  </si>
  <si>
    <t>UNI-101057</t>
  </si>
  <si>
    <t>Горизонтальный одноступенчатый насос FS65-40-160-4.0</t>
  </si>
  <si>
    <t>78 448.00 руб.</t>
  </si>
  <si>
    <t>UNI-101058</t>
  </si>
  <si>
    <t>Горизонтальный одноступенчатый насос FS65-40-200-5.5</t>
  </si>
  <si>
    <t>96 772.00 руб.</t>
  </si>
  <si>
    <t>UNI-101059</t>
  </si>
  <si>
    <t>Горизонтальный одноступенчатый насос FS65-40-200-7.5</t>
  </si>
  <si>
    <t>103 204.00 руб.</t>
  </si>
  <si>
    <t>UNI-101060</t>
  </si>
  <si>
    <t>Горизонтальный одноступенчатый насос FS65-50-125-4.0</t>
  </si>
  <si>
    <t>86 646.00 руб.</t>
  </si>
  <si>
    <t>UNI-101061</t>
  </si>
  <si>
    <t>Горизонтальный одноступенчатый насос FS65-50-160-5.5</t>
  </si>
  <si>
    <t>93 170.00 руб.</t>
  </si>
  <si>
    <t>UNI-101062</t>
  </si>
  <si>
    <t>Горизонтальный одноступенчатый насос FS65-50-200-7.5</t>
  </si>
  <si>
    <t>102 285.00 руб.</t>
  </si>
  <si>
    <t>UNI-101063</t>
  </si>
  <si>
    <t>Горизонтальный одноступенчатый насос FS80-65-125-5.5</t>
  </si>
  <si>
    <t>115 866.00 руб.</t>
  </si>
  <si>
    <t>UNI-101064</t>
  </si>
  <si>
    <t>Консольно-моноблочный насос FC32-160-1.5</t>
  </si>
  <si>
    <t>33 870.00 руб.</t>
  </si>
  <si>
    <t>UNI-101065</t>
  </si>
  <si>
    <t>Консольно-моноблочный насос FC32-160-2.2</t>
  </si>
  <si>
    <t>36 035.00 руб.</t>
  </si>
  <si>
    <t>UNI-101066</t>
  </si>
  <si>
    <t>Консольно-моноблочный насос FC32-160-3</t>
  </si>
  <si>
    <t>40 404.00 руб.</t>
  </si>
  <si>
    <t>UNI-101067</t>
  </si>
  <si>
    <t>Консольно-моноблочный насос FC32-200-3</t>
  </si>
  <si>
    <t>49 814.00 руб.</t>
  </si>
  <si>
    <t>UNI-101068</t>
  </si>
  <si>
    <t>Консольно-моноблочный насос FC32-200-4</t>
  </si>
  <si>
    <t>53 025.00 руб.</t>
  </si>
  <si>
    <t>UNI-101069</t>
  </si>
  <si>
    <t>Консольно-моноблочный насос FC40-125-2.2</t>
  </si>
  <si>
    <t>32 564.00 руб.</t>
  </si>
  <si>
    <t>UNI-101070</t>
  </si>
  <si>
    <t>Консольно-моноблочный насос FC40-160-3</t>
  </si>
  <si>
    <t>45 259.00 руб.</t>
  </si>
  <si>
    <t>UNI-101071</t>
  </si>
  <si>
    <t>Консольно-моноблочный насос FC40-160-4</t>
  </si>
  <si>
    <t>48 322.00 руб.</t>
  </si>
  <si>
    <t>UNI-101072</t>
  </si>
  <si>
    <t>Консольно-моноблочный насос FC50-125-2.2</t>
  </si>
  <si>
    <t>43 991.00 руб.</t>
  </si>
  <si>
    <t>UNI-101073</t>
  </si>
  <si>
    <t>Консольно-моноблочный насос FC50-125-4</t>
  </si>
  <si>
    <t>48 920.00 руб.</t>
  </si>
  <si>
    <t>UNI-101074</t>
  </si>
  <si>
    <t>Консольно-моноблочный насос FC50-160-5.5</t>
  </si>
  <si>
    <t>58 853.00 руб.</t>
  </si>
  <si>
    <t>UNI-101075</t>
  </si>
  <si>
    <t>Консольно-моноблочный насос FC65-125-4</t>
  </si>
  <si>
    <t>56 313.00 руб.</t>
  </si>
  <si>
    <t>UNI-101076</t>
  </si>
  <si>
    <t>Консольно-моноблочный насос FC65-125-5.5</t>
  </si>
  <si>
    <t>62 513.00 руб.</t>
  </si>
  <si>
    <t>UNI-101077</t>
  </si>
  <si>
    <t>Консольно-моноблочный насос FC65-160-9.2</t>
  </si>
  <si>
    <t>99 253.00 руб.</t>
  </si>
  <si>
    <t>Многоступенчатые горизонтальные насосы CM, 380В</t>
  </si>
  <si>
    <t>UNI-101079</t>
  </si>
  <si>
    <t>Многоступенчатый горизонтальный насос CM 10-2</t>
  </si>
  <si>
    <t>24 769.00 руб.</t>
  </si>
  <si>
    <t>UNI-101080</t>
  </si>
  <si>
    <t>Многоступенчатый горизонтальный насос CM 10-4</t>
  </si>
  <si>
    <t>46 334.00 руб.</t>
  </si>
  <si>
    <t>UNI-101081</t>
  </si>
  <si>
    <t>Многоступенчатый горизонтальный насос CM 10-5</t>
  </si>
  <si>
    <t>48 951.00 руб.</t>
  </si>
  <si>
    <t>UNI-101082</t>
  </si>
  <si>
    <t>Многоступенчатый горизонтальный насос CM 15-1</t>
  </si>
  <si>
    <t>26 031.00 руб.</t>
  </si>
  <si>
    <t>UNI-101083</t>
  </si>
  <si>
    <t>Многоступенчатый горизонтальный насос CM 15-2</t>
  </si>
  <si>
    <t>33 856.00 руб.</t>
  </si>
  <si>
    <t>UNI-101084</t>
  </si>
  <si>
    <t>Многоступенчатый горизонтальный насос CM 2-2</t>
  </si>
  <si>
    <t>14 576.00 руб.</t>
  </si>
  <si>
    <t>UNI-101085</t>
  </si>
  <si>
    <t>Многоступенчатый горизонтальный насос CM 2-3</t>
  </si>
  <si>
    <t>15 549.00 руб.</t>
  </si>
  <si>
    <t>UNI-101086</t>
  </si>
  <si>
    <t>Многоступенчатый горизонтальный насос CM 2-5</t>
  </si>
  <si>
    <t>19 315.00 руб.</t>
  </si>
  <si>
    <t>UNI-101087</t>
  </si>
  <si>
    <t>Многоступенчатый горизонтальный насос CM 4-3</t>
  </si>
  <si>
    <t>16 830.00 руб.</t>
  </si>
  <si>
    <t>UNI-101088</t>
  </si>
  <si>
    <t>Многоступенчатый горизонтальный насос CM 4-4</t>
  </si>
  <si>
    <t>19 958.00 руб.</t>
  </si>
  <si>
    <t>UNI-101089</t>
  </si>
  <si>
    <t>Многоступенчатый горизонтальный насос CM 4-5</t>
  </si>
  <si>
    <t>22 601.00 руб.</t>
  </si>
  <si>
    <t>UNI-101090</t>
  </si>
  <si>
    <t>Многоступенчатый горизонтальный насос CM 4-6</t>
  </si>
  <si>
    <t>25 421.00 руб.</t>
  </si>
  <si>
    <t>Многоступенчатые насосы MVH, VM</t>
  </si>
  <si>
    <t>UNI-101092</t>
  </si>
  <si>
    <t>Насос верт. многоступенчатый MVH 1-4 (Qном 1м3/ч, Hном 22м, DN25, 0,37 кВт)</t>
  </si>
  <si>
    <t>42 207.00 руб.</t>
  </si>
  <si>
    <t>UNI-101093</t>
  </si>
  <si>
    <t>Насос верт. многоступенчатый MVH 1-8 (Qном 1м3, Hном 45м, DN25, 0,55 кВт)</t>
  </si>
  <si>
    <t>52 299.00 руб.</t>
  </si>
  <si>
    <t>UNI-101094</t>
  </si>
  <si>
    <t>Насос верт. многоступенчатый MVH 12-12 (Qном 12м3, Hном 121м, DN50, 7,5 кВт)</t>
  </si>
  <si>
    <t>135 133.00 руб.</t>
  </si>
  <si>
    <t>UNI-101095</t>
  </si>
  <si>
    <t>Насос верт. многоступенчатый MVH 12-18 (Qном 12м3, Hном 183м, DN50, 11 кВт)</t>
  </si>
  <si>
    <t>188 730.00 руб.</t>
  </si>
  <si>
    <t>UNI-101096</t>
  </si>
  <si>
    <t>Насос верт. многоступенчатый MVH 12-5 (Qном 12м3, Hном 50м, DN50, 3 кВт)</t>
  </si>
  <si>
    <t>88 222.00 руб.</t>
  </si>
  <si>
    <t>UNI-101097</t>
  </si>
  <si>
    <t>Насос верт. многоступенчатый MVH 12-8 (Qном 12м3, Hном 80м, DN50, 5,5 кВт)</t>
  </si>
  <si>
    <t>122 975.00 руб.</t>
  </si>
  <si>
    <t>UNI-101098</t>
  </si>
  <si>
    <t>Насос верт. многоступенчатый MVH 12-9 (Qном 12м3, Hном 91м, DN50, 5,5 кВт)</t>
  </si>
  <si>
    <t>125 398.00 руб.</t>
  </si>
  <si>
    <t>UNI-101099</t>
  </si>
  <si>
    <t>Насос верт. многоступенчатый MVH 2-11 (Qном 2м3, Hном 82м, DN25, 1,1 кВт)</t>
  </si>
  <si>
    <t>60 151.00 руб.</t>
  </si>
  <si>
    <t>UNI-101100</t>
  </si>
  <si>
    <t>Насос верт. многоступенчатый MVH 2-15 (Qном 2м3, Hном 112м, DN25, 1,5 кВт)</t>
  </si>
  <si>
    <t>69 074.00 руб.</t>
  </si>
  <si>
    <t>UNI-101101</t>
  </si>
  <si>
    <t>Насос верт. многоступенчатый MVH 2-22 (Qном 2м3, Hном 165м, DN25, 2,2 кВт)</t>
  </si>
  <si>
    <t>82 154.00 руб.</t>
  </si>
  <si>
    <t>UNI-101102</t>
  </si>
  <si>
    <t>Насос верт. многоступенчатый MVH 2-26 (Qном 2м3, Hном 198м, DN25, 3 кВт)</t>
  </si>
  <si>
    <t>95 434.00 руб.</t>
  </si>
  <si>
    <t>UNI-101103</t>
  </si>
  <si>
    <t>Насос верт. многоступенчатый MVH 2-7 (Qном 2м3, Hном 52м, DN25, 0,75 кВт)</t>
  </si>
  <si>
    <t>49 328.00 руб.</t>
  </si>
  <si>
    <t>UNI-101104</t>
  </si>
  <si>
    <t>Насос верт. многоступенчатый MVH 20-3 (Qном 20м3, Hном 35м, DN50, 4 кВт)</t>
  </si>
  <si>
    <t>90 154.00 руб.</t>
  </si>
  <si>
    <t>UNI-101105</t>
  </si>
  <si>
    <t>Насос верт. многоступенчатый MVH 20-5 (Qном 20м3, Hном 58м, DN50, 5,5 кВт)</t>
  </si>
  <si>
    <t>113 891.00 руб.</t>
  </si>
  <si>
    <t>UNI-101106</t>
  </si>
  <si>
    <t>Насос верт. многоступенчатый MVH 4-12 (Qном 4м3, Hном 95м, DN32, 2,2 кВт)</t>
  </si>
  <si>
    <t>70 292.00 руб.</t>
  </si>
  <si>
    <t>UNI-101107</t>
  </si>
  <si>
    <t>Насос верт. многоступенчатый MVH 4-16 (Qном 4м3, Hном 129м, DN32, 3 кВт)</t>
  </si>
  <si>
    <t>83 194.00 руб.</t>
  </si>
  <si>
    <t>UNI-101108</t>
  </si>
  <si>
    <t>Насос верт. многоступенчатый MVH 4-22 (Qном 4м3, Hном 178м, DN32, 4 кВт)</t>
  </si>
  <si>
    <t>101 660.00 руб.</t>
  </si>
  <si>
    <t>UNI-101109</t>
  </si>
  <si>
    <t>Насос верт. многоступенчатый MVH 4-4 (Qном 4м3, Hном 32м, DN32, 0,75 кВт)</t>
  </si>
  <si>
    <t>48 825.00 руб.</t>
  </si>
  <si>
    <t>UNI-101110</t>
  </si>
  <si>
    <t>Насос верт. многоступенчатый MVH 4-8 (Qном 4м3, Hном 64м, DN32, 1,5 кВт)</t>
  </si>
  <si>
    <t>61 138.00 руб.</t>
  </si>
  <si>
    <t>UNI-101111</t>
  </si>
  <si>
    <t>Насос верт. многоступенчатый MVH 8 -12 (Qном 8м3, Hном 111м, DN40, 4 кВт)</t>
  </si>
  <si>
    <t>106 814.00 руб.</t>
  </si>
  <si>
    <t>UNI-101112</t>
  </si>
  <si>
    <t>Насос верт. многоступенчатый MVH 8-16 (Qном 8м3, Hном 148м, DN40, 5,5 кВт)</t>
  </si>
  <si>
    <t>140 036.00 руб.</t>
  </si>
  <si>
    <t>UNI-101113</t>
  </si>
  <si>
    <t>Насос верт. многоступенчатый MVH 8-20 (Qном 8м3, Hном 186м, DN40, 7,5 кВт)</t>
  </si>
  <si>
    <t>161 408.00 руб.</t>
  </si>
  <si>
    <t>UNI-101114</t>
  </si>
  <si>
    <t>Насос верт. многоступенчатый MVH 8-4 (Qном 8м3, Hном 36м, DN40, 1,5 кВт)</t>
  </si>
  <si>
    <t>71 944.00 руб.</t>
  </si>
  <si>
    <t>UNI-101115</t>
  </si>
  <si>
    <t>Насос верт. многоступенчатый MVH 8-6 (Qном 8м3, Hном 54м, DN40, 2,2 кВт)</t>
  </si>
  <si>
    <t>78 934.00 руб.</t>
  </si>
  <si>
    <t>UNI-101116</t>
  </si>
  <si>
    <t>Насос верт. многоступенчатый MVH 8-8 (Qном 8м3, Hном 73м, DN40, 3 кВт)</t>
  </si>
  <si>
    <t>93 472.00 руб.</t>
  </si>
  <si>
    <t>UNI-101117</t>
  </si>
  <si>
    <t>Насос верт. многоступенчатый VM 12-3 (Qном 12м3/ч, Нном 23м, 1,5"x 1,25", 1,5кВт)</t>
  </si>
  <si>
    <t>23 823.00 руб.</t>
  </si>
  <si>
    <t>UNI-101118</t>
  </si>
  <si>
    <t>Насос верт. многоступенчатый VM 12-6 (Qном 12м3/ч, Нном 46м, 1,5"x 1,25", 3,0кВт)</t>
  </si>
  <si>
    <t>29 280.00 руб.</t>
  </si>
  <si>
    <t>UNI-101119</t>
  </si>
  <si>
    <t>Насос верт. многоступенчатый VM 2-11 (Qном 2м3/ч, Нном 89м, 1"x 1", 2,2кВт)</t>
  </si>
  <si>
    <t>26 311.00 руб.</t>
  </si>
  <si>
    <t>UNI-101120</t>
  </si>
  <si>
    <t>Насос верт. многоступенчатый VM 2-4 (Qном 2м3/ч, Нном 30м, 1"x 1", 0,75кВт)</t>
  </si>
  <si>
    <t>17 019.00 руб.</t>
  </si>
  <si>
    <t>UNI-101121</t>
  </si>
  <si>
    <t>Насос верт. многоступенчатый VM 2-5 (Qном 2м3/ч, Нном 38м, 1"x 1", 1,0кВт)</t>
  </si>
  <si>
    <t>18 502.00 руб.</t>
  </si>
  <si>
    <t>UNI-101122</t>
  </si>
  <si>
    <t>Насос верт. многоступенчатый VM 2-7 (Qном 2м3/ч, Нном 55м, 1"x 1", 1,1кВт)</t>
  </si>
  <si>
    <t>21 072.00 руб.</t>
  </si>
  <si>
    <t>UNI-101123</t>
  </si>
  <si>
    <t>Насос верт. многоступенчатый VM 2-8 (Qном 2м3/ч, Нном 68м, 1"x 1", 1,5кВт)</t>
  </si>
  <si>
    <t>22 874.00 руб.</t>
  </si>
  <si>
    <t>UNI-101124</t>
  </si>
  <si>
    <t>Насос верт. многоступенчатый VM 2-9 (Qном 2м3/ч, Нном 75м, 1"x 1", 1,5кВт)</t>
  </si>
  <si>
    <t>24 191.00 руб.</t>
  </si>
  <si>
    <t>UNI-101125</t>
  </si>
  <si>
    <t>Насос верт. многоступенчатый VM 4-5 (Qном 4м3/ч, Нном 42м, 1"x 1", 1,5кВт)</t>
  </si>
  <si>
    <t>19 934.00 руб.</t>
  </si>
  <si>
    <t>UNI-101126</t>
  </si>
  <si>
    <t>Насос верт. многоступенчатый VM 4-7 (Qном 4м3/ч, Нном 59м, 1"x 1", 2,2кВт)</t>
  </si>
  <si>
    <t>UNI-101127</t>
  </si>
  <si>
    <t>Насос верт. многоступенчатый VM 4-8 (Qном 4м3/ч, Нном 67м, 1"x 1", 2,2кВт)</t>
  </si>
  <si>
    <t>24 159.00 руб.</t>
  </si>
  <si>
    <t>UNI-101128</t>
  </si>
  <si>
    <t>Насос верт. многоступенчатый VM 6-5 (Qном 6м3/ч, Нном 41м, 1,25"x 1,25", 2,2кВт)</t>
  </si>
  <si>
    <t>24 004.00 руб.</t>
  </si>
  <si>
    <t>UNI-101129</t>
  </si>
  <si>
    <t>Насос верт. многоступенчатый VM 6-7 (Qном 6м3/ч, Нном 57м, 1,25"x 1,25", 3,0кВт)</t>
  </si>
  <si>
    <t>26 420.00 руб.</t>
  </si>
  <si>
    <t>UNI-101130</t>
  </si>
  <si>
    <t>Насос верт. многоступенчатый VM 6-8 (Qном 6м3/ч, Нном 64м, 1,25"x 1,25", 3,0кВт)</t>
  </si>
  <si>
    <t>27 846.00 руб.</t>
  </si>
  <si>
    <t>UNI-101131</t>
  </si>
  <si>
    <t>Насос верт. многоступенчатый VM 8-3 (Qном 8м3/ч, Нном 21м, 1,5"x 1,25", 1,5кВт)</t>
  </si>
  <si>
    <t>22 140.00 руб.</t>
  </si>
  <si>
    <t>UNI-101132</t>
  </si>
  <si>
    <t>Насос верт. многоступенчатый VM 8-5 (Qном 8м3/ч, Нном 39м, 1,5"x 1,25", 2,2кВт)</t>
  </si>
  <si>
    <t>24 791.00 руб.</t>
  </si>
  <si>
    <t>UNI-101133</t>
  </si>
  <si>
    <t>Насос верт. многоступенчатый VM 8-6 (Qном 8м3/ч, Нном 47м, 1,5"x 1,25", 3,0кВт)</t>
  </si>
  <si>
    <t>26 974.00 руб.</t>
  </si>
  <si>
    <t>Многоступенчатые поверхностные насосы МН</t>
  </si>
  <si>
    <t>UNI-101036</t>
  </si>
  <si>
    <t>Многоступ. пов. насос MH - 1000 C</t>
  </si>
  <si>
    <t>31 117.00 руб.</t>
  </si>
  <si>
    <t>UNI-101037</t>
  </si>
  <si>
    <t>Многоступ. пов. насос MH - 200 A</t>
  </si>
  <si>
    <t>11 874.00 руб.</t>
  </si>
  <si>
    <t>UNI-101038</t>
  </si>
  <si>
    <t>Многоступ. пов. насос MH - 300 A</t>
  </si>
  <si>
    <t>UNI-101039</t>
  </si>
  <si>
    <t>Многоступ. пов. насос MH - 300 C</t>
  </si>
  <si>
    <t>20 115.00 руб.</t>
  </si>
  <si>
    <t>UNI-101040</t>
  </si>
  <si>
    <t>Многоступ. пов. насос MH - 400 A</t>
  </si>
  <si>
    <t>17 381.00 руб.</t>
  </si>
  <si>
    <t>UNI-101041</t>
  </si>
  <si>
    <t>Многоступ. пов. насос MH - 400 C</t>
  </si>
  <si>
    <t>23 797.00 руб.</t>
  </si>
  <si>
    <t>UNI-101042</t>
  </si>
  <si>
    <t>Многоступ. пов. насос MH - 500 A</t>
  </si>
  <si>
    <t>19 810.00 руб.</t>
  </si>
  <si>
    <t>UNI-101043</t>
  </si>
  <si>
    <t>Многоступ. пов. насос MH - 500 C</t>
  </si>
  <si>
    <t>25 267.00 руб.</t>
  </si>
  <si>
    <t>UNI-101044</t>
  </si>
  <si>
    <t>Многоступ. пов. насос MH - 600 C</t>
  </si>
  <si>
    <t>25 388.00 руб.</t>
  </si>
  <si>
    <t>UNI-101045</t>
  </si>
  <si>
    <t>Многоступ. пов. насос MH - 800 C</t>
  </si>
  <si>
    <t>28 281.00 руб.</t>
  </si>
  <si>
    <t>UNI-101046</t>
  </si>
  <si>
    <t>Многоступенчатый поверхностный насос MH-500C (садовый)</t>
  </si>
  <si>
    <t>15 177.00 руб.</t>
  </si>
  <si>
    <t>UNI-101047</t>
  </si>
  <si>
    <t>Многоступенчатый поверхностный насос MH-600C (садовый)</t>
  </si>
  <si>
    <t>15 916.00 руб.</t>
  </si>
  <si>
    <t>Поверхностные насосы JET, JS, JSW, DP</t>
  </si>
  <si>
    <t>UNI-101017</t>
  </si>
  <si>
    <t>Поверхностный насос ECO JET 100 LA</t>
  </si>
  <si>
    <t>9 816.00 руб.</t>
  </si>
  <si>
    <t>UNI-101018</t>
  </si>
  <si>
    <t>Поверхностный насос ECO JET 80 LA</t>
  </si>
  <si>
    <t>9 015.00 руб.</t>
  </si>
  <si>
    <t>UNI-101019</t>
  </si>
  <si>
    <t>Поверхностный насос JET 100 L</t>
  </si>
  <si>
    <t>11 534.00 руб.</t>
  </si>
  <si>
    <t>UNI-101020</t>
  </si>
  <si>
    <t>Поверхностный насос JET 100 S</t>
  </si>
  <si>
    <t>11 376.00 руб.</t>
  </si>
  <si>
    <t>UNI-101021</t>
  </si>
  <si>
    <t>Поверхностный насос JET 100 S садовый</t>
  </si>
  <si>
    <t>9 751.00 руб.</t>
  </si>
  <si>
    <t>UNI-101022</t>
  </si>
  <si>
    <t>Поверхностный насос JET 110 L</t>
  </si>
  <si>
    <t>13 243.00 руб.</t>
  </si>
  <si>
    <t>UNI-101023</t>
  </si>
  <si>
    <t>Поверхностный насос JET 40 S</t>
  </si>
  <si>
    <t>7 891.00 руб.</t>
  </si>
  <si>
    <t>UNI-101024</t>
  </si>
  <si>
    <t>Поверхностный насос JET 60 S</t>
  </si>
  <si>
    <t>8 804.00 руб.</t>
  </si>
  <si>
    <t>UNI-101025</t>
  </si>
  <si>
    <t>Поверхностный насос JET 80 L</t>
  </si>
  <si>
    <t>10 951.00 руб.</t>
  </si>
  <si>
    <t>UNI-101026</t>
  </si>
  <si>
    <t>Поверхностный насос JET 80 S</t>
  </si>
  <si>
    <t>10 817.00 руб.</t>
  </si>
  <si>
    <t>UNI-101027</t>
  </si>
  <si>
    <t>Поверхностный насос JS 100</t>
  </si>
  <si>
    <t>12 376.00 руб.</t>
  </si>
  <si>
    <t>UNI-101028</t>
  </si>
  <si>
    <t>Поверхностный насос JS 60</t>
  </si>
  <si>
    <t>10 708.00 руб.</t>
  </si>
  <si>
    <t>UNI-101029</t>
  </si>
  <si>
    <t>Поверхностный насос JS 80</t>
  </si>
  <si>
    <t>11 860.00 руб.</t>
  </si>
  <si>
    <t>UNI-101030</t>
  </si>
  <si>
    <t>Поверхностный насос JS 80 садовый</t>
  </si>
  <si>
    <t>9 962.00 руб.</t>
  </si>
  <si>
    <t>UNI-101031</t>
  </si>
  <si>
    <t>Поверхностный насос JSW 55</t>
  </si>
  <si>
    <t>13 188.00 руб.</t>
  </si>
  <si>
    <t>UNI-101032</t>
  </si>
  <si>
    <t>Поверхностный насос с внешним эжектором DP-750</t>
  </si>
  <si>
    <t>19 485.00 руб.</t>
  </si>
  <si>
    <t>UNI-101033</t>
  </si>
  <si>
    <t>Центробежный поверхностный насос JS 100 (удлиненный эжектор)</t>
  </si>
  <si>
    <t>12 747.00 руб.</t>
  </si>
  <si>
    <t>UNI-101034</t>
  </si>
  <si>
    <t>Центробежный поверхностный насос JS 80 (удлиненный эжектор)</t>
  </si>
  <si>
    <t>12 216.00 руб.</t>
  </si>
  <si>
    <t>Поверхностные насосы с частотным преобразователем PSB, SmartFlow</t>
  </si>
  <si>
    <t>UNI-101135</t>
  </si>
  <si>
    <t>Насос с частотным преобразователем PSB 10-50</t>
  </si>
  <si>
    <t>79 349.00 руб.</t>
  </si>
  <si>
    <t>UNI-101136</t>
  </si>
  <si>
    <t>Насос с частотным преобразователем PSB 5-40</t>
  </si>
  <si>
    <t>49 570.00 руб.</t>
  </si>
  <si>
    <t>UNI-101137</t>
  </si>
  <si>
    <t>Насос с частотным преобразователем PSB 6-30</t>
  </si>
  <si>
    <t>Центробежные поверхностные насосы (консольные) CPM</t>
  </si>
  <si>
    <t>UNI-101001</t>
  </si>
  <si>
    <t>Поверхностный насос (консольный) CPM 1100</t>
  </si>
  <si>
    <t>14 507.00 руб.</t>
  </si>
  <si>
    <t>UNI-101002</t>
  </si>
  <si>
    <t>Поверхностный насос (консольный) CPM 1100D</t>
  </si>
  <si>
    <t>17 580.00 руб.</t>
  </si>
  <si>
    <t>UNI-101003</t>
  </si>
  <si>
    <t>Поверхностный насос (консольный) CPM 1100H</t>
  </si>
  <si>
    <t>14 604.00 руб.</t>
  </si>
  <si>
    <t>UNI-101004</t>
  </si>
  <si>
    <t>Поверхностный насос (консольный) CPM 1100Q</t>
  </si>
  <si>
    <t>17 299.00 руб.</t>
  </si>
  <si>
    <t>UNI-101005</t>
  </si>
  <si>
    <t>Поверхностный насос (консольный) CPM 1500D</t>
  </si>
  <si>
    <t>18 884.00 руб.</t>
  </si>
  <si>
    <t>UNI-101006</t>
  </si>
  <si>
    <t>Поверхностный насос (консольный) CPM 1500Q</t>
  </si>
  <si>
    <t>18 120.00 руб.</t>
  </si>
  <si>
    <t>UNI-101007</t>
  </si>
  <si>
    <t>Поверхностный насос (консольный) CPM 2200D</t>
  </si>
  <si>
    <t>20 113.00 руб.</t>
  </si>
  <si>
    <t>UNI-101008</t>
  </si>
  <si>
    <t>Поверхностный насос (консольный) CPM 2200Q</t>
  </si>
  <si>
    <t>18 973.00 руб.</t>
  </si>
  <si>
    <t>UNI-101009</t>
  </si>
  <si>
    <t>Поверхностный насос (консольный) CPM 3000Q</t>
  </si>
  <si>
    <t>30 114.00 руб.</t>
  </si>
  <si>
    <t>UNI-101010</t>
  </si>
  <si>
    <t>Поверхностный насос (консольный) CPM 750H</t>
  </si>
  <si>
    <t>9 993.00 руб.</t>
  </si>
  <si>
    <t>UNI-101011</t>
  </si>
  <si>
    <t>Поверхностный насос (консольный) CPM-130</t>
  </si>
  <si>
    <t>7 777.00 руб.</t>
  </si>
  <si>
    <t>UNI-101012</t>
  </si>
  <si>
    <t>Поверхностный насос (консольный) CPM-146</t>
  </si>
  <si>
    <t>UNI-101013</t>
  </si>
  <si>
    <t>Поверхностный насос (консольный) CPM-158</t>
  </si>
  <si>
    <t>11 538.00 руб.</t>
  </si>
  <si>
    <t>UNI-101014</t>
  </si>
  <si>
    <t>Поверхностный насос (консольный) CPM-180</t>
  </si>
  <si>
    <t>18 552.00 руб.</t>
  </si>
  <si>
    <t>UNI-101015</t>
  </si>
  <si>
    <t>Поверхностный насос (консольный) CPM-200</t>
  </si>
  <si>
    <t>Насосы повышения давления</t>
  </si>
  <si>
    <t>Насосы повышения давления VIEIR</t>
  </si>
  <si>
    <t>NAS-810001</t>
  </si>
  <si>
    <t>VERB15-10</t>
  </si>
  <si>
    <t>Насос повышения давления с сухим ротором 90Вт VR (1/8шт)</t>
  </si>
  <si>
    <t>3 888.15 руб.</t>
  </si>
  <si>
    <t>NAS-810002</t>
  </si>
  <si>
    <t>VERB15-15</t>
  </si>
  <si>
    <t>Насос повышения давления с сухим ротором 120Вт VR (1/6шт)</t>
  </si>
  <si>
    <t>4 983.30 руб.</t>
  </si>
  <si>
    <t>NAS-810003</t>
  </si>
  <si>
    <t>VERA15-11</t>
  </si>
  <si>
    <t>Насос повышения давления с мокрым ротором 100Вт VR (1/8шт)</t>
  </si>
  <si>
    <t>4 527.60 руб.</t>
  </si>
  <si>
    <t>NAS-810004</t>
  </si>
  <si>
    <t>VERA15-9</t>
  </si>
  <si>
    <t>Насос повышения давления с мокрым ротором 120Вт VR (1/8шт)</t>
  </si>
  <si>
    <t>4 017.51 руб.</t>
  </si>
  <si>
    <t>Насосы повышения давления ZEGOR</t>
  </si>
  <si>
    <t>ZGR-001119</t>
  </si>
  <si>
    <t>BBP15C-9S</t>
  </si>
  <si>
    <t>(В) Насос повышения давления НЕРЖ с датчиком протока  100 Вт, макс.напор 9 м макс.расход 1,5 м3/час</t>
  </si>
  <si>
    <t>ZGR-001128</t>
  </si>
  <si>
    <t>BBP15Н-9А</t>
  </si>
  <si>
    <t>Насос повышения давления сухой ротор (напор 9м, расход 1,5м3/час, 100Вт) (1/8шт)</t>
  </si>
  <si>
    <t>4 095.66 руб.</t>
  </si>
  <si>
    <t>ZGR-001131</t>
  </si>
  <si>
    <t>CBP15-9</t>
  </si>
  <si>
    <t>Насос повышения давления с мокр ротор (напор 9м, расход 1,5м3/час, 100Вт) (1/8шт)</t>
  </si>
  <si>
    <t>4 235.95 руб.</t>
  </si>
  <si>
    <t>ZGR-001132</t>
  </si>
  <si>
    <t>CBP15-11</t>
  </si>
  <si>
    <t>Насос повышения давления с мокр ротор (напор 11м, расход 1,5м3/час, 150Вт) (1/8шт)</t>
  </si>
  <si>
    <t>5 838.32 руб.</t>
  </si>
  <si>
    <t>ZGR-001205</t>
  </si>
  <si>
    <t>BBP15Н-15А</t>
  </si>
  <si>
    <t>(В) Насос повышения давления сухой ротор (напор 15м, расход 1,8м3/час) ZEGOR (1/6шт)</t>
  </si>
  <si>
    <t>5 225.26 руб.</t>
  </si>
  <si>
    <t>ZGR-001341</t>
  </si>
  <si>
    <t>CBP 15-18</t>
  </si>
  <si>
    <t>Насос повышения давления ЧАСТОТНЫЙ (50-85Вт, напор 12-18м; расход 25-35л/мин) (1/8шт)</t>
  </si>
  <si>
    <t>4 639.09 руб.</t>
  </si>
  <si>
    <t>ZGR-001342</t>
  </si>
  <si>
    <t>CBP20-25</t>
  </si>
  <si>
    <t>Насос повышения давления ЧАСТОТНЫЙ (60-100Вт, напор 15-25м; расход 35-45л/мин) (1/8шт)</t>
  </si>
  <si>
    <t>6 476.89 руб.</t>
  </si>
  <si>
    <t>Насосы повышения давления UNIPUMP</t>
  </si>
  <si>
    <t>UNI-101460</t>
  </si>
  <si>
    <t>Насос для повышения давл.(водоснабж.) WIP-10</t>
  </si>
  <si>
    <t>4 862.00 руб.</t>
  </si>
  <si>
    <t>UNI-101461</t>
  </si>
  <si>
    <t>Насос для повышения давл.(водоснабж.) WIP-12</t>
  </si>
  <si>
    <t>5 961.00 руб.</t>
  </si>
  <si>
    <t>UNI-101462</t>
  </si>
  <si>
    <t>Насос для повышения давл.(водоснабж.) WIP-15</t>
  </si>
  <si>
    <t>8 971.00 руб.</t>
  </si>
  <si>
    <t>UNI-101463</t>
  </si>
  <si>
    <t>Насос циркуляц. (для пов. давления) UPA 15-120 195</t>
  </si>
  <si>
    <t>12 038.00 руб.</t>
  </si>
  <si>
    <t>UNI-101464</t>
  </si>
  <si>
    <t>Насос циркуляц. (для пов. давления) UPA 15-90 160</t>
  </si>
  <si>
    <t>7 582.00 руб.</t>
  </si>
  <si>
    <t>Канализационные насосы</t>
  </si>
  <si>
    <t>Канализационные насосы VIEIR</t>
  </si>
  <si>
    <t>NAS-910004</t>
  </si>
  <si>
    <t>VRCS300</t>
  </si>
  <si>
    <t>Канализационный насос 300ВТ"VIEIR" (3шт)</t>
  </si>
  <si>
    <t>11 745.30 руб.</t>
  </si>
  <si>
    <t>NAS-910007</t>
  </si>
  <si>
    <t>VRCS600A</t>
  </si>
  <si>
    <t>Канализационная насосная станция 600ВТ"VIEIR" (1шт)</t>
  </si>
  <si>
    <t>15 771.63 руб.</t>
  </si>
  <si>
    <t>VER-000347</t>
  </si>
  <si>
    <t>VRCS450</t>
  </si>
  <si>
    <t>Канализационный насос 450ВТ"VIEIR" (1/1шт)</t>
  </si>
  <si>
    <t>14 683.83 руб.</t>
  </si>
  <si>
    <t>VER-000348</t>
  </si>
  <si>
    <t>VRCS750</t>
  </si>
  <si>
    <t>Канализационный насос 750ВТ"VIEIR" (1/1шт)</t>
  </si>
  <si>
    <t>16 885.89 руб.</t>
  </si>
  <si>
    <t>VER-000453</t>
  </si>
  <si>
    <t>VRCS450-C</t>
  </si>
  <si>
    <t>14 491.26 руб.</t>
  </si>
  <si>
    <t>VER-000983</t>
  </si>
  <si>
    <t>VRCS550</t>
  </si>
  <si>
    <t>Канализационная насосная станция 550Вт (1шт)</t>
  </si>
  <si>
    <t>22 094.10 руб.</t>
  </si>
  <si>
    <t>VER-000984</t>
  </si>
  <si>
    <t>VRCS600-E</t>
  </si>
  <si>
    <t>Канализационная насосная станция 600Вт (1шт)</t>
  </si>
  <si>
    <t>15 611.40 руб.</t>
  </si>
  <si>
    <t>Канализационные насосы TEBO</t>
  </si>
  <si>
    <t>ALT-122026</t>
  </si>
  <si>
    <t>T-КН.300.250.CN</t>
  </si>
  <si>
    <t>Канализационный насос модель TEBO W 250</t>
  </si>
  <si>
    <t>9 697.38 руб.</t>
  </si>
  <si>
    <t>ALT-122027</t>
  </si>
  <si>
    <t>T-КН.300.400.CN</t>
  </si>
  <si>
    <t>Канализационный насос модель TEBO WC 400</t>
  </si>
  <si>
    <t>13 946.93 руб.</t>
  </si>
  <si>
    <t>ALT-122028</t>
  </si>
  <si>
    <t>T-КН.300.600.CN</t>
  </si>
  <si>
    <t>Канализационный насос модель TEBO WC 600</t>
  </si>
  <si>
    <t>16 235.07 руб.</t>
  </si>
  <si>
    <t>Канализационные насосы ZEGOR</t>
  </si>
  <si>
    <t>ZGR-001274</t>
  </si>
  <si>
    <t>ZFA-250</t>
  </si>
  <si>
    <t>Канализационный насос 250Вт, напор 8м, сброс 80м, расход 100л/мин (1шт)</t>
  </si>
  <si>
    <t>11 116.57 руб.</t>
  </si>
  <si>
    <t>ZGR-001275</t>
  </si>
  <si>
    <t>ZFA-400</t>
  </si>
  <si>
    <t>Канализационный насос 400Вт, напор 8м, сброс 80м, расход 100л/мин (1шт)</t>
  </si>
  <si>
    <t>13 271.06 руб.</t>
  </si>
  <si>
    <t>ZGR-001276</t>
  </si>
  <si>
    <t>ZFA-700</t>
  </si>
  <si>
    <t>Канализационный насос 700Вт, напор 11м, сброс 1100м, расход 100л/мин (1шт)</t>
  </si>
  <si>
    <t>15 135.29 руб.</t>
  </si>
  <si>
    <t>Канализационные насосы UNIPUMP</t>
  </si>
  <si>
    <t>Канализационные насосные станции SANIVORT</t>
  </si>
  <si>
    <t>UNI-101611</t>
  </si>
  <si>
    <t>Канализационная насосная станция SANIVORT 255 M 7м</t>
  </si>
  <si>
    <t>14 153.00 руб.</t>
  </si>
  <si>
    <t>UNI-101612</t>
  </si>
  <si>
    <t>Канализационная насосная станция SANIVORT 255 M 9м</t>
  </si>
  <si>
    <t>15 725.00 руб.</t>
  </si>
  <si>
    <t>UNI-101613</t>
  </si>
  <si>
    <t>Канализационная насосная станция SANIVORT 405 M 8м с ножом (Compact)</t>
  </si>
  <si>
    <t>22 644.00 руб.</t>
  </si>
  <si>
    <t>UNI-101614</t>
  </si>
  <si>
    <t>Канализационная насосная станция SANIVORT 405 M 8м с ножом (бок. вход)</t>
  </si>
  <si>
    <t>18 084.00 руб.</t>
  </si>
  <si>
    <t>UNI-101615</t>
  </si>
  <si>
    <t>Канализационная насосная станция SANIVORT 405 M 8м с ножом (центр. вход)</t>
  </si>
  <si>
    <t>17 769.00 руб.</t>
  </si>
  <si>
    <t>UNI-101616</t>
  </si>
  <si>
    <t>Канализационная насосная станция SANIVORT 605 M 10м с ножом</t>
  </si>
  <si>
    <t>16 511.00 руб.</t>
  </si>
  <si>
    <t>Канализационные насосы WQ, WQR</t>
  </si>
  <si>
    <t>UNI-101618</t>
  </si>
  <si>
    <t>Канализационный насос 100WQ100-25-11/4</t>
  </si>
  <si>
    <t>176 726.00 руб.</t>
  </si>
  <si>
    <t>UNI-101619</t>
  </si>
  <si>
    <t>Канализационный насос 100WQ100-30-15/4</t>
  </si>
  <si>
    <t>196 183.00 руб.</t>
  </si>
  <si>
    <t>UNI-101620</t>
  </si>
  <si>
    <t>Канализационный насос 100WQ60-9-3</t>
  </si>
  <si>
    <t>50 901.00 руб.</t>
  </si>
  <si>
    <t>UNI-101621</t>
  </si>
  <si>
    <t>Канализационный насос 100WQ65-18-5.5</t>
  </si>
  <si>
    <t>72 148.00 руб.</t>
  </si>
  <si>
    <t>UNI-101622</t>
  </si>
  <si>
    <t>Канализационный насос 100WQ80-25-11</t>
  </si>
  <si>
    <t>128 888.00 руб.</t>
  </si>
  <si>
    <t>UNI-101623</t>
  </si>
  <si>
    <t>Канализационный насос 100WQR100-25-11/4 (высокотемп.)</t>
  </si>
  <si>
    <t>216 519.00 руб.</t>
  </si>
  <si>
    <t>UNI-101624</t>
  </si>
  <si>
    <t>Канализационный насос 100WQR110-10-5.5/4 (высокотемп.)</t>
  </si>
  <si>
    <t>116 903.00 руб.</t>
  </si>
  <si>
    <t>UNI-101625</t>
  </si>
  <si>
    <t>Канализационный насос 100WQR65-18-5.5 (высокотемп.)</t>
  </si>
  <si>
    <t>83 883.00 руб.</t>
  </si>
  <si>
    <t>UNI-101626</t>
  </si>
  <si>
    <t>Канализационный насос 100WQR80-15-7.5 (высокотемп.)</t>
  </si>
  <si>
    <t>108 883.00 руб.</t>
  </si>
  <si>
    <t>UNI-101627</t>
  </si>
  <si>
    <t>Канализационный насос 150WQ100-10-5.5</t>
  </si>
  <si>
    <t>76 487.00 руб.</t>
  </si>
  <si>
    <t>UNI-101628</t>
  </si>
  <si>
    <t>Канализационный насос 50WQ10-10-0.75</t>
  </si>
  <si>
    <t>22 938.00 руб.</t>
  </si>
  <si>
    <t>UNI-101629</t>
  </si>
  <si>
    <t>Канализационный насос 50WQ15-15-1.5</t>
  </si>
  <si>
    <t>30 283.00 руб.</t>
  </si>
  <si>
    <t>UNI-101630</t>
  </si>
  <si>
    <t>Канализационный насос 50WQ15-20-2.2</t>
  </si>
  <si>
    <t>34 512.00 руб.</t>
  </si>
  <si>
    <t>UNI-101631</t>
  </si>
  <si>
    <t>Канализационный насос 50WQ15-30-3</t>
  </si>
  <si>
    <t>46 707.00 руб.</t>
  </si>
  <si>
    <t>UNI-101632</t>
  </si>
  <si>
    <t>Канализационный насос 50WQ15-35-4</t>
  </si>
  <si>
    <t>52 310.00 руб.</t>
  </si>
  <si>
    <t>UNI-101633</t>
  </si>
  <si>
    <t>Канализационный насос 50WQ20-40-5.5</t>
  </si>
  <si>
    <t>69 239.00 руб.</t>
  </si>
  <si>
    <t>UNI-101634</t>
  </si>
  <si>
    <t>Канализационный насос 50WQ9-15-1.1</t>
  </si>
  <si>
    <t>24 905.00 руб.</t>
  </si>
  <si>
    <t>UNI-101635</t>
  </si>
  <si>
    <t>Канализационный насос 50WQR10-10-0.75 (высокотемп.)</t>
  </si>
  <si>
    <t>26 595.00 руб.</t>
  </si>
  <si>
    <t>UNI-101636</t>
  </si>
  <si>
    <t>Канализационный насос 50WQR10-10-0.75D (высокотемп.)</t>
  </si>
  <si>
    <t>29 919.00 руб.</t>
  </si>
  <si>
    <t>UNI-101637</t>
  </si>
  <si>
    <t>Канализационный насос 50WQR15-15-1.5 (высокотемп.)</t>
  </si>
  <si>
    <t>35 203.00 руб.</t>
  </si>
  <si>
    <t>UNI-101638</t>
  </si>
  <si>
    <t>Канализационный насос 50WQR15-15-1.5D (высокотемп.)</t>
  </si>
  <si>
    <t>36 134.00 руб.</t>
  </si>
  <si>
    <t>UNI-101639</t>
  </si>
  <si>
    <t>Канализационный насос 65WQ30-40-7.5</t>
  </si>
  <si>
    <t>91 796.00 руб.</t>
  </si>
  <si>
    <t>UNI-101640</t>
  </si>
  <si>
    <t>Канализационный насос 65WQ37-13-3</t>
  </si>
  <si>
    <t>47 236.00 руб.</t>
  </si>
  <si>
    <t>UNI-101641</t>
  </si>
  <si>
    <t>Канализационный насос 65WQ40-30-7.5</t>
  </si>
  <si>
    <t>UNI-101642</t>
  </si>
  <si>
    <t>Канализационный насос 65WQR25-15-2.2 (высокотемп.)</t>
  </si>
  <si>
    <t>41 435.00 руб.</t>
  </si>
  <si>
    <t>UNI-101643</t>
  </si>
  <si>
    <t>Канализационный насос 65WQR37-13-3 (высокотемп.)</t>
  </si>
  <si>
    <t>51 647.00 руб.</t>
  </si>
  <si>
    <t>UNI-101644</t>
  </si>
  <si>
    <t>Канализационный насос 80WQ30-30-5.5</t>
  </si>
  <si>
    <t>71 010.00 руб.</t>
  </si>
  <si>
    <t>UNI-101645</t>
  </si>
  <si>
    <t>Канализационный насос 80WQ40-10-2.2</t>
  </si>
  <si>
    <t>36 583.00 руб.</t>
  </si>
  <si>
    <t>UNI-101646</t>
  </si>
  <si>
    <t>Канализационный насос 80WQ40-15-4</t>
  </si>
  <si>
    <t>54 687.00 руб.</t>
  </si>
  <si>
    <t>UNI-101647</t>
  </si>
  <si>
    <t>Канализационный насос 80WQ40-8-1.5</t>
  </si>
  <si>
    <t>35 704.00 руб.</t>
  </si>
  <si>
    <t>UNI-101648</t>
  </si>
  <si>
    <t>Канализационный насос 80WQ65-25-7.5</t>
  </si>
  <si>
    <t>92 834.00 руб.</t>
  </si>
  <si>
    <t>UNI-101649</t>
  </si>
  <si>
    <t>Канализационный насос 80WQR30-30-5.5 (высокотемп.)</t>
  </si>
  <si>
    <t>82 911.00 руб.</t>
  </si>
  <si>
    <t>UNI-101650</t>
  </si>
  <si>
    <t>Канализационный насос 80WQR40-15-4 (высокотемп.)</t>
  </si>
  <si>
    <t>55 983.00 руб.</t>
  </si>
  <si>
    <t>UNI-101651</t>
  </si>
  <si>
    <t>Канализационный насос 80WQR65-25-7.5 (высокотемп.)</t>
  </si>
  <si>
    <t>107 429.00 руб.</t>
  </si>
  <si>
    <t>Циркуляционные насосы для ГВС</t>
  </si>
  <si>
    <t>Циркуляционые насосы для ГВС VALTEC</t>
  </si>
  <si>
    <t>VLC-921011</t>
  </si>
  <si>
    <t>VSB.004.15.0</t>
  </si>
  <si>
    <t>Насос цирк. для ГВС VALTEC VSB 04-15 латун корпус</t>
  </si>
  <si>
    <t>5 712.00 руб.</t>
  </si>
  <si>
    <t>VLC-921012</t>
  </si>
  <si>
    <t>VRS.121EM.15.0</t>
  </si>
  <si>
    <t>Энергосберегающий цирк. насос НЕРЖ для ГВС с частотным регулированием VALTEC VRS 12/1.2EM</t>
  </si>
  <si>
    <t>10 374.00 руб.</t>
  </si>
  <si>
    <t>Циркуляционые насосы для ГВС VIEIR</t>
  </si>
  <si>
    <t>NAS-210010</t>
  </si>
  <si>
    <t>VR15-12</t>
  </si>
  <si>
    <t>Энергосберегающий циркуляционный насос для ГВС НЕРЖ корпус с режимом частного регулирования  (1/8шт)</t>
  </si>
  <si>
    <t>10 447.29 руб.</t>
  </si>
  <si>
    <t>NAS-210011</t>
  </si>
  <si>
    <t>VRD20-6-130A</t>
  </si>
  <si>
    <t>Циркуляционный насос для ГВС ЧУГУН корпус VIEIR 130мм (1/8шт)</t>
  </si>
  <si>
    <t>3 119.34 руб.</t>
  </si>
  <si>
    <t>NAS-210015</t>
  </si>
  <si>
    <t>VR15/6-130E</t>
  </si>
  <si>
    <t>Энергосберегающий циркуляционный насос для ГВС ЛАТУНЬ корпус с частотным регулир  "VIEIR" (8шт)</t>
  </si>
  <si>
    <t>7 136.85 руб.</t>
  </si>
  <si>
    <t>VER-001339</t>
  </si>
  <si>
    <t>VR15-15B</t>
  </si>
  <si>
    <t>Энергосберегающий циркуляционный насос ГВС латунный в теплоизоляции (без частот регулир) (8/1шт)</t>
  </si>
  <si>
    <t>8 875.86 руб.</t>
  </si>
  <si>
    <t>VVR-000139</t>
  </si>
  <si>
    <t>VRT20-6-130B</t>
  </si>
  <si>
    <t>Циркуляционный насос для ГВС ЛАТУНЬ корпус VIEIR 130мм (1/8шт)</t>
  </si>
  <si>
    <t>5 139.12 руб.</t>
  </si>
  <si>
    <t>Циркуляционые насосы для ГВС ZEGOR</t>
  </si>
  <si>
    <t>ZGR-001343</t>
  </si>
  <si>
    <t>ZRS15/15 Pro</t>
  </si>
  <si>
    <t>Энергосберегающий циркуляционный насос ГВС бронза (5Вт, 2м, 15л/мин), без частот регулир (8/1шт)</t>
  </si>
  <si>
    <t>8 521.77 руб.</t>
  </si>
  <si>
    <t>Циркуляционые насосы для ГВС UNIPUMP</t>
  </si>
  <si>
    <t>UNI-101451</t>
  </si>
  <si>
    <t>Насос циркуляц. (ГВС)    UPH 15-1.5</t>
  </si>
  <si>
    <t>6 475.00 руб.</t>
  </si>
  <si>
    <t>UNI-101452</t>
  </si>
  <si>
    <t>Насос циркуляц. (ГВС)    UPH 15-1.5 B II BL</t>
  </si>
  <si>
    <t>8 880.00 руб.</t>
  </si>
  <si>
    <t>UNI-101453</t>
  </si>
  <si>
    <t>Насос циркуляц. (ГВС)    UPH 20-60 130</t>
  </si>
  <si>
    <t>UNI-101454</t>
  </si>
  <si>
    <t>Насос циркуляц. (ГВС)   PH 20-60 130</t>
  </si>
  <si>
    <t>7 215.00 руб.</t>
  </si>
  <si>
    <t>UNI-101481</t>
  </si>
  <si>
    <t>Насос циркуляц. с частотным регулированием (ГВС, тепл. пол) LPA 20-40 B</t>
  </si>
  <si>
    <t>11 431.00 руб.</t>
  </si>
  <si>
    <t>UNI-101482</t>
  </si>
  <si>
    <t>Насос циркуляц. с частотным регулированием (ГВС, тепл. пол) LPA 20-60 B</t>
  </si>
  <si>
    <t>UNI-101483</t>
  </si>
  <si>
    <t>Насос циркуляц. с частотным регулированием (ГВС, тепл. пол) LPA 25-40 B</t>
  </si>
  <si>
    <t>12 778.00 руб.</t>
  </si>
  <si>
    <t>UNI-101484</t>
  </si>
  <si>
    <t>Насос циркуляц. с частотным регулированием (ГВС, тепл. пол) LPA 25-60 B</t>
  </si>
  <si>
    <t>Комплектующие для насосов</t>
  </si>
  <si>
    <t>Комплектующие для циркуляционных насосов</t>
  </si>
  <si>
    <t>SMS-330500</t>
  </si>
  <si>
    <t>Комплект гаек д/цирк. насоса 11/2" х 1"</t>
  </si>
  <si>
    <t>221.78 руб.</t>
  </si>
  <si>
    <t>пара</t>
  </si>
  <si>
    <t>VER-000866</t>
  </si>
  <si>
    <t>VR380</t>
  </si>
  <si>
    <t>Соединение с накидной гайкой 1 1/2" х 1", со встроенным шаровым краном (80/10шт)</t>
  </si>
  <si>
    <t>905.52 руб.</t>
  </si>
  <si>
    <t>ZGR-001208</t>
  </si>
  <si>
    <t>ZP-SDC25</t>
  </si>
  <si>
    <t>(В) Гайка 25мм для подключения циркуляционного насоса (2/100шт)</t>
  </si>
  <si>
    <t>114.25 руб.</t>
  </si>
  <si>
    <t>Кабель подопогружной для скважных насосов</t>
  </si>
  <si>
    <t>UNI-101816</t>
  </si>
  <si>
    <t>Кабель КВВ 3*4  (бухта 100 м)</t>
  </si>
  <si>
    <t>65 322.00 руб.</t>
  </si>
  <si>
    <t>UNI-101817</t>
  </si>
  <si>
    <t>Кабель КВВ 3*4  (бухта 50 м)</t>
  </si>
  <si>
    <t>27 403.00 руб.</t>
  </si>
  <si>
    <t>UNI-101818</t>
  </si>
  <si>
    <t>Кабель КВВ 4*2,5 (бухта 100 м)</t>
  </si>
  <si>
    <t>58 855.00 руб.</t>
  </si>
  <si>
    <t>UNI-101819</t>
  </si>
  <si>
    <t>Кабель КВВ-п  3*4  (бухта 50 м)</t>
  </si>
  <si>
    <t>26 184.00 руб.</t>
  </si>
  <si>
    <t>UNI-101820</t>
  </si>
  <si>
    <t>Кабель КВВ-п  4*1,5 (бухта 100 м)</t>
  </si>
  <si>
    <t>34 678.00 руб.</t>
  </si>
  <si>
    <t>UNI-101821</t>
  </si>
  <si>
    <t>Кабель КВВ-п  4*1,5 (бухта 50 м)</t>
  </si>
  <si>
    <t>17 339.00 руб.</t>
  </si>
  <si>
    <t>UNI-101822</t>
  </si>
  <si>
    <t>Кабель КВВ-п 3*1,5 (бухта 50 м)</t>
  </si>
  <si>
    <t>11 362.00 руб.</t>
  </si>
  <si>
    <t>UNI-101823</t>
  </si>
  <si>
    <t>Кабель КВВ-п 3*2,5 (бухта 50 м)</t>
  </si>
  <si>
    <t>18 139.00 руб.</t>
  </si>
  <si>
    <t>UNI-101824</t>
  </si>
  <si>
    <t>Кабель круглый КВВ-т 3*1,5 (бухта 100 м)</t>
  </si>
  <si>
    <t>28 328.00 руб.</t>
  </si>
  <si>
    <t>UNI-101825</t>
  </si>
  <si>
    <t>Кабель круглый КВВ-т 3*1,5 (бухта 50 м)</t>
  </si>
  <si>
    <t>10 926.00 руб.</t>
  </si>
  <si>
    <t>UNI-101826</t>
  </si>
  <si>
    <t>Кабель круглый КВВ-т 3*2,5 (бухта 100 м)</t>
  </si>
  <si>
    <t>40 469.00 руб.</t>
  </si>
  <si>
    <t>UNI-101827</t>
  </si>
  <si>
    <t>Кабель круглый КВВ-т 3*2,5 (бухта 50 м)</t>
  </si>
  <si>
    <t>17 073.00 руб.</t>
  </si>
  <si>
    <t>UNI-101828</t>
  </si>
  <si>
    <t>Кабель круглый КВВ-т 3*4 (бухта 100 м)</t>
  </si>
  <si>
    <t>63 594.00 руб.</t>
  </si>
  <si>
    <t>UNI-101829</t>
  </si>
  <si>
    <t>Кабель круглый КВВ-т 3*4 (бухта 50 м)</t>
  </si>
  <si>
    <t>31 797.00 руб.</t>
  </si>
  <si>
    <t>UNI-101830</t>
  </si>
  <si>
    <t>Кабель круглый КВВ-т 4*1,5 (бухта 100 м)</t>
  </si>
  <si>
    <t>37 231.00 руб.</t>
  </si>
  <si>
    <t>UNI-101831</t>
  </si>
  <si>
    <t>Кабель круглый КВВ-т 4*1,5 (бухта 50 м)</t>
  </si>
  <si>
    <t>18 616.00 руб.</t>
  </si>
  <si>
    <t>UNI-101832</t>
  </si>
  <si>
    <t>Кабель круглый КВВ-т 4*2,5 (бухта 100 м)</t>
  </si>
  <si>
    <t>57 350.00 руб.</t>
  </si>
  <si>
    <t>UNI-101833</t>
  </si>
  <si>
    <t>Кабель плоский КВВ-т 3*1,5 (бухта 100 м)</t>
  </si>
  <si>
    <t>21 853.00 руб.</t>
  </si>
  <si>
    <t>UNI-101834</t>
  </si>
  <si>
    <t>Кабель плоский КВВ-т 3*2,5 (бухта 100 м)</t>
  </si>
  <si>
    <t>34 872.00 руб.</t>
  </si>
  <si>
    <t>UNI-101835</t>
  </si>
  <si>
    <t>Кабель плоский КВВ-т 3*2,5 (бухта 50 м)</t>
  </si>
  <si>
    <t>17 436.00 руб.</t>
  </si>
  <si>
    <t>UNI-101836</t>
  </si>
  <si>
    <t>Кабель плоский КВВ-т 3*4 (бухта 100 м)</t>
  </si>
  <si>
    <t>50 186.00 руб.</t>
  </si>
  <si>
    <t>UNI-101837</t>
  </si>
  <si>
    <t>Кабель плоский КВВ-т 4*1,5 (бухта 100 м)</t>
  </si>
  <si>
    <t>UNI-101838</t>
  </si>
  <si>
    <t>Кабель плоский КВВ-т 4*1,5 (бухта 50 м)</t>
  </si>
  <si>
    <t>UNI-101839</t>
  </si>
  <si>
    <t>Кабель плоский КВВ-т 4*2,5 (бухта 100 м)</t>
  </si>
  <si>
    <t>Троса, зажимы</t>
  </si>
  <si>
    <t>UNI-101841</t>
  </si>
  <si>
    <t>Зажим (хомут) для троса 3 мм</t>
  </si>
  <si>
    <t>23.70 руб.</t>
  </si>
  <si>
    <t>UNI-101842</t>
  </si>
  <si>
    <t>Зажим (хомут) для троса 4мм</t>
  </si>
  <si>
    <t>25.30 руб.</t>
  </si>
  <si>
    <t>UNI-101843</t>
  </si>
  <si>
    <t>Зажим (хомут) для троса 8мм</t>
  </si>
  <si>
    <t>63.40 руб.</t>
  </si>
  <si>
    <t>UNI-101844</t>
  </si>
  <si>
    <t>Коуш для крепления троса 5 мм</t>
  </si>
  <si>
    <t>20.50 руб.</t>
  </si>
  <si>
    <t>UNI-101845</t>
  </si>
  <si>
    <t>Трос 3мм нерж. сталь (бухта 100 м)</t>
  </si>
  <si>
    <t>3 255.00 руб.</t>
  </si>
  <si>
    <t>UNI-101846</t>
  </si>
  <si>
    <t>Трос 3мм нерж. сталь (бухта 250 м)</t>
  </si>
  <si>
    <t>7 922.00 руб.</t>
  </si>
  <si>
    <t>UNI-101847</t>
  </si>
  <si>
    <t>Трос 4мм нерж.сталь (бухта 250 м)</t>
  </si>
  <si>
    <t>13 370.00 руб.</t>
  </si>
  <si>
    <t>UNI-101848</t>
  </si>
  <si>
    <t>Трос 5мм нерж.сталь (бухта 500 м)</t>
  </si>
  <si>
    <t>39 411.00 руб.</t>
  </si>
  <si>
    <t>Колодезные насосы</t>
  </si>
  <si>
    <t>Колодезные насосы VIEIR</t>
  </si>
  <si>
    <t>VER-001145</t>
  </si>
  <si>
    <t>VR4F-450/40</t>
  </si>
  <si>
    <t>Насос погружной колодезный 450ВТ  (1шт)</t>
  </si>
  <si>
    <t>17 184.30 руб.</t>
  </si>
  <si>
    <t>VER-001146</t>
  </si>
  <si>
    <t>VR4F-600/48</t>
  </si>
  <si>
    <t>Насос погружной колодезный 600ВТ  (1шт)</t>
  </si>
  <si>
    <t>17 626.77 руб.</t>
  </si>
  <si>
    <t>VER-001369</t>
  </si>
  <si>
    <t>VRC1000-45</t>
  </si>
  <si>
    <t>Автоматический колодезный насос (2/1шт)</t>
  </si>
  <si>
    <t>13 981.17 руб.</t>
  </si>
  <si>
    <t>Колодезные насосы ZEGOR</t>
  </si>
  <si>
    <t>ZGR-001291</t>
  </si>
  <si>
    <t>ZDW-1000A-20m</t>
  </si>
  <si>
    <t>Погружной колодезный насос (мощность 1000Вт; напор 55м; расход 5,2м3/час; глуб погруж до 19м)</t>
  </si>
  <si>
    <t>Насосы и оборудование для бассейнов</t>
  </si>
  <si>
    <t>Насосы для бассейнов UNIPUMP</t>
  </si>
  <si>
    <t>UNI-101654</t>
  </si>
  <si>
    <t>Насос для бассейна JET POOL HCP1100</t>
  </si>
  <si>
    <t>17 245.00 руб.</t>
  </si>
  <si>
    <t>UNI-101655</t>
  </si>
  <si>
    <t>Насос для бассейна JET POOL HCP1500</t>
  </si>
  <si>
    <t>24 332.00 руб.</t>
  </si>
  <si>
    <t>UNI-101656</t>
  </si>
  <si>
    <t>Насос для бассейна JET POOL HCP180</t>
  </si>
  <si>
    <t>11 089.00 руб.</t>
  </si>
  <si>
    <t>UNI-101657</t>
  </si>
  <si>
    <t>Насос для бассейна JET POOL HCP250</t>
  </si>
  <si>
    <t>11 665.00 руб.</t>
  </si>
  <si>
    <t>UNI-101658</t>
  </si>
  <si>
    <t>Насос для бассейна JET POOL HCP370</t>
  </si>
  <si>
    <t>13 736.00 руб.</t>
  </si>
  <si>
    <t>UNI-101659</t>
  </si>
  <si>
    <t>Насос для бассейна JET POOL HCP550</t>
  </si>
  <si>
    <t>15 342.00 руб.</t>
  </si>
  <si>
    <t>UNI-101660</t>
  </si>
  <si>
    <t>Насос для бассейна JET POOL HCP750</t>
  </si>
  <si>
    <t>16 320.00 руб.</t>
  </si>
  <si>
    <t>UNI-101661</t>
  </si>
  <si>
    <t>Насос для бассейна JET POOL SPP 1100FC</t>
  </si>
  <si>
    <t>59 200.00 руб.</t>
  </si>
  <si>
    <t>UNI-101662</t>
  </si>
  <si>
    <t>Насос для бассейна JET POOL SPP 1500FC</t>
  </si>
  <si>
    <t>69 749.00 руб.</t>
  </si>
  <si>
    <t>UNI-101663</t>
  </si>
  <si>
    <t>Насос для бассейна JET POOL SPP 1800</t>
  </si>
  <si>
    <t>24 228.00 руб.</t>
  </si>
  <si>
    <t>UNI-101664</t>
  </si>
  <si>
    <t>Насос для бассейна JET POOL SPP 2000</t>
  </si>
  <si>
    <t>30 966.00 руб.</t>
  </si>
  <si>
    <t>UNI-101665</t>
  </si>
  <si>
    <t>Насос для бассейна JET POOL SPP 2000T</t>
  </si>
  <si>
    <t>29 174.00 руб.</t>
  </si>
  <si>
    <t>UNI-101666</t>
  </si>
  <si>
    <t>Насос для бассейна JET POOL SPP 2200</t>
  </si>
  <si>
    <t>32 619.00 руб.</t>
  </si>
  <si>
    <t>UNI-101667</t>
  </si>
  <si>
    <t>Насос для бассейна JET POOL SPP 2200FC</t>
  </si>
  <si>
    <t>84 738.00 руб.</t>
  </si>
  <si>
    <t>UNI-101668</t>
  </si>
  <si>
    <t>Насос для бассейна JET POOL SPP 2400T</t>
  </si>
  <si>
    <t>32 511.00 руб.</t>
  </si>
  <si>
    <t>UNI-101669</t>
  </si>
  <si>
    <t>Насос для бассейна JET POOL SPP 3000T</t>
  </si>
  <si>
    <t>46 116.00 руб.</t>
  </si>
  <si>
    <t>UNI-101670</t>
  </si>
  <si>
    <t>Насос для бассейна JET POOL SPP 4000T</t>
  </si>
  <si>
    <t>49 341.00 руб.</t>
  </si>
  <si>
    <t>UNI-101671</t>
  </si>
  <si>
    <t>Насос для бассейна JET POOL SPP 750FC</t>
  </si>
  <si>
    <t>54 888.00 руб.</t>
  </si>
  <si>
    <t>UNI-101672</t>
  </si>
  <si>
    <t>Насос для бассейна JET POOL SPP150E</t>
  </si>
  <si>
    <t>15 995.00 руб.</t>
  </si>
  <si>
    <t>UNI-101673</t>
  </si>
  <si>
    <t>Насос для бассейна JET POOL SPP250E</t>
  </si>
  <si>
    <t>21 239.00 руб.</t>
  </si>
  <si>
    <t>UNI-101674</t>
  </si>
  <si>
    <t>Насос для бассейна JET POOL SPPE075</t>
  </si>
  <si>
    <t>15 604.00 руб.</t>
  </si>
  <si>
    <t>UNI-101675</t>
  </si>
  <si>
    <t>Насос для бассейна JET POOL SPPE100</t>
  </si>
  <si>
    <t>15 388.00 руб.</t>
  </si>
  <si>
    <t>UNI-101676</t>
  </si>
  <si>
    <t>Насос для бассейна JET POOL SPPE150</t>
  </si>
  <si>
    <t>17 642.00 руб.</t>
  </si>
  <si>
    <t>UNI-101677</t>
  </si>
  <si>
    <t>Насос для бассейна JET POOL STP 2000T</t>
  </si>
  <si>
    <t>27 961.00 руб.</t>
  </si>
  <si>
    <t>UNI-101678</t>
  </si>
  <si>
    <t>Насос для бассейна JET POOL STP 2400T</t>
  </si>
  <si>
    <t>30 691.00 руб.</t>
  </si>
  <si>
    <t>UNI-101679</t>
  </si>
  <si>
    <t>Насос для бассейна JET POOL STP 3000T</t>
  </si>
  <si>
    <t>38 264.00 руб.</t>
  </si>
  <si>
    <t>UNI-101680</t>
  </si>
  <si>
    <t>Насос для бассейна JET POOL STP 4000T</t>
  </si>
  <si>
    <t>41 775.00 руб.</t>
  </si>
  <si>
    <t>UNI-101681</t>
  </si>
  <si>
    <t>Насос для бассейна JET POOL STP 5500T</t>
  </si>
  <si>
    <t>45 504.00 руб.</t>
  </si>
  <si>
    <t>Теплообменники для бассейнов UNIPUMP</t>
  </si>
  <si>
    <t>UNI-101683</t>
  </si>
  <si>
    <t>Теплообменник TH-120 (2")</t>
  </si>
  <si>
    <t>41 647.00 руб.</t>
  </si>
  <si>
    <t>UNI-101684</t>
  </si>
  <si>
    <t>Теплообменник TH-28</t>
  </si>
  <si>
    <t>10 260.00 руб.</t>
  </si>
  <si>
    <t>UNI-101685</t>
  </si>
  <si>
    <t>Теплообменник TH-40</t>
  </si>
  <si>
    <t>14 939.00 руб.</t>
  </si>
  <si>
    <t>UNI-101686</t>
  </si>
  <si>
    <t>Теплообменник TH-60</t>
  </si>
  <si>
    <t>17 844.00 руб.</t>
  </si>
  <si>
    <t>UNI-101687</t>
  </si>
  <si>
    <t>Теплообменник TH-75 (2")</t>
  </si>
  <si>
    <t>25 587.00 руб.</t>
  </si>
  <si>
    <t>Фильтры для бассейнов UNIPUMP</t>
  </si>
  <si>
    <t>UNI-101689</t>
  </si>
  <si>
    <t>Песочный фильтр с боковым клапаном 1 1/2" SF-525</t>
  </si>
  <si>
    <t>24 626.00 руб.</t>
  </si>
  <si>
    <t>UNI-101690</t>
  </si>
  <si>
    <t>Песочный фильтр с боковым клапаном 1 1/2" SF-600</t>
  </si>
  <si>
    <t>30 258.00 руб.</t>
  </si>
  <si>
    <t>UNI-101691</t>
  </si>
  <si>
    <t>Песочный фильтр с боковым клапаном 1 1/2" SF-650</t>
  </si>
  <si>
    <t>33 591.00 руб.</t>
  </si>
  <si>
    <t>UNI-101692</t>
  </si>
  <si>
    <t>Песочный фильтр с боковым клапаном 1 1/2" SF-700</t>
  </si>
  <si>
    <t>34 208.00 руб.</t>
  </si>
  <si>
    <t>UNI-101693</t>
  </si>
  <si>
    <t>Песочный фильтр с боковым клапаном 2" SF-750</t>
  </si>
  <si>
    <t>41 437.00 руб.</t>
  </si>
  <si>
    <t>UNI-101694</t>
  </si>
  <si>
    <t>Песочный фильтр с боковым клапаном 2" SF-800</t>
  </si>
  <si>
    <t>47 127.00 руб.</t>
  </si>
  <si>
    <t>UNI-101695</t>
  </si>
  <si>
    <t>Песочный фильтр с боковым клапаном 2" SF-900</t>
  </si>
  <si>
    <t>53 986.00 руб.</t>
  </si>
  <si>
    <t>UNI-101696</t>
  </si>
  <si>
    <t>Песочный фильтр с верхним клапаном 1 1/2" TF-400</t>
  </si>
  <si>
    <t>17 592.00 руб.</t>
  </si>
  <si>
    <t>UNI-101697</t>
  </si>
  <si>
    <t>Песочный фильтр с верхним клапаном 1 1/2" TF-450</t>
  </si>
  <si>
    <t>19 872.00 руб.</t>
  </si>
  <si>
    <t>UNI-101698</t>
  </si>
  <si>
    <t>Песочный фильтр с верхним клапаном 1 1/2" TF-525</t>
  </si>
  <si>
    <t>21 335.00 руб.</t>
  </si>
  <si>
    <t>UNI-101699</t>
  </si>
  <si>
    <t>Песочный фильтр с верхним клапаном 1 1/2" TF-650</t>
  </si>
  <si>
    <t>28 331.00 руб.</t>
  </si>
  <si>
    <t>UNI-101700</t>
  </si>
  <si>
    <t>Песочный фильтр с верхним клапаном 1 1/2" TF-700</t>
  </si>
  <si>
    <t>32 522.00 руб.</t>
  </si>
  <si>
    <t>UNI-101701</t>
  </si>
  <si>
    <t>Песочный фильтр с верхним клапаном 2" TF-750</t>
  </si>
  <si>
    <t>UNI-101702</t>
  </si>
  <si>
    <t>Песочный фильтр с верхним клапаном 2" TF-800</t>
  </si>
  <si>
    <t>43 204.00 руб.</t>
  </si>
  <si>
    <t>UNI-101703</t>
  </si>
  <si>
    <t>Песочный фильтр с верхним клапаном 2" TF-900</t>
  </si>
  <si>
    <t>49 293.00 руб.</t>
  </si>
  <si>
    <t>Фекальные насосы</t>
  </si>
  <si>
    <t>Фекальные насосы UNIPUMP</t>
  </si>
  <si>
    <t>UNI-101579</t>
  </si>
  <si>
    <t>Автоматическая трубная муфта DN50</t>
  </si>
  <si>
    <t>5 656.00 руб.</t>
  </si>
  <si>
    <t>UNI-101580</t>
  </si>
  <si>
    <t>Автоматическая трубная муфта DN65</t>
  </si>
  <si>
    <t>7 397.00 руб.</t>
  </si>
  <si>
    <t>UNI-101581</t>
  </si>
  <si>
    <t>Автоматическая трубная муфта DN80</t>
  </si>
  <si>
    <t>11 649.00 руб.</t>
  </si>
  <si>
    <t>UNI-101582</t>
  </si>
  <si>
    <t>Фекальный насос FEKACUT V1100DF</t>
  </si>
  <si>
    <t>25 642.00 руб.</t>
  </si>
  <si>
    <t>UNI-101583</t>
  </si>
  <si>
    <t>Фекальный насос FEKACUT V1300DF</t>
  </si>
  <si>
    <t>28 649.00 руб.</t>
  </si>
  <si>
    <t>UNI-101584</t>
  </si>
  <si>
    <t>Фекальный насос FEKACUT V1800DF</t>
  </si>
  <si>
    <t>38 766.00 руб.</t>
  </si>
  <si>
    <t>UNI-101585</t>
  </si>
  <si>
    <t>Фекальный насос FEKACUT V2200DF</t>
  </si>
  <si>
    <t>40 346.00 руб.</t>
  </si>
  <si>
    <t>UNI-101586</t>
  </si>
  <si>
    <t>Фекальный насос FEKACUT V750DF</t>
  </si>
  <si>
    <t>23 150.00 руб.</t>
  </si>
  <si>
    <t>UNI-101587</t>
  </si>
  <si>
    <t>Фекальный насос FEKAMAX 10-10-0,75</t>
  </si>
  <si>
    <t>27 763.00 руб.</t>
  </si>
  <si>
    <t>UNI-101588</t>
  </si>
  <si>
    <t>Фекальный насос FEKAMAX 100-15-7,5</t>
  </si>
  <si>
    <t>87 213.00 руб.</t>
  </si>
  <si>
    <t>UNI-101589</t>
  </si>
  <si>
    <t>Фекальный насос FEKAMAX 12-10-1,1</t>
  </si>
  <si>
    <t>31 144.00 руб.</t>
  </si>
  <si>
    <t>UNI-101590</t>
  </si>
  <si>
    <t>Фекальный насос FEKAMAX 15-13-1,5</t>
  </si>
  <si>
    <t>38 086.00 руб.</t>
  </si>
  <si>
    <t>UNI-101591</t>
  </si>
  <si>
    <t>Фекальный насос FEKAMAX 25-15-2,2</t>
  </si>
  <si>
    <t>46 364.00 руб.</t>
  </si>
  <si>
    <t>UNI-101592</t>
  </si>
  <si>
    <t>Фекальный насос FEKAMAX 35-13-3</t>
  </si>
  <si>
    <t>54 325.00 руб.</t>
  </si>
  <si>
    <t>UNI-101593</t>
  </si>
  <si>
    <t>Фекальный насос FEKAMAX 45-17-4</t>
  </si>
  <si>
    <t>64 941.00 руб.</t>
  </si>
  <si>
    <t>UNI-101594</t>
  </si>
  <si>
    <t>Фекальный насос FEKAMAX 65-15-5,5</t>
  </si>
  <si>
    <t>78 125.00 руб.</t>
  </si>
  <si>
    <t>Шламовые насосы UNIPUMP</t>
  </si>
  <si>
    <t>UNI-101596</t>
  </si>
  <si>
    <t>Шламовый насос USP 12-30-3,7</t>
  </si>
  <si>
    <t>85 943.00 руб.</t>
  </si>
  <si>
    <t>UNI-101597</t>
  </si>
  <si>
    <t>Шламовый насос USP 15-15-1,5</t>
  </si>
  <si>
    <t>48 937.00 руб.</t>
  </si>
  <si>
    <t>UNI-101598</t>
  </si>
  <si>
    <t>Шламовый насос USP 18-20-2,2</t>
  </si>
  <si>
    <t>54 553.00 руб.</t>
  </si>
  <si>
    <t>UNI-101599</t>
  </si>
  <si>
    <t>Шламовый насос USP 30-20-3,7</t>
  </si>
  <si>
    <t>91 375.00 руб.</t>
  </si>
  <si>
    <t>UNI-101600</t>
  </si>
  <si>
    <t>Шламовый насос USP 36-11-2,2</t>
  </si>
  <si>
    <t>55 820.00 руб.</t>
  </si>
  <si>
    <t>UNI-101601</t>
  </si>
  <si>
    <t>Шламовый насос USP 36-25-5,5</t>
  </si>
  <si>
    <t>111 365.00 руб.</t>
  </si>
  <si>
    <t>UNI-101602</t>
  </si>
  <si>
    <t>Шламовый насос USP 48-30-7,5</t>
  </si>
  <si>
    <t>158 097.00 руб.</t>
  </si>
  <si>
    <t>UNI-101603</t>
  </si>
  <si>
    <t>Шламовый насос USP 60-12-3,7</t>
  </si>
  <si>
    <t>89 694.00 руб.</t>
  </si>
  <si>
    <t>UNI-101604</t>
  </si>
  <si>
    <t>Шламовый насос USP 60-16-5,5</t>
  </si>
  <si>
    <t>117 577.00 руб.</t>
  </si>
  <si>
    <t>UNI-101605</t>
  </si>
  <si>
    <t>Шламовый насос USP 60-35-11</t>
  </si>
  <si>
    <t>179 643.00 руб.</t>
  </si>
  <si>
    <t>UNI-101606</t>
  </si>
  <si>
    <t>Шламовый насос USP4A 60-10-4</t>
  </si>
  <si>
    <t>166 358.00 руб.</t>
  </si>
  <si>
    <t>UNI-101607</t>
  </si>
  <si>
    <t>Шламовый насос USP4A 90-10-6</t>
  </si>
  <si>
    <t>191 103.00 руб.</t>
  </si>
  <si>
    <t>UNI-101608</t>
  </si>
  <si>
    <t>Шламовый насос USPA 15-15-1,5</t>
  </si>
  <si>
    <t>53 836.00 руб.</t>
  </si>
  <si>
    <t>UNI-101609</t>
  </si>
  <si>
    <t>Шламовый насос USPA 30-20-3,7</t>
  </si>
  <si>
    <t>99 988.00 руб.</t>
  </si>
  <si>
    <t>Электродвигатели АИР</t>
  </si>
  <si>
    <t>UNI-102143</t>
  </si>
  <si>
    <t>Электродвигатель АИР  56A2 (Ал)  IM1081 (0,18 кВт/3000 об/мин), корпус алюминий</t>
  </si>
  <si>
    <t>3 760.00 руб.</t>
  </si>
  <si>
    <t>UNI-102144</t>
  </si>
  <si>
    <t>Электродвигатель АИР  56A2 (Ал) IM2081 (0,18 кВт/3000 об/мин), корпус алюминий</t>
  </si>
  <si>
    <t>4 514.00 руб.</t>
  </si>
  <si>
    <t>UNI-102145</t>
  </si>
  <si>
    <t>Электродвигатель АИР  56A4 (Ал) IM1081 (0,12 кВт/1500 об/мин), корпус алюминий</t>
  </si>
  <si>
    <t>4 250.00 руб.</t>
  </si>
  <si>
    <t>UNI-102146</t>
  </si>
  <si>
    <t>Электродвигатель АИР  56A4 (Ал) IM2081 (0,12 кВт/1500 об/мин), корпус алюминий</t>
  </si>
  <si>
    <t>5 551.00 руб.</t>
  </si>
  <si>
    <t>UNI-102147</t>
  </si>
  <si>
    <t>Электродвигатель АИР  56B2 (Ал) IM1081 (0,25 кВт/3000 об/мин), корпус алюминий</t>
  </si>
  <si>
    <t>4 654.00 руб.</t>
  </si>
  <si>
    <t>UNI-102148</t>
  </si>
  <si>
    <t>Электродвигатель АИР  56B2 (Ал) IM2081 (0,25 кВт/3000 об/мин), корпус алюминий</t>
  </si>
  <si>
    <t>4 483.00 руб.</t>
  </si>
  <si>
    <t>UNI-102149</t>
  </si>
  <si>
    <t>Электродвигатель АИР  56B4 (Ал) IM2081 (0,18 кВт/1500 об/мин), корпус алюминий</t>
  </si>
  <si>
    <t>5 131.00 руб.</t>
  </si>
  <si>
    <t>UNI-102150</t>
  </si>
  <si>
    <t>Электродвигатель АИР  63A2 (Ал) IM1081 (0,37 кВт/3000 об/мин), корпус алюминий</t>
  </si>
  <si>
    <t>6 404.00 руб.</t>
  </si>
  <si>
    <t>UNI-102151</t>
  </si>
  <si>
    <t>Электродвигатель АИР  63A2 (Ал) IM2081 (0,37 кВт/3000 об/мин), корпус алюминий</t>
  </si>
  <si>
    <t>6 722.00 руб.</t>
  </si>
  <si>
    <t>UNI-102152</t>
  </si>
  <si>
    <t>Электродвигатель АИР  63A4 (Ал) IM1081 (0,25 кВт/1500 об/мин), корпус алюминий</t>
  </si>
  <si>
    <t>7 589.00 руб.</t>
  </si>
  <si>
    <t>UNI-102153</t>
  </si>
  <si>
    <t>Электродвигатель АИР  63A4 (Ал) IM2081 (0,25 кВт/1500 об/мин), корпус алюминий</t>
  </si>
  <si>
    <t>6 927.00 руб.</t>
  </si>
  <si>
    <t>UNI-102154</t>
  </si>
  <si>
    <t>Электродвигатель АИР  63A6 (Ал) IM1081 (0,18 кВт/1000 об/мин), корпус алюминий</t>
  </si>
  <si>
    <t>7 275.00 руб.</t>
  </si>
  <si>
    <t>UNI-102155</t>
  </si>
  <si>
    <t>Электродвигатель АИР  63A6 (Ал) IM2081 (0,18 кВт/1000 об/мин), корпус алюминий</t>
  </si>
  <si>
    <t>7 629.00 руб.</t>
  </si>
  <si>
    <t>UNI-102156</t>
  </si>
  <si>
    <t>Электродвигатель АИР  63B2 (Ал) IM1081 (0,55 кВт/3000 об/мин), корпус алюминий</t>
  </si>
  <si>
    <t>5 616.00 руб.</t>
  </si>
  <si>
    <t>UNI-102157</t>
  </si>
  <si>
    <t>Электродвигатель АИР  63B2 (Ал) IM2081 (0,55 кВт/3000 об/мин), корпус алюминий</t>
  </si>
  <si>
    <t>5 910.00 руб.</t>
  </si>
  <si>
    <t>UNI-102158</t>
  </si>
  <si>
    <t>Электродвигатель АИР  63B4 (Ал) IM1081 (0,37 кВт/1500 об/мин), корпус алюминий</t>
  </si>
  <si>
    <t>5 653.00 руб.</t>
  </si>
  <si>
    <t>UNI-102159</t>
  </si>
  <si>
    <t>Электродвигатель АИР  63B6 (Ал) IM1081 (0,25 кВт/1000 об/мин), корпус алюминий</t>
  </si>
  <si>
    <t>7 772.00 руб.</t>
  </si>
  <si>
    <t>UNI-102160</t>
  </si>
  <si>
    <t>Электродвигатель АИР  63B6 (Ал) IM2081 (0,25 кВт/1000 об/мин), корпус алюминий</t>
  </si>
  <si>
    <t>8 125.00 руб.</t>
  </si>
  <si>
    <t>UNI-102161</t>
  </si>
  <si>
    <t>Электродвигатель АИР  71A2 (Ал) IM2081 (0,75 кВт/3000 об/мин), корпус алюминий</t>
  </si>
  <si>
    <t>8 590.00 руб.</t>
  </si>
  <si>
    <t>UNI-102162</t>
  </si>
  <si>
    <t>Электродвигатель АИР  71A4 (Ал) IM1081 (0,55 кВт/1500 об/мин), корпус алюминий</t>
  </si>
  <si>
    <t>8 007.00 руб.</t>
  </si>
  <si>
    <t>UNI-102163</t>
  </si>
  <si>
    <t>Электродвигатель АИР  71A4 (Ал) IM2081 (0,55 кВт/1500 об/мин), корпус алюминий</t>
  </si>
  <si>
    <t>7 657.00 руб.</t>
  </si>
  <si>
    <t>UNI-102164</t>
  </si>
  <si>
    <t>Электродвигатель АИР  71A6 (Ал) IM1081 (0,37 кВт/1000 об/мин), корпус алюминий</t>
  </si>
  <si>
    <t>6 445.00 руб.</t>
  </si>
  <si>
    <t>UNI-102165</t>
  </si>
  <si>
    <t>Электродвигатель АИР  71A6 (Ал) IM2081 (0,37 кВт/1000 об/мин), корпус алюминий</t>
  </si>
  <si>
    <t>7 971.00 руб.</t>
  </si>
  <si>
    <t>UNI-102166</t>
  </si>
  <si>
    <t>Электродвигатель АИР  71B2 (Ал) IM1081 (1,1 кВт/3000 об/мин), корпус алюминий</t>
  </si>
  <si>
    <t>7 491.00 руб.</t>
  </si>
  <si>
    <t>UNI-102167</t>
  </si>
  <si>
    <t>Электродвигатель АИР  71B2 (Ал) IM2081 (1,1 кВт/3000 об/мин), корпус алюминий</t>
  </si>
  <si>
    <t>8 366.00 руб.</t>
  </si>
  <si>
    <t>UNI-102168</t>
  </si>
  <si>
    <t>Электродвигатель АИР  71B4 (Ал) IM1081 (0,75 кВт/1500 об/мин), корпус алюминий</t>
  </si>
  <si>
    <t>6 912.00 руб.</t>
  </si>
  <si>
    <t>UNI-102169</t>
  </si>
  <si>
    <t>Электродвигатель АИР  71B4 (Ал) IM2081 (0,75 кВт/1500 об/мин), корпус алюминий</t>
  </si>
  <si>
    <t>9 948.00 руб.</t>
  </si>
  <si>
    <t>UNI-102170</t>
  </si>
  <si>
    <t>Электродвигатель АИР  71B6 (Ал) IM2081 (0,55 кВт/1000 об/мин), корпус алюминий</t>
  </si>
  <si>
    <t>7 267.00 руб.</t>
  </si>
  <si>
    <t>UNI-102171</t>
  </si>
  <si>
    <t>Электродвигатель АИР  71B8 (Ал) IM2081 (0,25 кВт/750 об/мин), корпус алюминий</t>
  </si>
  <si>
    <t>10 520.00 руб.</t>
  </si>
  <si>
    <t>UNI-102172</t>
  </si>
  <si>
    <t>Электродвигатель АИР  80A2 (Ал) IM1081 (1,5 кВт/3000 об/мин), корпус алюминий</t>
  </si>
  <si>
    <t>8 416.00 руб.</t>
  </si>
  <si>
    <t>UNI-102173</t>
  </si>
  <si>
    <t>Электродвигатель АИР  80A2 (Ал) IM2081 (1,5 кВт/3000 об/мин), корпус алюминий</t>
  </si>
  <si>
    <t>11 592.00 руб.</t>
  </si>
  <si>
    <t>UNI-102174</t>
  </si>
  <si>
    <t>Электродвигатель АИР  80A4 (Ал) IM1081 (1,1 кВт/1500 об/мин), корпус алюминий</t>
  </si>
  <si>
    <t>8 589.00 руб.</t>
  </si>
  <si>
    <t>UNI-102175</t>
  </si>
  <si>
    <t>Электродвигатель АИР  80A4 (Ал) IM2081 (1,1 кВт/1500 об/мин), корпус алюминий</t>
  </si>
  <si>
    <t>9 144.00 руб.</t>
  </si>
  <si>
    <t>UNI-102176</t>
  </si>
  <si>
    <t>Электродвигатель АИР  80A6 (Ал) IM1081 (0,75 кВт/1000 об/мин), корпус алюминий</t>
  </si>
  <si>
    <t>8 853.00 руб.</t>
  </si>
  <si>
    <t>UNI-102177</t>
  </si>
  <si>
    <t>Электродвигатель АИР  80A6 (Ал) IM2081 (0,75 кВт/1000 об/мин), корпус алюминий</t>
  </si>
  <si>
    <t>12 531.00 руб.</t>
  </si>
  <si>
    <t>UNI-102178</t>
  </si>
  <si>
    <t>Электродвигатель АИР  80B4 (AL) IM2081 (1,5 кВт/1500 об/мин), корпус алюминий</t>
  </si>
  <si>
    <t>10 757.00 руб.</t>
  </si>
  <si>
    <t>UNI-102179</t>
  </si>
  <si>
    <t>Электродвигатель АИР  80B6 (Ал) IM1081 (1,1 кВт/1000 об/мин), корпус алюминий</t>
  </si>
  <si>
    <t>10 223.00 руб.</t>
  </si>
  <si>
    <t>UNI-102180</t>
  </si>
  <si>
    <t>Электродвигатель АИР  90L2 (Ал) IM1081 (3 кВт/3000 об/мин), корпус алюминий</t>
  </si>
  <si>
    <t>12 822.00 руб.</t>
  </si>
  <si>
    <t>UNI-102181</t>
  </si>
  <si>
    <t>Электродвигатель АИР  90L2 (Ал) IM2081 (3 кВт/3000 об/мин), корпус алюминий</t>
  </si>
  <si>
    <t>12 602.00 руб.</t>
  </si>
  <si>
    <t>UNI-102182</t>
  </si>
  <si>
    <t>Электродвигатель АИР  90L4 (AL) IM1081 (2,2 кВт/1500 об/мин), корпус алюминий</t>
  </si>
  <si>
    <t>11 984.00 руб.</t>
  </si>
  <si>
    <t>UNI-102183</t>
  </si>
  <si>
    <t>Электродвигатель АИР  90L6 (Ал) IM2081 (1,5 кВт/1000 об/мин), корпус алюминий</t>
  </si>
  <si>
    <t>15 322.00 руб.</t>
  </si>
  <si>
    <t>UNI-102184</t>
  </si>
  <si>
    <t>Электродвигатель АИР 100L6 IM1081 (2,2 кВт/1000 об/мин)</t>
  </si>
  <si>
    <t>16 170.00 руб.</t>
  </si>
  <si>
    <t>UNI-102185</t>
  </si>
  <si>
    <t>Электродвигатель АИР 100L6 IM2081 (2,2 кВт/1000 об/мин)</t>
  </si>
  <si>
    <t>23 010.00 руб.</t>
  </si>
  <si>
    <t>UNI-102186</t>
  </si>
  <si>
    <t>Электродвигатель АИР 100S2 IM1081 (4 кВт/3000 об/мин)</t>
  </si>
  <si>
    <t>15 865.00 руб.</t>
  </si>
  <si>
    <t>UNI-102187</t>
  </si>
  <si>
    <t>Электродвигатель АИР 100S2 IM2081 (4 кВт/3000 об/мин)</t>
  </si>
  <si>
    <t>16 961.00 руб.</t>
  </si>
  <si>
    <t>UNI-102188</t>
  </si>
  <si>
    <t>Электродвигатель АИР 100S4 IM1081 (3 кВт/1500 об/мин)</t>
  </si>
  <si>
    <t>15 299.00 руб.</t>
  </si>
  <si>
    <t>UNI-102189</t>
  </si>
  <si>
    <t>Электродвигатель АИР 100S4 IM2081 (3 кВт/1500 об/мин)</t>
  </si>
  <si>
    <t>16 103.00 руб.</t>
  </si>
  <si>
    <t>UNI-102190</t>
  </si>
  <si>
    <t>Электродвигатель АИР 112M2 IM2081 (7,5 кВт/3000 об/мин)</t>
  </si>
  <si>
    <t>32 769.00 руб.</t>
  </si>
  <si>
    <t>UNI-102191</t>
  </si>
  <si>
    <t>Электродвигатель АИР 112M4 IM2081 (5,5 кВт/1500 об/мин)</t>
  </si>
  <si>
    <t>29 320.00 руб.</t>
  </si>
  <si>
    <t>UNI-102192</t>
  </si>
  <si>
    <t>Электродвигатель АИР 112MA6 IM1081 (3 кВт/1000 об/мин)</t>
  </si>
  <si>
    <t>19 316.00 руб.</t>
  </si>
  <si>
    <t>UNI-102193</t>
  </si>
  <si>
    <t>Электродвигатель АИР 112MA6 IM2081 (3 кВт, 1000 об/мин)</t>
  </si>
  <si>
    <t>20 451.00 руб.</t>
  </si>
  <si>
    <t>UNI-102194</t>
  </si>
  <si>
    <t>Электродвигатель АИР 112MA8 IM1081 (2,2 кВт/750 об/мин)</t>
  </si>
  <si>
    <t>19 559.00 руб.</t>
  </si>
  <si>
    <t>UNI-102195</t>
  </si>
  <si>
    <t>Электродвигатель АИР 112MA8 IM2081 (2,2 кВт/750 об/мин)</t>
  </si>
  <si>
    <t>27 865.00 руб.</t>
  </si>
  <si>
    <t>UNI-102196</t>
  </si>
  <si>
    <t>Электродвигатель АИР 112MB6 IM1081 (4 кВт/1000 об/мин)</t>
  </si>
  <si>
    <t>21 755.00 руб.</t>
  </si>
  <si>
    <t>UNI-102197</t>
  </si>
  <si>
    <t>Электродвигатель АИР 112MB6 IM2081 (4 кВт/1000 об/мин)</t>
  </si>
  <si>
    <t>23 012.00 руб.</t>
  </si>
  <si>
    <t>UNI-102198</t>
  </si>
  <si>
    <t>Электродвигатель АИР 112MB8 IM2081 (3 кВт/750 об/мин)</t>
  </si>
  <si>
    <t>23 259.00 руб.</t>
  </si>
  <si>
    <t>UNI-102199</t>
  </si>
  <si>
    <t>Электродвигатель АИР 132M2 IM2081 (11 кВт/3000 об/мин)</t>
  </si>
  <si>
    <t>46 406.00 руб.</t>
  </si>
  <si>
    <t>UNI-102200</t>
  </si>
  <si>
    <t>Электродвигатель АИР 132M4 IM1081 (11 кВт/1500 об/мин)</t>
  </si>
  <si>
    <t>33 835.00 руб.</t>
  </si>
  <si>
    <t>UNI-102201</t>
  </si>
  <si>
    <t>Электродвигатель АИР 132M4 IM2081 (11 кВт/1500 об/мин)</t>
  </si>
  <si>
    <t>36 012.00 руб.</t>
  </si>
  <si>
    <t>UNI-102202</t>
  </si>
  <si>
    <t>Электродвигатель АИР 132M6 IM2081 (7,5кВт, 1000 об/мин)</t>
  </si>
  <si>
    <t>34 798.00 руб.</t>
  </si>
  <si>
    <t>UNI-102203</t>
  </si>
  <si>
    <t>Электродвигатель АИР 132M8 IM2081 (5,5 кВт/750 об/мин)</t>
  </si>
  <si>
    <t>47 621.00 руб.</t>
  </si>
  <si>
    <t>UNI-102204</t>
  </si>
  <si>
    <t>Электродвигатель АИР 132S4 IM1081 (7,5 кВт/1500 об/мин)</t>
  </si>
  <si>
    <t>30 518.00 руб.</t>
  </si>
  <si>
    <t>UNI-102205</t>
  </si>
  <si>
    <t>Электродвигатель АИР 132S4 IM2081 (7,5 кВт/1500 об/мин)</t>
  </si>
  <si>
    <t>32 334.00 руб.</t>
  </si>
  <si>
    <t>UNI-102206</t>
  </si>
  <si>
    <t>Электродвигатель АИР 132S6 IM1081 (5,5 кВт/1000 об/мин)</t>
  </si>
  <si>
    <t>41 530.00 руб.</t>
  </si>
  <si>
    <t>UNI-102207</t>
  </si>
  <si>
    <t>Электродвигатель АИР 132S6 IM2081 (5,5 кВт/1000 об/мин)</t>
  </si>
  <si>
    <t>29 246.00 руб.</t>
  </si>
  <si>
    <t>UNI-102208</t>
  </si>
  <si>
    <t>Электродвигатель АИР 160M2 IM1081 (18,5 кВт/3000 об/мин)</t>
  </si>
  <si>
    <t>72 376.00 руб.</t>
  </si>
  <si>
    <t>UNI-102209</t>
  </si>
  <si>
    <t>Электродвигатель АИР 160M4 IM1081 (18,5 кВт/1500 об/мин)</t>
  </si>
  <si>
    <t>79 519.00 руб.</t>
  </si>
  <si>
    <t>UNI-102210</t>
  </si>
  <si>
    <t>Электродвигатель АИР 160M4 IM2081 (18,5 кВт/1500 об/мин)</t>
  </si>
  <si>
    <t>83 879.00 руб.</t>
  </si>
  <si>
    <t>UNI-102211</t>
  </si>
  <si>
    <t>Электродвигатель АИР 160M6 IM1081 (15 кВт/1000 об/мин)</t>
  </si>
  <si>
    <t>89 118.00 руб.</t>
  </si>
  <si>
    <t>UNI-102212</t>
  </si>
  <si>
    <t>Электродвигатель АИР 160S2 IM1081 (15 кВт/3000 об/мин)</t>
  </si>
  <si>
    <t>49 323.00 руб.</t>
  </si>
  <si>
    <t>UNI-102213</t>
  </si>
  <si>
    <t>Электродвигатель АИР 160S2 IM2081 (15 кВт/3000 об/мин)</t>
  </si>
  <si>
    <t>58 394.00 руб.</t>
  </si>
  <si>
    <t>UNI-102214</t>
  </si>
  <si>
    <t>Электродвигатель АИР 160S4 IM1081 (15 кВт/1500 об/мин)</t>
  </si>
  <si>
    <t>50 319.00 руб.</t>
  </si>
  <si>
    <t>UNI-102215</t>
  </si>
  <si>
    <t>Электродвигатель АИР 160S4 IM2081 (15 кВт/1500 об/мин)</t>
  </si>
  <si>
    <t>71 337.00 руб.</t>
  </si>
  <si>
    <t>UNI-102216</t>
  </si>
  <si>
    <t>Электродвигатель АИР 160S6 IM1081 (11 кВт/1000 об/мин)</t>
  </si>
  <si>
    <t>79 515.00 руб.</t>
  </si>
  <si>
    <t>UNI-102217</t>
  </si>
  <si>
    <t>Электродвигатель АИР 160S6 IM2081 (11 кВт/1000 об/мин)</t>
  </si>
  <si>
    <t>83 325.00 руб.</t>
  </si>
  <si>
    <t>UNI-102218</t>
  </si>
  <si>
    <t>Электродвигатель АИР 180M2 IM1081 (30 кВт/3000 об/мин)</t>
  </si>
  <si>
    <t>103 826.00 руб.</t>
  </si>
  <si>
    <t>UNI-102219</t>
  </si>
  <si>
    <t>Электродвигатель АИР 180M4 IM1081 (30 кВт/1500 об/мин)</t>
  </si>
  <si>
    <t>95 126.00 руб.</t>
  </si>
  <si>
    <t>UNI-102220</t>
  </si>
  <si>
    <t>Электродвигатель АИР 180M4 IM2081 (30 кВт/1500 об/мин)</t>
  </si>
  <si>
    <t>115 659.00 руб.</t>
  </si>
  <si>
    <t>UNI-102221</t>
  </si>
  <si>
    <t>Электродвигатель АИР 180S2 IM1081 (22 кВт/3000 об/мин)</t>
  </si>
  <si>
    <t>77 826.00 руб.</t>
  </si>
  <si>
    <t>UNI-102222</t>
  </si>
  <si>
    <t>Электродвигатель АИР 180S4 IM1081 (22 кВт/1500 об/мин)</t>
  </si>
  <si>
    <t>70 619.00 руб.</t>
  </si>
  <si>
    <t>UNI-102223</t>
  </si>
  <si>
    <t>Электродвигатель АИР 180S4 IM2081 (22 кВт/1500 об/мин)</t>
  </si>
  <si>
    <t>98 998.00 руб.</t>
  </si>
  <si>
    <t>UNI-102224</t>
  </si>
  <si>
    <t>Электродвигатель АИРЕ 56C2 IM1081 (0,25 кВт/3000 об/мин)</t>
  </si>
  <si>
    <t>5 445.00 руб.</t>
  </si>
  <si>
    <t>UNI-102225</t>
  </si>
  <si>
    <t>Электродвигатель АИРЕ 56C2 IM2081 (0,25 кВт/3000 об/мин)</t>
  </si>
  <si>
    <t>5 280.00 руб.</t>
  </si>
  <si>
    <t>UNI-102226</t>
  </si>
  <si>
    <t>Электродвигатель АИРЕ 71B2 IM1081 (0,75 кВт/3000 об/мин)</t>
  </si>
  <si>
    <t>7 685.00 руб.</t>
  </si>
  <si>
    <t>UNI-102227</t>
  </si>
  <si>
    <t>Электродвигатель АИРЕ 71B2 IM2081 (0,75 кВт/3000 об/мин)</t>
  </si>
  <si>
    <t>9 639.00 руб.</t>
  </si>
  <si>
    <t>UNI-102228</t>
  </si>
  <si>
    <t>Электродвигатель АИРЕ 71B4 IM1081 (0,55 кВт/1500 об/мин)</t>
  </si>
  <si>
    <t>8 439.00 руб.</t>
  </si>
  <si>
    <t>UNI-102229</t>
  </si>
  <si>
    <t>Электродвигатель АИРЕ 71B4 IM2081 (0,55 кВт/1500 об/мин)</t>
  </si>
  <si>
    <t>8 882.00 руб.</t>
  </si>
  <si>
    <t>UNI-102230</t>
  </si>
  <si>
    <t>Электродвигатель АИРЕ 71C2 IM1081 (1,1 кВт/3000 об/мин)</t>
  </si>
  <si>
    <t>8 724.00 руб.</t>
  </si>
  <si>
    <t>UNI-102231</t>
  </si>
  <si>
    <t>Электродвигатель АИРЕ 71C2 IM2081 (1,1 кВт/3000 об/мин)</t>
  </si>
  <si>
    <t>9 397.00 руб.</t>
  </si>
  <si>
    <t>UNI-102232</t>
  </si>
  <si>
    <t>Электродвигатель АИРЕ 71C4 IM2081 (0,75 кВт/1500 об/мин)</t>
  </si>
  <si>
    <t>10 749.00 руб.</t>
  </si>
  <si>
    <t>UNI-102233</t>
  </si>
  <si>
    <t>Электродвигатель АИРЕ 80B2 IM1081 (1,5 кВт/3000 об/мин)</t>
  </si>
  <si>
    <t>11 215.00 руб.</t>
  </si>
  <si>
    <t>UNI-102234</t>
  </si>
  <si>
    <t>Электродвигатель АИРЕ 80B2 IM2081 (1,5 кВт/3000 об/мин)</t>
  </si>
  <si>
    <t>13 153.00 руб.</t>
  </si>
  <si>
    <t>UNI-102235</t>
  </si>
  <si>
    <t>Электродвигатель АИРЕ 80B4 IM2081 (1,1 кВт/1500 об/мин)</t>
  </si>
  <si>
    <t>13 906.00 руб.</t>
  </si>
  <si>
    <t>UNI-102236</t>
  </si>
  <si>
    <t>Электродвигатель АИРЕ 80C2 IM1081 (2,2 кВт/3000 об/мин)</t>
  </si>
  <si>
    <t>12 141.00 руб.</t>
  </si>
  <si>
    <t>UNI-102237</t>
  </si>
  <si>
    <t>Электродвигатель АИРЕ 80C2 IM2081 (2,2 кВт/3000 об/мин)</t>
  </si>
  <si>
    <t>13 108.00 руб.</t>
  </si>
  <si>
    <t>UNI-102238</t>
  </si>
  <si>
    <t>Электродвигатель АИРЕ 80C4 IM2081 (1,5 кВт/1500 об/мин)</t>
  </si>
  <si>
    <t>13 316.00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</si>
</sst>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  <fill>
      <patternFill patternType="solid">
        <fgColor rgb="F2F2F2"/>
        <bgColor rgb="F2F2F2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  <xf xfId="0" fontId="1" numFmtId="0" fillId="6" borderId="1" applyFont="1" applyNumberFormat="0" applyFill="1" applyBorder="1" applyAlignment="1">
      <alignment horizontal="general" vertical="center" textRotation="0" wrapText="true" shrinkToFit="false" indent="5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7fc5a31_86a6_11e9_8101_003048fd731b_695c4511_11fe_11ef_a5b8_047c1617b1431.jpeg"/><Relationship Id="rId2" Type="http://schemas.openxmlformats.org/officeDocument/2006/relationships/image" Target="../media/77fc5a33_86a6_11e9_8101_003048fd731b_695c4515_11fe_11ef_a5b8_047c1617b1432.jpeg"/><Relationship Id="rId3" Type="http://schemas.openxmlformats.org/officeDocument/2006/relationships/image" Target="../media/77fc5a35_86a6_11e9_8101_003048fd731b_695c4519_11fe_11ef_a5b8_047c1617b1433.jpeg"/><Relationship Id="rId4" Type="http://schemas.openxmlformats.org/officeDocument/2006/relationships/image" Target="../media/77fc5a37_86a6_11e9_8101_003048fd731b_695c4525_11fe_11ef_a5b8_047c1617b1434.jpeg"/><Relationship Id="rId5" Type="http://schemas.openxmlformats.org/officeDocument/2006/relationships/image" Target="../media/77fc5a39_86a6_11e9_8101_003048fd731b_695c4521_11fe_11ef_a5b8_047c1617b1435.jpeg"/><Relationship Id="rId6" Type="http://schemas.openxmlformats.org/officeDocument/2006/relationships/image" Target="../media/77fc5a3b_86a6_11e9_8101_003048fd731b_695c451d_11fe_11ef_a5b8_047c1617b1436.jpeg"/><Relationship Id="rId7" Type="http://schemas.openxmlformats.org/officeDocument/2006/relationships/image" Target="../media/77fc5a3d_86a6_11e9_8101_003048fd731b_695c4529_11fe_11ef_a5b8_047c1617b1437.jpeg"/><Relationship Id="rId8" Type="http://schemas.openxmlformats.org/officeDocument/2006/relationships/image" Target="../media/77fc5a3f_86a6_11e9_8101_003048fd731b_695c452d_11fe_11ef_a5b8_047c1617b1438.jpeg"/><Relationship Id="rId9" Type="http://schemas.openxmlformats.org/officeDocument/2006/relationships/image" Target="../media/77fc5a41_86a6_11e9_8101_003048fd731b_695c4531_11fe_11ef_a5b8_047c1617b1439.jpeg"/><Relationship Id="rId10" Type="http://schemas.openxmlformats.org/officeDocument/2006/relationships/image" Target="../media/77fc5a43_86a6_11e9_8101_003048fd731b_695c4535_11fe_11ef_a5b8_047c1617b14310.jpeg"/><Relationship Id="rId11" Type="http://schemas.openxmlformats.org/officeDocument/2006/relationships/image" Target="../media/77fc5a4a_86a6_11e9_8101_003048fd731b_695c450d_11fe_11ef_a5b8_047c1617b14311.jpeg"/><Relationship Id="rId12" Type="http://schemas.openxmlformats.org/officeDocument/2006/relationships/image" Target="../media/a05f35d4_ce20_11eb_82ca_003048fd731b_a15553cc_602e_11ec_a20b_00259070b48712.jpeg"/><Relationship Id="rId13" Type="http://schemas.openxmlformats.org/officeDocument/2006/relationships/image" Target="../media/a05f35d6_ce20_11eb_82ca_003048fd731b_a15553cd_602e_11ec_a20b_00259070b48713.jpeg"/><Relationship Id="rId14" Type="http://schemas.openxmlformats.org/officeDocument/2006/relationships/image" Target="../media/a05f35da_ce20_11eb_82ca_003048fd731b_a15553cf_602e_11ec_a20b_00259070b48714.jpeg"/><Relationship Id="rId15" Type="http://schemas.openxmlformats.org/officeDocument/2006/relationships/image" Target="../media/a05f35dc_ce20_11eb_82ca_003048fd731b_a15553d0_602e_11ec_a20b_00259070b48715.jpeg"/><Relationship Id="rId16" Type="http://schemas.openxmlformats.org/officeDocument/2006/relationships/image" Target="../media/6563d0cb_1094_11ec_8327_003048fd731b_a15553d6_602e_11ec_a20b_00259070b48716.jpeg"/><Relationship Id="rId17" Type="http://schemas.openxmlformats.org/officeDocument/2006/relationships/image" Target="../media/6563d0cd_1094_11ec_8327_003048fd731b_a15553d7_602e_11ec_a20b_00259070b48717.jpeg"/><Relationship Id="rId18" Type="http://schemas.openxmlformats.org/officeDocument/2006/relationships/image" Target="../media/e7a442e6_c2d4_11ee_a54c_047c1617b143_14e1e0df_f93d_11ef_a6ea_047c1617b14318.jpeg"/><Relationship Id="rId19" Type="http://schemas.openxmlformats.org/officeDocument/2006/relationships/image" Target="../media/e7a442e8_c2d4_11ee_a54c_047c1617b143_14e1e0e0_f93d_11ef_a6ea_047c1617b14319.jpeg"/><Relationship Id="rId20" Type="http://schemas.openxmlformats.org/officeDocument/2006/relationships/image" Target="../media/c83f9ca6_f027_11eb_82fb_003048fd731b_62fcddff_11fe_11ef_a5b8_047c1617b14320.jpeg"/><Relationship Id="rId21" Type="http://schemas.openxmlformats.org/officeDocument/2006/relationships/image" Target="../media/c83f9ca8_f027_11eb_82fb_003048fd731b_62fcddfd_11fe_11ef_a5b8_047c1617b14321.jpeg"/><Relationship Id="rId22" Type="http://schemas.openxmlformats.org/officeDocument/2006/relationships/image" Target="../media/c83f9caa_f027_11eb_82fb_003048fd731b_62fcde03_11fe_11ef_a5b8_047c1617b14322.jpeg"/><Relationship Id="rId23" Type="http://schemas.openxmlformats.org/officeDocument/2006/relationships/image" Target="../media/c83f9cac_f027_11eb_82fb_003048fd731b_62fcde01_11fe_11ef_a5b8_047c1617b14323.jpeg"/><Relationship Id="rId24" Type="http://schemas.openxmlformats.org/officeDocument/2006/relationships/image" Target="../media/61991c19_230d_11ed_a307_00259070b487_62fcde05_11fe_11ef_a5b8_047c1617b14324.jpeg"/><Relationship Id="rId25" Type="http://schemas.openxmlformats.org/officeDocument/2006/relationships/image" Target="../media/61991c1b_230d_11ed_a307_00259070b487_62fcddf9_11fe_11ef_a5b8_047c1617b14325.jpeg"/><Relationship Id="rId26" Type="http://schemas.openxmlformats.org/officeDocument/2006/relationships/image" Target="../media/4c4fcfe5_66a3_11ed_a377_047c1617b143_62fcddfb_11fe_11ef_a5b8_047c1617b14326.jpeg"/><Relationship Id="rId27" Type="http://schemas.openxmlformats.org/officeDocument/2006/relationships/image" Target="../media/0d5e411a_d31e_11ed_a411_047c1617b143_62fcde0b_11fe_11ef_a5b8_047c1617b14327.jpeg"/><Relationship Id="rId28" Type="http://schemas.openxmlformats.org/officeDocument/2006/relationships/image" Target="../media/ab08e9a3_3fea_11ee_a4a3_047c1617b143_62fcde07_11fe_11ef_a5b8_047c1617b14328.jpeg"/><Relationship Id="rId29" Type="http://schemas.openxmlformats.org/officeDocument/2006/relationships/image" Target="../media/ab08e9a5_3fea_11ee_a4a3_047c1617b143_62fcde09_11fe_11ef_a5b8_047c1617b14329.jpeg"/><Relationship Id="rId30" Type="http://schemas.openxmlformats.org/officeDocument/2006/relationships/image" Target="../media/56fd1bfc_a454_11f0_a7d7_047c1617b143_8f4edd81_b6fe_11f0_a7ef_047c1617b14330.jpeg"/><Relationship Id="rId31" Type="http://schemas.openxmlformats.org/officeDocument/2006/relationships/image" Target="../media/56fd1bfe_a454_11f0_a7d7_047c1617b143_cc52da12_c375_11f0_a800_047c1617b14331.jpeg"/><Relationship Id="rId32" Type="http://schemas.openxmlformats.org/officeDocument/2006/relationships/image" Target="../media/56fd1c00_a454_11f0_a7d7_047c1617b143_8f4edd86_b6fe_11f0_a7ef_047c1617b14332.jpeg"/><Relationship Id="rId33" Type="http://schemas.openxmlformats.org/officeDocument/2006/relationships/image" Target="../media/56fd1c02_a454_11f0_a7d7_047c1617b143_8f4edd89_b6fe_11f0_a7ef_047c1617b14333.jpeg"/><Relationship Id="rId34" Type="http://schemas.openxmlformats.org/officeDocument/2006/relationships/image" Target="../media/56fd1c04_a454_11f0_a7d7_047c1617b143_8f4edd8c_b6fe_11f0_a7ef_047c1617b14334.jpeg"/><Relationship Id="rId35" Type="http://schemas.openxmlformats.org/officeDocument/2006/relationships/image" Target="../media/56fd1c06_a454_11f0_a7d7_047c1617b143_8f4edd8f_b6fe_11f0_a7ef_047c1617b14335.jpeg"/><Relationship Id="rId36" Type="http://schemas.openxmlformats.org/officeDocument/2006/relationships/image" Target="../media/ab08e9a7_3fea_11ee_a4a3_047c1617b143_62fcde13_11fe_11ef_a5b8_047c1617b14336.png"/><Relationship Id="rId37" Type="http://schemas.openxmlformats.org/officeDocument/2006/relationships/image" Target="../media/ab08e9a9_3fea_11ee_a4a3_047c1617b143_62fcde0d_11fe_11ef_a5b8_047c1617b14337.png"/><Relationship Id="rId38" Type="http://schemas.openxmlformats.org/officeDocument/2006/relationships/image" Target="../media/ab08e9ab_3fea_11ee_a4a3_047c1617b143_62fcde10_11fe_11ef_a5b8_047c1617b14338.png"/><Relationship Id="rId39" Type="http://schemas.openxmlformats.org/officeDocument/2006/relationships/image" Target="../media/ab08e9ad_3fea_11ee_a4a3_047c1617b143_62fcde16_11fe_11ef_a5b8_047c1617b14339.png"/><Relationship Id="rId40" Type="http://schemas.openxmlformats.org/officeDocument/2006/relationships/image" Target="../media/ab08e9af_3fea_11ee_a4a3_047c1617b143_62fcde19_11fe_11ef_a5b8_047c1617b14340.png"/><Relationship Id="rId41" Type="http://schemas.openxmlformats.org/officeDocument/2006/relationships/image" Target="../media/ea21c120_400c_11ee_a4a3_047c1617b143_695c44ea_11fe_11ef_a5b8_047c1617b14341.png"/><Relationship Id="rId42" Type="http://schemas.openxmlformats.org/officeDocument/2006/relationships/image" Target="../media/fa4c10ec_469b_11ef_a5fc_047c1617b143_0a6f3a09_310d_11f1_a89b_047c1617b14342.jpeg"/><Relationship Id="rId43" Type="http://schemas.openxmlformats.org/officeDocument/2006/relationships/image" Target="../media/fa4c10ee_469b_11ef_a5fc_047c1617b143_0a6f3a0b_310d_11f1_a89b_047c1617b14343.jpeg"/><Relationship Id="rId44" Type="http://schemas.openxmlformats.org/officeDocument/2006/relationships/image" Target="../media/f093110e_0c72_11ec_8321_003048fd731b_695c4544_11fe_11ef_a5b8_047c1617b14344.jpeg"/><Relationship Id="rId45" Type="http://schemas.openxmlformats.org/officeDocument/2006/relationships/image" Target="../media/f0931110_0c72_11ec_8321_003048fd731b_695c4548_11fe_11ef_a5b8_047c1617b14345.jpeg"/><Relationship Id="rId46" Type="http://schemas.openxmlformats.org/officeDocument/2006/relationships/image" Target="../media/f0931112_0c72_11ec_8321_003048fd731b_695c454c_11fe_11ef_a5b8_047c1617b14346.jpeg"/><Relationship Id="rId47" Type="http://schemas.openxmlformats.org/officeDocument/2006/relationships/image" Target="../media/28a1d0da_7e77_11f0_a7a6_047c1617b143_a24fffbb_96ed_11f0_a7c5_047c1617b14347.jpeg"/><Relationship Id="rId48" Type="http://schemas.openxmlformats.org/officeDocument/2006/relationships/image" Target="../media/28a1d0dc_7e77_11f0_a7a6_047c1617b143_d79fde81_96ec_11f0_a7c5_047c1617b14348.jpeg"/><Relationship Id="rId49" Type="http://schemas.openxmlformats.org/officeDocument/2006/relationships/image" Target="../media/28a1d0de_7e77_11f0_a7a6_047c1617b143_a24fffb7_96ed_11f0_a7c5_047c1617b14349.jpeg"/><Relationship Id="rId50" Type="http://schemas.openxmlformats.org/officeDocument/2006/relationships/image" Target="../media/28a1d0e0_7e77_11f0_a7a6_047c1617b143_a24fffb9_96ed_11f0_a7c5_047c1617b14350.jpeg"/><Relationship Id="rId51" Type="http://schemas.openxmlformats.org/officeDocument/2006/relationships/image" Target="../media/21a39b91_019d_11ef_a5a2_047c1617b143_ae66e5fa_3fbb_11ef_a5f3_047c1617b14351.jpeg"/><Relationship Id="rId52" Type="http://schemas.openxmlformats.org/officeDocument/2006/relationships/image" Target="../media/21a39b93_019d_11ef_a5a2_047c1617b143_ae66e5fb_3fbb_11ef_a5f3_047c1617b14352.jpeg"/><Relationship Id="rId53" Type="http://schemas.openxmlformats.org/officeDocument/2006/relationships/image" Target="../media/21a39b95_019d_11ef_a5a2_047c1617b143_ae66e5fc_3fbb_11ef_a5f3_047c1617b14353.jpeg"/><Relationship Id="rId54" Type="http://schemas.openxmlformats.org/officeDocument/2006/relationships/image" Target="../media/21a39b97_019d_11ef_a5a2_047c1617b143_ae66e5fd_3fbb_11ef_a5f3_047c1617b14354.jpeg"/><Relationship Id="rId55" Type="http://schemas.openxmlformats.org/officeDocument/2006/relationships/image" Target="../media/21a39b99_019d_11ef_a5a2_047c1617b143_ae66e5fe_3fbb_11ef_a5f3_047c1617b14355.jpeg"/><Relationship Id="rId56" Type="http://schemas.openxmlformats.org/officeDocument/2006/relationships/image" Target="../media/21a39b9b_019d_11ef_a5a2_047c1617b143_ae66e5ff_3fbb_11ef_a5f3_047c1617b14356.jpeg"/><Relationship Id="rId57" Type="http://schemas.openxmlformats.org/officeDocument/2006/relationships/image" Target="../media/21a39b9d_019d_11ef_a5a2_047c1617b143_ae66e600_3fbb_11ef_a5f3_047c1617b14357.jpeg"/><Relationship Id="rId58" Type="http://schemas.openxmlformats.org/officeDocument/2006/relationships/image" Target="../media/21a39b9f_019d_11ef_a5a2_047c1617b143_ae66e601_3fbb_11ef_a5f3_047c1617b14358.jpeg"/><Relationship Id="rId59" Type="http://schemas.openxmlformats.org/officeDocument/2006/relationships/image" Target="../media/8718c7ee_43e5_11f1_a8b5_047c1617b143_83c15b5b_714a_11f1_a8f1_047c1617b14359.jpeg"/><Relationship Id="rId60" Type="http://schemas.openxmlformats.org/officeDocument/2006/relationships/image" Target="../media/8718c7f0_43e5_11f1_a8b5_047c1617b143_83c15b5c_714a_11f1_a8f1_047c1617b14360.jpeg"/><Relationship Id="rId61" Type="http://schemas.openxmlformats.org/officeDocument/2006/relationships/image" Target="../media/8718c7f2_43e5_11f1_a8b5_047c1617b143_83c15b5d_714a_11f1_a8f1_047c1617b14361.jpeg"/><Relationship Id="rId62" Type="http://schemas.openxmlformats.org/officeDocument/2006/relationships/image" Target="../media/145c8a24_551c_11f0_a76e_047c1617b143_85576911_7c1e_11f0_a7a3_047c1617b14362.jpeg"/><Relationship Id="rId63" Type="http://schemas.openxmlformats.org/officeDocument/2006/relationships/image" Target="../media/145c8a26_551c_11f0_a76e_047c1617b143_8557690d_7c1e_11f0_a7a3_047c1617b14363.jpeg"/><Relationship Id="rId64" Type="http://schemas.openxmlformats.org/officeDocument/2006/relationships/image" Target="../media/77fc5a6d_86a6_11e9_8101_003048fd731b_634a42e9_f953_11e9_810b_003048fd731b64.jpeg"/><Relationship Id="rId65" Type="http://schemas.openxmlformats.org/officeDocument/2006/relationships/image" Target="../media/77fc5a70_86a6_11e9_8101_003048fd731b_634a42ea_f953_11e9_810b_003048fd731b65.jpeg"/><Relationship Id="rId66" Type="http://schemas.openxmlformats.org/officeDocument/2006/relationships/image" Target="../media/77fc5a73_86a6_11e9_8101_003048fd731b_634a42eb_f953_11e9_810b_003048fd731b66.jpeg"/><Relationship Id="rId67" Type="http://schemas.openxmlformats.org/officeDocument/2006/relationships/image" Target="../media/d981da6f_77ea_11ea_8111_003048fd731b_7d28a356_7d94_11ea_8111_003048fd731b67.jpeg"/><Relationship Id="rId68" Type="http://schemas.openxmlformats.org/officeDocument/2006/relationships/image" Target="../media/77fc5a88_86a6_11e9_8101_003048fd731b_5352ef7f_57f4_11ea_810f_003048fd731b68.jpeg"/><Relationship Id="rId69" Type="http://schemas.openxmlformats.org/officeDocument/2006/relationships/image" Target="../media/77fc5a8a_86a6_11e9_8101_003048fd731b_5352ef7e_57f4_11ea_810f_003048fd731b69.png"/><Relationship Id="rId70" Type="http://schemas.openxmlformats.org/officeDocument/2006/relationships/image" Target="../media/05c9cfef_77eb_11ea_8111_003048fd731b_92d88067_5a43_11f0_a775_047c1617b14370.jpeg"/><Relationship Id="rId71" Type="http://schemas.openxmlformats.org/officeDocument/2006/relationships/image" Target="../media/05c9cff1_77eb_11ea_8111_003048fd731b_92d88069_5a43_11f0_a775_047c1617b14371.jpeg"/><Relationship Id="rId72" Type="http://schemas.openxmlformats.org/officeDocument/2006/relationships/image" Target="../media/05c9cff3_77eb_11ea_8111_003048fd731b_92d8806b_5a43_11f0_a775_047c1617b14372.jpeg"/><Relationship Id="rId73" Type="http://schemas.openxmlformats.org/officeDocument/2006/relationships/image" Target="../media/05c9cff5_77eb_11ea_8111_003048fd731b_92d8806d_5a43_11f0_a775_047c1617b14373.jpeg"/><Relationship Id="rId74" Type="http://schemas.openxmlformats.org/officeDocument/2006/relationships/image" Target="../media/05c9cff7_77eb_11ea_8111_003048fd731b_10e2bbc6_310d_11f1_a89b_047c1617b14374.jpeg"/><Relationship Id="rId75" Type="http://schemas.openxmlformats.org/officeDocument/2006/relationships/image" Target="../media/05c9cff9_77eb_11ea_8111_003048fd731b_92d8806f_5a43_11f0_a775_047c1617b14375.jpeg"/><Relationship Id="rId76" Type="http://schemas.openxmlformats.org/officeDocument/2006/relationships/image" Target="../media/05c9cffb_77eb_11ea_8111_003048fd731b_92d88072_5a43_11f0_a775_047c1617b14376.jpeg"/><Relationship Id="rId77" Type="http://schemas.openxmlformats.org/officeDocument/2006/relationships/image" Target="../media/05c9cffd_77eb_11ea_8111_003048fd731b_92d88076_5a43_11f0_a775_047c1617b14377.jpeg"/><Relationship Id="rId78" Type="http://schemas.openxmlformats.org/officeDocument/2006/relationships/image" Target="../media/05c9cfff_77eb_11ea_8111_003048fd731b_92d88077_5a43_11f0_a775_047c1617b14378.jpeg"/><Relationship Id="rId79" Type="http://schemas.openxmlformats.org/officeDocument/2006/relationships/image" Target="../media/05c9d001_77eb_11ea_8111_003048fd731b_92d88078_5a43_11f0_a775_047c1617b14379.jpeg"/><Relationship Id="rId80" Type="http://schemas.openxmlformats.org/officeDocument/2006/relationships/image" Target="../media/05c9d003_77eb_11ea_8111_003048fd731b_92d88061_5a43_11f0_a775_047c1617b14380.jpeg"/><Relationship Id="rId81" Type="http://schemas.openxmlformats.org/officeDocument/2006/relationships/image" Target="../media/05c9d005_77eb_11ea_8111_003048fd731b_92d88064_5a43_11f0_a775_047c1617b14381.jpeg"/><Relationship Id="rId82" Type="http://schemas.openxmlformats.org/officeDocument/2006/relationships/image" Target="../media/05c9d007_77eb_11ea_8111_003048fd731b_92d88079_5a43_11f0_a775_047c1617b14382.jpeg"/><Relationship Id="rId83" Type="http://schemas.openxmlformats.org/officeDocument/2006/relationships/image" Target="../media/05c9d009_77eb_11ea_8111_003048fd731b_92d8807a_5a43_11f0_a775_047c1617b14383.jpeg"/><Relationship Id="rId84" Type="http://schemas.openxmlformats.org/officeDocument/2006/relationships/image" Target="../media/05c9d00b_77eb_11ea_8111_003048fd731b_92d8807b_5a43_11f0_a775_047c1617b14384.jpeg"/><Relationship Id="rId85" Type="http://schemas.openxmlformats.org/officeDocument/2006/relationships/image" Target="../media/05c9d00d_77eb_11ea_8111_003048fd731b_92d8807c_5a43_11f0_a775_047c1617b14385.jpeg"/><Relationship Id="rId86" Type="http://schemas.openxmlformats.org/officeDocument/2006/relationships/image" Target="../media/77fc5a79_86a6_11e9_8101_003048fd731b_5922160f_11fe_11ef_a5b8_047c1617b14386.jpeg"/><Relationship Id="rId87" Type="http://schemas.openxmlformats.org/officeDocument/2006/relationships/image" Target="../media/77fc5a7b_86a6_11e9_8101_003048fd731b_59221610_11fe_11ef_a5b8_047c1617b14387.jpeg"/><Relationship Id="rId88" Type="http://schemas.openxmlformats.org/officeDocument/2006/relationships/image" Target="../media/77fc5a85_86a6_11e9_8101_003048fd731b_5922160c_11fe_11ef_a5b8_047c1617b14388.jpeg"/><Relationship Id="rId89" Type="http://schemas.openxmlformats.org/officeDocument/2006/relationships/image" Target="../media/e825a810_3767_11ea_810f_003048fd731b_5922160d_11fe_11ef_a5b8_047c1617b14389.jpeg"/><Relationship Id="rId90" Type="http://schemas.openxmlformats.org/officeDocument/2006/relationships/image" Target="../media/e3f40c1c_5308_11ee_a4bb_047c1617b143_59221614_11fe_11ef_a5b8_047c1617b14390.jpeg"/><Relationship Id="rId91" Type="http://schemas.openxmlformats.org/officeDocument/2006/relationships/image" Target="../media/a2f573f5_c27f_11ee_a54c_047c1617b143_4396beea_0312_11ef_a5a4_047c1617b14391.jpeg"/><Relationship Id="rId92" Type="http://schemas.openxmlformats.org/officeDocument/2006/relationships/image" Target="../media/a2f573f7_c27f_11ee_a54c_047c1617b143_59221617_11fe_11ef_a5b8_047c1617b14392.jpeg"/><Relationship Id="rId93" Type="http://schemas.openxmlformats.org/officeDocument/2006/relationships/image" Target="../media/f72d370b_5f8f_11eb_822d_003048fd731b_59221611_11fe_11ef_a5b8_047c1617b14393.jpeg"/><Relationship Id="rId94" Type="http://schemas.openxmlformats.org/officeDocument/2006/relationships/image" Target="../media/77fc5a7d_86a6_11e9_8101_003048fd731b_59221613_11fe_11ef_a5b8_047c1617b14394.jpeg"/><Relationship Id="rId95" Type="http://schemas.openxmlformats.org/officeDocument/2006/relationships/image" Target="../media/77fc5a77_86a6_11e9_8101_003048fd731b_5922161b_11fe_11ef_a5b8_047c1617b14395.jpeg"/><Relationship Id="rId96" Type="http://schemas.openxmlformats.org/officeDocument/2006/relationships/image" Target="../media/77fc5a7f_86a6_11e9_8101_003048fd731b_5922161d_11fe_11ef_a5b8_047c1617b14396.jpeg"/><Relationship Id="rId97" Type="http://schemas.openxmlformats.org/officeDocument/2006/relationships/image" Target="../media/77fc5a81_86a6_11e9_8101_003048fd731b_a26f33f4_7c1e_11f0_a7a3_047c1617b14397.jpeg"/><Relationship Id="rId98" Type="http://schemas.openxmlformats.org/officeDocument/2006/relationships/image" Target="../media/77fc5a83_86a6_11e9_8101_003048fd731b_5922161c_11fe_11ef_a5b8_047c1617b14398.jpeg"/><Relationship Id="rId99" Type="http://schemas.openxmlformats.org/officeDocument/2006/relationships/image" Target="../media/43258fd5_68f5_11ea_8111_003048fd731b_08fe4379_7ca2_11ea_8111_003048fd731b99.jpeg"/><Relationship Id="rId100" Type="http://schemas.openxmlformats.org/officeDocument/2006/relationships/image" Target="../media/a05f35f4_ce20_11eb_82ca_003048fd731b_a15553e5_602e_11ec_a20b_00259070b487100.jpeg"/><Relationship Id="rId101" Type="http://schemas.openxmlformats.org/officeDocument/2006/relationships/image" Target="../media/a05f35f6_ce20_11eb_82ca_003048fd731b_59221625_11fe_11ef_a5b8_047c1617b143101.jpeg"/><Relationship Id="rId102" Type="http://schemas.openxmlformats.org/officeDocument/2006/relationships/image" Target="../media/a05f35f8_ce20_11eb_82ca_003048fd731b_59221624_11fe_11ef_a5b8_047c1617b143102.jpeg"/><Relationship Id="rId103" Type="http://schemas.openxmlformats.org/officeDocument/2006/relationships/image" Target="../media/a05f35fc_ce20_11eb_82ca_003048fd731b_a15553e8_602e_11ec_a20b_00259070b487103.jpeg"/><Relationship Id="rId104" Type="http://schemas.openxmlformats.org/officeDocument/2006/relationships/image" Target="../media/a05f35fe_ce20_11eb_82ca_003048fd731b_59221628_11fe_11ef_a5b8_047c1617b143104.jpeg"/><Relationship Id="rId105" Type="http://schemas.openxmlformats.org/officeDocument/2006/relationships/image" Target="../media/7ca27a8b_9ced_11ed_a3c6_047c1617b143_59221626_11fe_11ef_a5b8_047c1617b143105.jpeg"/><Relationship Id="rId106" Type="http://schemas.openxmlformats.org/officeDocument/2006/relationships/image" Target="../media/7ca27a8d_9ced_11ed_a3c6_047c1617b143_59221627_11fe_11ef_a5b8_047c1617b143106.jpeg"/><Relationship Id="rId107" Type="http://schemas.openxmlformats.org/officeDocument/2006/relationships/image" Target="../media/7ca27a8f_9ced_11ed_a3c6_047c1617b143_59221629_11fe_11ef_a5b8_047c1617b143107.jpeg"/><Relationship Id="rId108" Type="http://schemas.openxmlformats.org/officeDocument/2006/relationships/image" Target="../media/a71fc601_46c3_11ef_a5fc_047c1617b143_14e1e0bb_f93d_11ef_a6ea_047c1617b143108.jpeg"/><Relationship Id="rId109" Type="http://schemas.openxmlformats.org/officeDocument/2006/relationships/image" Target="../media/b302ab1b_4393_11f1_a8b5_047c1617b143_bf5c2f13_7149_11f1_a8f1_047c1617b143109.jpeg"/><Relationship Id="rId110" Type="http://schemas.openxmlformats.org/officeDocument/2006/relationships/image" Target="../media/8718c7f8_43e5_11f1_a8b5_047c1617b143_bf5c2f12_7149_11f1_a8f1_047c1617b143110.jpeg"/><Relationship Id="rId111" Type="http://schemas.openxmlformats.org/officeDocument/2006/relationships/image" Target="../media/a05f3602_ce20_11eb_82ca_003048fd731b_a15553eb_602e_11ec_a20b_00259070b487111.jpeg"/><Relationship Id="rId112" Type="http://schemas.openxmlformats.org/officeDocument/2006/relationships/image" Target="../media/a05f3604_ce20_11eb_82ca_003048fd731b_a15553ec_602e_11ec_a20b_00259070b487112.jpeg"/><Relationship Id="rId113" Type="http://schemas.openxmlformats.org/officeDocument/2006/relationships/image" Target="../media/a05f3608_ce20_11eb_82ca_003048fd731b_a15553ee_602e_11ec_a20b_00259070b487113.jpeg"/><Relationship Id="rId114" Type="http://schemas.openxmlformats.org/officeDocument/2006/relationships/image" Target="../media/a05f360a_ce20_11eb_82ca_003048fd731b_a15553ef_602e_11ec_a20b_00259070b487114.jpeg"/><Relationship Id="rId115" Type="http://schemas.openxmlformats.org/officeDocument/2006/relationships/image" Target="../media/7ca27a91_9ced_11ed_a3c6_047c1617b143_5922161e_11fe_11ef_a5b8_047c1617b143115.jpeg"/><Relationship Id="rId116" Type="http://schemas.openxmlformats.org/officeDocument/2006/relationships/image" Target="../media/ac8e514e_ce27_11ee_a55d_047c1617b143_a26f33f5_7c1e_11f0_a7a3_047c1617b143116.jpeg"/><Relationship Id="rId117" Type="http://schemas.openxmlformats.org/officeDocument/2006/relationships/image" Target="../media/ac8e5150_ce27_11ee_a55d_047c1617b143_a26f33f6_7c1e_11f0_a7a3_047c1617b143117.jpeg"/><Relationship Id="rId118" Type="http://schemas.openxmlformats.org/officeDocument/2006/relationships/image" Target="../media/a71fc603_46c3_11ef_a5fc_047c1617b143_14e1e0bc_f93d_11ef_a6ea_047c1617b143118.jpeg"/><Relationship Id="rId119" Type="http://schemas.openxmlformats.org/officeDocument/2006/relationships/image" Target="../media/8718c7fc_43e5_11f1_a8b5_047c1617b143_bf5c2f0e_7149_11f1_a8f1_047c1617b143119.jpeg"/><Relationship Id="rId120" Type="http://schemas.openxmlformats.org/officeDocument/2006/relationships/image" Target="../media/856efa7a_cb53_11ef_a6b0_047c1617b143_14e1e0bd_f93d_11ef_a6ea_047c1617b143120.jpeg"/><Relationship Id="rId121" Type="http://schemas.openxmlformats.org/officeDocument/2006/relationships/image" Target="../media/0683acbf_da17_11ef_a6c3_047c1617b143_a26f33f7_7c1e_11f0_a7a3_047c1617b143121.jpeg"/><Relationship Id="rId122" Type="http://schemas.openxmlformats.org/officeDocument/2006/relationships/image" Target="../media/a05f35cc_ce20_11eb_82ca_003048fd731b_59221633_11fe_11ef_a5b8_047c1617b143122.jpeg"/><Relationship Id="rId123" Type="http://schemas.openxmlformats.org/officeDocument/2006/relationships/image" Target="../media/a05f35ce_ce20_11eb_82ca_003048fd731b_59221634_11fe_11ef_a5b8_047c1617b143123.jpeg"/><Relationship Id="rId124" Type="http://schemas.openxmlformats.org/officeDocument/2006/relationships/image" Target="../media/a05f35d0_ce20_11eb_82ca_003048fd731b_59221636_11fe_11ef_a5b8_047c1617b143124.jpeg"/><Relationship Id="rId125" Type="http://schemas.openxmlformats.org/officeDocument/2006/relationships/image" Target="../media/a05f35d2_ce20_11eb_82ca_003048fd731b_59221637_11fe_11ef_a5b8_047c1617b143125.jpeg"/><Relationship Id="rId126" Type="http://schemas.openxmlformats.org/officeDocument/2006/relationships/image" Target="../media/6563d0c5_1094_11ec_8327_003048fd731b_59221635_11fe_11ef_a5b8_047c1617b143126.jpeg"/><Relationship Id="rId127" Type="http://schemas.openxmlformats.org/officeDocument/2006/relationships/image" Target="../media/6563d0c7_1094_11ec_8327_003048fd731b_59221638_11fe_11ef_a5b8_047c1617b143127.jpeg"/><Relationship Id="rId128" Type="http://schemas.openxmlformats.org/officeDocument/2006/relationships/image" Target="../media/b6583445_823b_11ed_a3a0_047c1617b143_5922162a_11fe_11ef_a5b8_047c1617b143128.jpeg"/><Relationship Id="rId129" Type="http://schemas.openxmlformats.org/officeDocument/2006/relationships/image" Target="../media/b6583447_823b_11ed_a3a0_047c1617b143_5922162b_11fe_11ef_a5b8_047c1617b143129.jpeg"/><Relationship Id="rId130" Type="http://schemas.openxmlformats.org/officeDocument/2006/relationships/image" Target="../media/b6583449_823b_11ed_a3a0_047c1617b143_5922162c_11fe_11ef_a5b8_047c1617b143130.jpeg"/><Relationship Id="rId131" Type="http://schemas.openxmlformats.org/officeDocument/2006/relationships/image" Target="../media/b658344b_823b_11ed_a3a0_047c1617b143_5922162d_11fe_11ef_a5b8_047c1617b143131.jpeg"/><Relationship Id="rId132" Type="http://schemas.openxmlformats.org/officeDocument/2006/relationships/image" Target="../media/b658344d_823b_11ed_a3a0_047c1617b143_5922162e_11fe_11ef_a5b8_047c1617b143132.jpeg"/><Relationship Id="rId133" Type="http://schemas.openxmlformats.org/officeDocument/2006/relationships/image" Target="../media/b6583451_823b_11ed_a3a0_047c1617b143_5922162f_11fe_11ef_a5b8_047c1617b143133.jpeg"/><Relationship Id="rId134" Type="http://schemas.openxmlformats.org/officeDocument/2006/relationships/image" Target="../media/b6583453_823b_11ed_a3a0_047c1617b143_59221630_11fe_11ef_a5b8_047c1617b143134.jpeg"/><Relationship Id="rId135" Type="http://schemas.openxmlformats.org/officeDocument/2006/relationships/image" Target="../media/b6583455_823b_11ed_a3a0_047c1617b143_59221631_11fe_11ef_a5b8_047c1617b143135.jpeg"/><Relationship Id="rId136" Type="http://schemas.openxmlformats.org/officeDocument/2006/relationships/image" Target="../media/b6583457_823b_11ed_a3a0_047c1617b143_59221632_11fe_11ef_a5b8_047c1617b143136.jpeg"/><Relationship Id="rId137" Type="http://schemas.openxmlformats.org/officeDocument/2006/relationships/image" Target="../media/f72d372d_5f8f_11eb_822d_003048fd731b_59221639_11fe_11ef_a5b8_047c1617b143137.jpeg"/><Relationship Id="rId138" Type="http://schemas.openxmlformats.org/officeDocument/2006/relationships/image" Target="../media/41f65cf9_5ed3_11ee_a4ca_047c1617b143_5922163b_11fe_11ef_a5b8_047c1617b143138.jpeg"/><Relationship Id="rId139" Type="http://schemas.openxmlformats.org/officeDocument/2006/relationships/image" Target="../media/997aeb78_ce20_11eb_82ca_003048fd731b_a15553d8_602e_11ec_a20b_00259070b487139.jpeg"/><Relationship Id="rId140" Type="http://schemas.openxmlformats.org/officeDocument/2006/relationships/image" Target="../media/997aeb7a_ce20_11eb_82ca_003048fd731b_a15553d9_602e_11ec_a20b_00259070b487140.jpeg"/><Relationship Id="rId141" Type="http://schemas.openxmlformats.org/officeDocument/2006/relationships/image" Target="../media/997aeb7c_ce20_11eb_82ca_003048fd731b_a15553da_602e_11ec_a20b_00259070b487141.jpeg"/><Relationship Id="rId142" Type="http://schemas.openxmlformats.org/officeDocument/2006/relationships/image" Target="../media/997aeb7e_ce20_11eb_82ca_003048fd731b_a15553db_602e_11ec_a20b_00259070b487142.jpeg"/><Relationship Id="rId143" Type="http://schemas.openxmlformats.org/officeDocument/2006/relationships/image" Target="../media/997aeb80_ce20_11eb_82ca_003048fd731b_a15553dc_602e_11ec_a20b_00259070b487143.jpeg"/><Relationship Id="rId144" Type="http://schemas.openxmlformats.org/officeDocument/2006/relationships/image" Target="../media/997aeb82_ce20_11eb_82ca_003048fd731b_a15553dd_602e_11ec_a20b_00259070b487144.jpeg"/><Relationship Id="rId145" Type="http://schemas.openxmlformats.org/officeDocument/2006/relationships/image" Target="../media/997aeb84_ce20_11eb_82ca_003048fd731b_a15553de_602e_11ec_a20b_00259070b487145.jpeg"/><Relationship Id="rId146" Type="http://schemas.openxmlformats.org/officeDocument/2006/relationships/image" Target="../media/997aeb86_ce20_11eb_82ca_003048fd731b_a15553df_602e_11ec_a20b_00259070b487146.jpeg"/><Relationship Id="rId147" Type="http://schemas.openxmlformats.org/officeDocument/2006/relationships/image" Target="../media/997aeb88_ce20_11eb_82ca_003048fd731b_a15553e0_602e_11ec_a20b_00259070b487147.jpeg"/><Relationship Id="rId148" Type="http://schemas.openxmlformats.org/officeDocument/2006/relationships/image" Target="../media/997aeb8a_ce20_11eb_82ca_003048fd731b_a15553e1_602e_11ec_a20b_00259070b487148.jpeg"/><Relationship Id="rId149" Type="http://schemas.openxmlformats.org/officeDocument/2006/relationships/image" Target="../media/997aeb8c_ce20_11eb_82ca_003048fd731b_a15553e2_602e_11ec_a20b_00259070b487149.jpeg"/><Relationship Id="rId150" Type="http://schemas.openxmlformats.org/officeDocument/2006/relationships/image" Target="../media/997aeb8e_ce20_11eb_82ca_003048fd731b_a15553e3_602e_11ec_a20b_00259070b487150.jpeg"/><Relationship Id="rId151" Type="http://schemas.openxmlformats.org/officeDocument/2006/relationships/image" Target="../media/29b1cba1_3e5b_11ec_836e_003048fd731b_a15553e4_602e_11ec_a20b_00259070b487151.jpeg"/><Relationship Id="rId152" Type="http://schemas.openxmlformats.org/officeDocument/2006/relationships/image" Target="../media/2a13dee4_55f9_11ec_a208_00259070b487_aaacbe30_602e_11ec_a20b_00259070b487152.jpeg"/><Relationship Id="rId153" Type="http://schemas.openxmlformats.org/officeDocument/2006/relationships/image" Target="../media/7ca27a77_9ced_11ed_a3c6_047c1617b143_5922163c_11fe_11ef_a5b8_047c1617b143153.jpeg"/><Relationship Id="rId154" Type="http://schemas.openxmlformats.org/officeDocument/2006/relationships/image" Target="../media/7ca27a79_9ced_11ed_a3c6_047c1617b143_5922163e_11fe_11ef_a5b8_047c1617b143154.jpeg"/><Relationship Id="rId155" Type="http://schemas.openxmlformats.org/officeDocument/2006/relationships/image" Target="../media/7ca27a7b_9ced_11ed_a3c6_047c1617b143_5922163d_11fe_11ef_a5b8_047c1617b143155.jpeg"/><Relationship Id="rId156" Type="http://schemas.openxmlformats.org/officeDocument/2006/relationships/image" Target="../media/7ca27a7d_9ced_11ed_a3c6_047c1617b143_5922163f_11fe_11ef_a5b8_047c1617b143156.jpeg"/><Relationship Id="rId157" Type="http://schemas.openxmlformats.org/officeDocument/2006/relationships/image" Target="../media/7ca27a7f_9ced_11ed_a3c6_047c1617b143_59221640_11fe_11ef_a5b8_047c1617b143157.jpeg"/><Relationship Id="rId158" Type="http://schemas.openxmlformats.org/officeDocument/2006/relationships/image" Target="../media/7ca27a81_9ced_11ed_a3c6_047c1617b143_59221641_11fe_11ef_a5b8_047c1617b143158.jpeg"/><Relationship Id="rId159" Type="http://schemas.openxmlformats.org/officeDocument/2006/relationships/image" Target="../media/0d5e411c_d31e_11ed_a411_047c1617b143_5922163a_11fe_11ef_a5b8_047c1617b143159.jpeg"/><Relationship Id="rId160" Type="http://schemas.openxmlformats.org/officeDocument/2006/relationships/image" Target="../media/e7a442dc_c2d4_11ee_a54c_047c1617b143_59221649_11fe_11ef_a5b8_047c1617b143160.jpeg"/><Relationship Id="rId161" Type="http://schemas.openxmlformats.org/officeDocument/2006/relationships/image" Target="../media/e7a442de_c2d4_11ee_a54c_047c1617b143_5922164b_11fe_11ef_a5b8_047c1617b143161.jpeg"/><Relationship Id="rId162" Type="http://schemas.openxmlformats.org/officeDocument/2006/relationships/image" Target="../media/e7a442e0_c2d4_11ee_a54c_047c1617b143_5922164d_11fe_11ef_a5b8_047c1617b143162.jpeg"/><Relationship Id="rId163" Type="http://schemas.openxmlformats.org/officeDocument/2006/relationships/image" Target="../media/e7a442e2_c2d4_11ee_a54c_047c1617b143_5922164f_11fe_11ef_a5b8_047c1617b143163.jpeg"/><Relationship Id="rId164" Type="http://schemas.openxmlformats.org/officeDocument/2006/relationships/image" Target="../media/8718c7ce_43e5_11f1_a8b5_047c1617b143_bf5c2f15_7149_11f1_a8f1_047c1617b143164.jpeg"/><Relationship Id="rId165" Type="http://schemas.openxmlformats.org/officeDocument/2006/relationships/image" Target="../media/a05f35b6_ce20_11eb_82ca_003048fd731b_5922166f_11fe_11ef_a5b8_047c1617b143165.jpeg"/><Relationship Id="rId166" Type="http://schemas.openxmlformats.org/officeDocument/2006/relationships/image" Target="../media/a05f35ba_ce20_11eb_82ca_003048fd731b_a15553f1_602e_11ec_a20b_00259070b487166.jpeg"/><Relationship Id="rId167" Type="http://schemas.openxmlformats.org/officeDocument/2006/relationships/image" Target="../media/a05f35c0_ce20_11eb_82ca_003048fd731b_59221668_11fe_11ef_a5b8_047c1617b143167.jpeg"/><Relationship Id="rId168" Type="http://schemas.openxmlformats.org/officeDocument/2006/relationships/image" Target="../media/a05f35c2_ce20_11eb_82ca_003048fd731b_5922166a_11fe_11ef_a5b8_047c1617b143168.jpeg"/><Relationship Id="rId169" Type="http://schemas.openxmlformats.org/officeDocument/2006/relationships/image" Target="../media/a05f35c4_ce20_11eb_82ca_003048fd731b_59221669_11fe_11ef_a5b8_047c1617b143169.jpeg"/><Relationship Id="rId170" Type="http://schemas.openxmlformats.org/officeDocument/2006/relationships/image" Target="../media/a05f35c6_ce20_11eb_82ca_003048fd731b_5922166c_11fe_11ef_a5b8_047c1617b143170.jpeg"/><Relationship Id="rId171" Type="http://schemas.openxmlformats.org/officeDocument/2006/relationships/image" Target="../media/29b1cba3_3e5b_11ec_836e_003048fd731b_59221664_11fe_11ef_a5b8_047c1617b143171.jpeg"/><Relationship Id="rId172" Type="http://schemas.openxmlformats.org/officeDocument/2006/relationships/image" Target="../media/29b1cba7_3e5b_11ec_836e_003048fd731b_59221663_11fe_11ef_a5b8_047c1617b143172.jpeg"/><Relationship Id="rId173" Type="http://schemas.openxmlformats.org/officeDocument/2006/relationships/image" Target="../media/29b1cbab_3e5b_11ec_836e_003048fd731b_59221666_11fe_11ef_a5b8_047c1617b143173.jpeg"/><Relationship Id="rId174" Type="http://schemas.openxmlformats.org/officeDocument/2006/relationships/image" Target="../media/29b1cbb1_3e5b_11ec_836e_003048fd731b_59221667_11fe_11ef_a5b8_047c1617b143174.jpeg"/><Relationship Id="rId175" Type="http://schemas.openxmlformats.org/officeDocument/2006/relationships/image" Target="../media/2a13deea_55f9_11ec_a208_00259070b487_5922166e_11fe_11ef_a5b8_047c1617b143175.jpeg"/><Relationship Id="rId176" Type="http://schemas.openxmlformats.org/officeDocument/2006/relationships/image" Target="../media/fc27c03f_aa62_11ec_a25d_00259070b487_59221665_11fe_11ef_a5b8_047c1617b143176.jpeg"/><Relationship Id="rId177" Type="http://schemas.openxmlformats.org/officeDocument/2006/relationships/image" Target="../media/fc27c041_aa62_11ec_a25d_00259070b487_5922166d_11fe_11ef_a5b8_047c1617b143177.jpeg"/><Relationship Id="rId178" Type="http://schemas.openxmlformats.org/officeDocument/2006/relationships/image" Target="../media/6652a15b_b63d_11ec_a26a_00259070b487_59221671_11fe_11ef_a5b8_047c1617b143178.jpeg"/><Relationship Id="rId179" Type="http://schemas.openxmlformats.org/officeDocument/2006/relationships/image" Target="../media/6652a159_b63d_11ec_a26a_00259070b487_5922166b_11fe_11ef_a5b8_047c1617b143179.jpeg"/><Relationship Id="rId180" Type="http://schemas.openxmlformats.org/officeDocument/2006/relationships/image" Target="../media/6652a15d_b63d_11ec_a26a_00259070b487_5922165d_11fe_11ef_a5b8_047c1617b143180.jpeg"/><Relationship Id="rId181" Type="http://schemas.openxmlformats.org/officeDocument/2006/relationships/image" Target="../media/6652a15f_b63d_11ec_a26a_00259070b487_59221672_11fe_11ef_a5b8_047c1617b143181.jpeg"/><Relationship Id="rId182" Type="http://schemas.openxmlformats.org/officeDocument/2006/relationships/image" Target="../media/7ca27a83_9ced_11ed_a3c6_047c1617b143_59221673_11fe_11ef_a5b8_047c1617b143182.jpeg"/><Relationship Id="rId183" Type="http://schemas.openxmlformats.org/officeDocument/2006/relationships/image" Target="../media/7ca27a85_9ced_11ed_a3c6_047c1617b143_59221675_11fe_11ef_a5b8_047c1617b143183.jpeg"/><Relationship Id="rId184" Type="http://schemas.openxmlformats.org/officeDocument/2006/relationships/image" Target="../media/7ca27a87_9ced_11ed_a3c6_047c1617b143_5922165b_11fe_11ef_a5b8_047c1617b143184.jpeg"/><Relationship Id="rId185" Type="http://schemas.openxmlformats.org/officeDocument/2006/relationships/image" Target="../media/ab08e9a1_3fea_11ee_a4a3_047c1617b143_5922165f_11fe_11ef_a5b8_047c1617b143185.jpeg"/><Relationship Id="rId186" Type="http://schemas.openxmlformats.org/officeDocument/2006/relationships/image" Target="../media/e7a442e4_c2d4_11ee_a54c_047c1617b143_59221670_11fe_11ef_a5b8_047c1617b143186.jpeg"/><Relationship Id="rId187" Type="http://schemas.openxmlformats.org/officeDocument/2006/relationships/image" Target="../media/ac8e5148_ce27_11ee_a55d_047c1617b143_59221661_11fe_11ef_a5b8_047c1617b143187.jpeg"/><Relationship Id="rId188" Type="http://schemas.openxmlformats.org/officeDocument/2006/relationships/image" Target="../media/fa4c10de_469b_11ef_a5fc_047c1617b143_21d4f5b7_793a_11f0_a79f_047c1617b143188.jpeg"/><Relationship Id="rId189" Type="http://schemas.openxmlformats.org/officeDocument/2006/relationships/image" Target="../media/fa4c10e8_469b_11ef_a5fc_047c1617b143_21d4f5b8_793a_11f0_a79f_047c1617b143189.jpeg"/><Relationship Id="rId190" Type="http://schemas.openxmlformats.org/officeDocument/2006/relationships/image" Target="../media/b2a63125_1e49_11ef_a5c8_047c1617b143_14e1e0c2_f93d_11ef_a6ea_047c1617b143190.jpeg"/><Relationship Id="rId191" Type="http://schemas.openxmlformats.org/officeDocument/2006/relationships/image" Target="../media/fa4c10ea_469b_11ef_a5fc_047c1617b143_14e1e0c3_f93d_11ef_a6ea_047c1617b143191.jpeg"/><Relationship Id="rId192" Type="http://schemas.openxmlformats.org/officeDocument/2006/relationships/image" Target="../media/8718c7e6_43e5_11f1_a8b5_047c1617b143_bf5c2f26_7149_11f1_a8f1_047c1617b143192.jpeg"/><Relationship Id="rId193" Type="http://schemas.openxmlformats.org/officeDocument/2006/relationships/image" Target="../media/9b80ee83_3234_11ee_a490_047c1617b143_59221654_11fe_11ef_a5b8_047c1617b143193.jpeg"/><Relationship Id="rId194" Type="http://schemas.openxmlformats.org/officeDocument/2006/relationships/image" Target="../media/0575d945_7822_11ee_a4ea_047c1617b143_59221651_11fe_11ef_a5b8_047c1617b143194.jpeg"/><Relationship Id="rId195" Type="http://schemas.openxmlformats.org/officeDocument/2006/relationships/image" Target="../media/0575d947_7822_11ee_a4ea_047c1617b143_59221658_11fe_11ef_a5b8_047c1617b143195.jpeg"/><Relationship Id="rId196" Type="http://schemas.openxmlformats.org/officeDocument/2006/relationships/image" Target="../media/8811366f_37d2_11ef_a5e9_047c1617b143_14e1e1b2_f93d_11ef_a6ea_047c1617b143196.jpeg"/><Relationship Id="rId197" Type="http://schemas.openxmlformats.org/officeDocument/2006/relationships/image" Target="../media/b44e42a8_245f_11f0_a725_047c1617b143_0a6f3a61_310d_11f1_a89b_047c1617b143197.jpeg"/><Relationship Id="rId198" Type="http://schemas.openxmlformats.org/officeDocument/2006/relationships/image" Target="../media/b44e42aa_245f_11f0_a725_047c1617b143_0a6f3a62_310d_11f1_a89b_047c1617b143198.jpeg"/><Relationship Id="rId199" Type="http://schemas.openxmlformats.org/officeDocument/2006/relationships/image" Target="../media/28a1d0e2_7e77_11f0_a7a6_047c1617b143_bf5c2f23_7149_11f1_a8f1_047c1617b143199.jpeg"/><Relationship Id="rId200" Type="http://schemas.openxmlformats.org/officeDocument/2006/relationships/image" Target="../media/ae0ac914_cdfe_11eb_82ca_003048fd731b_592216cc_11fe_11ef_a5b8_047c1617b143200.jpeg"/><Relationship Id="rId201" Type="http://schemas.openxmlformats.org/officeDocument/2006/relationships/image" Target="../media/ae0ac916_cdfe_11eb_82ca_003048fd731b_62fcddc1_11fe_11ef_a5b8_047c1617b143201.jpeg"/><Relationship Id="rId202" Type="http://schemas.openxmlformats.org/officeDocument/2006/relationships/image" Target="../media/ae0ac918_cdfe_11eb_82ca_003048fd731b_62fcddc3_11fe_11ef_a5b8_047c1617b143202.jpeg"/><Relationship Id="rId203" Type="http://schemas.openxmlformats.org/officeDocument/2006/relationships/image" Target="../media/ae0ac91a_cdfe_11eb_82ca_003048fd731b_62fcddc5_11fe_11ef_a5b8_047c1617b143203.jpeg"/><Relationship Id="rId204" Type="http://schemas.openxmlformats.org/officeDocument/2006/relationships/image" Target="../media/ae0ac91c_cdfe_11eb_82ca_003048fd731b_62fcddc7_11fe_11ef_a5b8_047c1617b143204.jpeg"/><Relationship Id="rId205" Type="http://schemas.openxmlformats.org/officeDocument/2006/relationships/image" Target="../media/ae0ac91e_cdfe_11eb_82ca_003048fd731b_62fcddc9_11fe_11ef_a5b8_047c1617b143205.jpeg"/><Relationship Id="rId206" Type="http://schemas.openxmlformats.org/officeDocument/2006/relationships/image" Target="../media/ae0ac920_cdfe_11eb_82ca_003048fd731b_62fcddcb_11fe_11ef_a5b8_047c1617b143206.jpeg"/><Relationship Id="rId207" Type="http://schemas.openxmlformats.org/officeDocument/2006/relationships/image" Target="../media/ae0ac930_cdfe_11eb_82ca_003048fd731b_5922168e_11fe_11ef_a5b8_047c1617b143207.jpeg"/><Relationship Id="rId208" Type="http://schemas.openxmlformats.org/officeDocument/2006/relationships/image" Target="../media/ae0ac932_cdfe_11eb_82ca_003048fd731b_59221690_11fe_11ef_a5b8_047c1617b143208.jpeg"/><Relationship Id="rId209" Type="http://schemas.openxmlformats.org/officeDocument/2006/relationships/image" Target="../media/acb0bedf_7c2b_11ec_a214_00259070b487_59221692_11fe_11ef_a5b8_047c1617b143209.jpeg"/><Relationship Id="rId210" Type="http://schemas.openxmlformats.org/officeDocument/2006/relationships/image" Target="../media/acb0bee1_7c2b_11ec_a214_00259070b487_59221694_11fe_11ef_a5b8_047c1617b143210.jpeg"/><Relationship Id="rId211" Type="http://schemas.openxmlformats.org/officeDocument/2006/relationships/image" Target="../media/acb0bee3_7c2b_11ec_a214_00259070b487_59221696_11fe_11ef_a5b8_047c1617b143211.jpeg"/><Relationship Id="rId212" Type="http://schemas.openxmlformats.org/officeDocument/2006/relationships/image" Target="../media/acb0bee5_7c2b_11ec_a214_00259070b487_59221698_11fe_11ef_a5b8_047c1617b143212.jpeg"/><Relationship Id="rId213" Type="http://schemas.openxmlformats.org/officeDocument/2006/relationships/image" Target="../media/acb0bee7_7c2b_11ec_a214_00259070b487_5922169a_11fe_11ef_a5b8_047c1617b143213.jpeg"/><Relationship Id="rId214" Type="http://schemas.openxmlformats.org/officeDocument/2006/relationships/image" Target="../media/acb0bee9_7c2b_11ec_a214_00259070b487_14e1e0c9_f93d_11ef_a6ea_047c1617b143214.jpeg"/><Relationship Id="rId215" Type="http://schemas.openxmlformats.org/officeDocument/2006/relationships/image" Target="../media/fc27c02b_aa62_11ec_a25d_00259070b487_5922169c_11fe_11ef_a5b8_047c1617b143215.jpeg"/><Relationship Id="rId216" Type="http://schemas.openxmlformats.org/officeDocument/2006/relationships/image" Target="../media/fa4c10e6_469b_11ef_a5fc_047c1617b143_a26f33fc_7c1e_11f0_a7a3_047c1617b143216.jpeg"/><Relationship Id="rId217" Type="http://schemas.openxmlformats.org/officeDocument/2006/relationships/image" Target="../media/ae0ac922_cdfe_11eb_82ca_003048fd731b_592216b0_11fe_11ef_a5b8_047c1617b143217.jpeg"/><Relationship Id="rId218" Type="http://schemas.openxmlformats.org/officeDocument/2006/relationships/image" Target="../media/ae0ac924_cdfe_11eb_82ca_003048fd731b_592216b2_11fe_11ef_a5b8_047c1617b143218.jpeg"/><Relationship Id="rId219" Type="http://schemas.openxmlformats.org/officeDocument/2006/relationships/image" Target="../media/ae0ac926_cdfe_11eb_82ca_003048fd731b_592216b4_11fe_11ef_a5b8_047c1617b143219.jpeg"/><Relationship Id="rId220" Type="http://schemas.openxmlformats.org/officeDocument/2006/relationships/image" Target="../media/ae0ac928_cdfe_11eb_82ca_003048fd731b_592216b6_11fe_11ef_a5b8_047c1617b143220.jpeg"/><Relationship Id="rId221" Type="http://schemas.openxmlformats.org/officeDocument/2006/relationships/image" Target="../media/ae0ac92a_cdfe_11eb_82ca_003048fd731b_592216b8_11fe_11ef_a5b8_047c1617b143221.jpeg"/><Relationship Id="rId222" Type="http://schemas.openxmlformats.org/officeDocument/2006/relationships/image" Target="../media/ae0ac92c_cdfe_11eb_82ca_003048fd731b_592216ba_11fe_11ef_a5b8_047c1617b143222.jpeg"/><Relationship Id="rId223" Type="http://schemas.openxmlformats.org/officeDocument/2006/relationships/image" Target="../media/ae0ac92e_cdfe_11eb_82ca_003048fd731b_592216bc_11fe_11ef_a5b8_047c1617b143223.jpeg"/><Relationship Id="rId224" Type="http://schemas.openxmlformats.org/officeDocument/2006/relationships/image" Target="../media/997aeb58_ce20_11eb_82ca_003048fd731b_592216ce_11fe_11ef_a5b8_047c1617b143224.jpeg"/><Relationship Id="rId225" Type="http://schemas.openxmlformats.org/officeDocument/2006/relationships/image" Target="../media/997aeb5a_ce20_11eb_82ca_003048fd731b_592216d0_11fe_11ef_a5b8_047c1617b143225.jpeg"/><Relationship Id="rId226" Type="http://schemas.openxmlformats.org/officeDocument/2006/relationships/image" Target="../media/997aeb5c_ce20_11eb_82ca_003048fd731b_592216d2_11fe_11ef_a5b8_047c1617b143226.jpeg"/><Relationship Id="rId227" Type="http://schemas.openxmlformats.org/officeDocument/2006/relationships/image" Target="../media/997aeb5e_ce20_11eb_82ca_003048fd731b_62fcdd9d_11fe_11ef_a5b8_047c1617b143227.jpeg"/><Relationship Id="rId228" Type="http://schemas.openxmlformats.org/officeDocument/2006/relationships/image" Target="../media/997aeb68_ce20_11eb_82ca_003048fd731b_592216be_11fe_11ef_a5b8_047c1617b143228.jpeg"/><Relationship Id="rId229" Type="http://schemas.openxmlformats.org/officeDocument/2006/relationships/image" Target="../media/997aeb6a_ce20_11eb_82ca_003048fd731b_592216c0_11fe_11ef_a5b8_047c1617b143229.jpeg"/><Relationship Id="rId230" Type="http://schemas.openxmlformats.org/officeDocument/2006/relationships/image" Target="../media/997aeb6c_ce20_11eb_82ca_003048fd731b_592216c2_11fe_11ef_a5b8_047c1617b143230.jpeg"/><Relationship Id="rId231" Type="http://schemas.openxmlformats.org/officeDocument/2006/relationships/image" Target="../media/997aeb6e_ce20_11eb_82ca_003048fd731b_592216c4_11fe_11ef_a5b8_047c1617b143231.jpeg"/><Relationship Id="rId232" Type="http://schemas.openxmlformats.org/officeDocument/2006/relationships/image" Target="../media/fc27c02d_aa62_11ec_a25d_00259070b487_592216c6_11fe_11ef_a5b8_047c1617b143232.jpeg"/><Relationship Id="rId233" Type="http://schemas.openxmlformats.org/officeDocument/2006/relationships/image" Target="../media/fc27c02f_aa62_11ec_a25d_00259070b487_592216c8_11fe_11ef_a5b8_047c1617b143233.jpeg"/><Relationship Id="rId234" Type="http://schemas.openxmlformats.org/officeDocument/2006/relationships/image" Target="../media/fc27c031_aa62_11ec_a25d_00259070b487_592216ca_11fe_11ef_a5b8_047c1617b143234.jpeg"/><Relationship Id="rId235" Type="http://schemas.openxmlformats.org/officeDocument/2006/relationships/image" Target="../media/fa4c10e0_469b_11ef_a5fc_047c1617b143_14e1e0c4_f93d_11ef_a6ea_047c1617b143235.jpeg"/><Relationship Id="rId236" Type="http://schemas.openxmlformats.org/officeDocument/2006/relationships/image" Target="../media/fa4c10e2_469b_11ef_a5fc_047c1617b143_14e1e0c6_f93d_11ef_a6ea_047c1617b143236.jpeg"/><Relationship Id="rId237" Type="http://schemas.openxmlformats.org/officeDocument/2006/relationships/image" Target="../media/fa4c10e4_469b_11ef_a5fc_047c1617b143_14e1e0c8_f93d_11ef_a6ea_047c1617b143237.jpeg"/><Relationship Id="rId238" Type="http://schemas.openxmlformats.org/officeDocument/2006/relationships/image" Target="../media/ae0ac934_cdfe_11eb_82ca_003048fd731b_62fcdda9_11fe_11ef_a5b8_047c1617b143238.jpeg"/><Relationship Id="rId239" Type="http://schemas.openxmlformats.org/officeDocument/2006/relationships/image" Target="../media/ae0ac936_cdfe_11eb_82ca_003048fd731b_62fcddab_11fe_11ef_a5b8_047c1617b143239.jpeg"/><Relationship Id="rId240" Type="http://schemas.openxmlformats.org/officeDocument/2006/relationships/image" Target="../media/ae0ac938_cdfe_11eb_82ca_003048fd731b_62fcddad_11fe_11ef_a5b8_047c1617b143240.jpeg"/><Relationship Id="rId241" Type="http://schemas.openxmlformats.org/officeDocument/2006/relationships/image" Target="../media/ae0ac93a_cdfe_11eb_82ca_003048fd731b_62fcddaf_11fe_11ef_a5b8_047c1617b143241.jpeg"/><Relationship Id="rId242" Type="http://schemas.openxmlformats.org/officeDocument/2006/relationships/image" Target="../media/997aeb54_ce20_11eb_82ca_003048fd731b_62fcddb1_11fe_11ef_a5b8_047c1617b143242.jpeg"/><Relationship Id="rId243" Type="http://schemas.openxmlformats.org/officeDocument/2006/relationships/image" Target="../media/997aeb56_ce20_11eb_82ca_003048fd731b_62fcddb3_11fe_11ef_a5b8_047c1617b143243.jpeg"/><Relationship Id="rId244" Type="http://schemas.openxmlformats.org/officeDocument/2006/relationships/image" Target="../media/997aeb60_ce20_11eb_82ca_003048fd731b_62fcddd7_11fe_11ef_a5b8_047c1617b143244.jpeg"/><Relationship Id="rId245" Type="http://schemas.openxmlformats.org/officeDocument/2006/relationships/image" Target="../media/997aeb62_ce20_11eb_82ca_003048fd731b_62fcddd9_11fe_11ef_a5b8_047c1617b143245.jpeg"/><Relationship Id="rId246" Type="http://schemas.openxmlformats.org/officeDocument/2006/relationships/image" Target="../media/997aeb64_ce20_11eb_82ca_003048fd731b_62fcdddb_11fe_11ef_a5b8_047c1617b143246.jpeg"/><Relationship Id="rId247" Type="http://schemas.openxmlformats.org/officeDocument/2006/relationships/image" Target="../media/997aeb66_ce20_11eb_82ca_003048fd731b_62fcdddd_11fe_11ef_a5b8_047c1617b143247.jpeg"/><Relationship Id="rId248" Type="http://schemas.openxmlformats.org/officeDocument/2006/relationships/image" Target="../media/997aeb70_ce20_11eb_82ca_003048fd731b_62fcddb5_11fe_11ef_a5b8_047c1617b143248.jpeg"/><Relationship Id="rId249" Type="http://schemas.openxmlformats.org/officeDocument/2006/relationships/image" Target="../media/997aeb72_ce20_11eb_82ca_003048fd731b_62fcddb7_11fe_11ef_a5b8_047c1617b143249.jpeg"/><Relationship Id="rId250" Type="http://schemas.openxmlformats.org/officeDocument/2006/relationships/image" Target="../media/997aeb74_ce20_11eb_82ca_003048fd731b_62fcddbb_11fe_11ef_a5b8_047c1617b143250.jpeg"/><Relationship Id="rId251" Type="http://schemas.openxmlformats.org/officeDocument/2006/relationships/image" Target="../media/997aeb76_ce20_11eb_82ca_003048fd731b_62fcddbd_11fe_11ef_a5b8_047c1617b143251.jpeg"/><Relationship Id="rId252" Type="http://schemas.openxmlformats.org/officeDocument/2006/relationships/image" Target="../media/2a13dedc_55f9_11ec_a208_00259070b487_62fcdde0_11fe_11ef_a5b8_047c1617b143252.jpeg"/><Relationship Id="rId253" Type="http://schemas.openxmlformats.org/officeDocument/2006/relationships/image" Target="../media/2a13dede_55f9_11ec_a208_00259070b487_62fcdde1_11fe_11ef_a5b8_047c1617b143253.jpeg"/><Relationship Id="rId254" Type="http://schemas.openxmlformats.org/officeDocument/2006/relationships/image" Target="../media/2a13dee0_55f9_11ec_a208_00259070b487_62fcdde2_11fe_11ef_a5b8_047c1617b143254.jpeg"/><Relationship Id="rId255" Type="http://schemas.openxmlformats.org/officeDocument/2006/relationships/image" Target="../media/2a13dee2_55f9_11ec_a208_00259070b487_62fcddb9_11fe_11ef_a5b8_047c1617b143255.jpeg"/><Relationship Id="rId256" Type="http://schemas.openxmlformats.org/officeDocument/2006/relationships/image" Target="../media/acb0beeb_7c2b_11ec_a214_00259070b487_62fcdddf_11fe_11ef_a5b8_047c1617b143256.jpeg"/><Relationship Id="rId257" Type="http://schemas.openxmlformats.org/officeDocument/2006/relationships/image" Target="../media/acb0beed_7c2b_11ec_a214_00259070b487_62fcdde3_11fe_11ef_a5b8_047c1617b143257.jpeg"/><Relationship Id="rId258" Type="http://schemas.openxmlformats.org/officeDocument/2006/relationships/image" Target="../media/fc27c033_aa62_11ec_a25d_00259070b487_62fcddbf_11fe_11ef_a5b8_047c1617b143258.jpeg"/><Relationship Id="rId259" Type="http://schemas.openxmlformats.org/officeDocument/2006/relationships/image" Target="../media/fc27c035_aa62_11ec_a25d_00259070b487_62fcddcd_11fe_11ef_a5b8_047c1617b143259.jpeg"/><Relationship Id="rId260" Type="http://schemas.openxmlformats.org/officeDocument/2006/relationships/image" Target="../media/fc27c037_aa62_11ec_a25d_00259070b487_62fcddcf_11fe_11ef_a5b8_047c1617b143260.jpeg"/><Relationship Id="rId261" Type="http://schemas.openxmlformats.org/officeDocument/2006/relationships/image" Target="../media/fc27c039_aa62_11ec_a25d_00259070b487_62fcddd1_11fe_11ef_a5b8_047c1617b143261.jpeg"/><Relationship Id="rId262" Type="http://schemas.openxmlformats.org/officeDocument/2006/relationships/image" Target="../media/fc27c03b_aa62_11ec_a25d_00259070b487_62fcddd3_11fe_11ef_a5b8_047c1617b143262.jpeg"/><Relationship Id="rId263" Type="http://schemas.openxmlformats.org/officeDocument/2006/relationships/image" Target="../media/fc27c03d_aa62_11ec_a25d_00259070b487_62fcddd5_11fe_11ef_a5b8_047c1617b143263.jpeg"/><Relationship Id="rId264" Type="http://schemas.openxmlformats.org/officeDocument/2006/relationships/image" Target="../media/8718c7a4_43e5_11f1_a8b5_047c1617b143_bf5c2f3e_7149_11f1_a8f1_047c1617b143264.jpeg"/><Relationship Id="rId265" Type="http://schemas.openxmlformats.org/officeDocument/2006/relationships/image" Target="../media/8718c7a6_43e5_11f1_a8b5_047c1617b143_bf5c2f3f_7149_11f1_a8f1_047c1617b143265.jpeg"/><Relationship Id="rId266" Type="http://schemas.openxmlformats.org/officeDocument/2006/relationships/image" Target="../media/8718c7a8_43e5_11f1_a8b5_047c1617b143_bf5c2f40_7149_11f1_a8f1_047c1617b143266.jpeg"/><Relationship Id="rId267" Type="http://schemas.openxmlformats.org/officeDocument/2006/relationships/image" Target="../media/8718c7aa_43e5_11f1_a8b5_047c1617b143_bf5c2f3d_7149_11f1_a8f1_047c1617b143267.jpeg"/><Relationship Id="rId268" Type="http://schemas.openxmlformats.org/officeDocument/2006/relationships/image" Target="../media/8718c7ac_43e5_11f1_a8b5_047c1617b143_83c15b57_714a_11f1_a8f1_047c1617b143268.jpeg"/><Relationship Id="rId269" Type="http://schemas.openxmlformats.org/officeDocument/2006/relationships/image" Target="../media/8718c7ae_43e5_11f1_a8b5_047c1617b143_83c15b58_714a_11f1_a8f1_047c1617b143269.jpeg"/><Relationship Id="rId270" Type="http://schemas.openxmlformats.org/officeDocument/2006/relationships/image" Target="../media/8718c7b0_43e5_11f1_a8b5_047c1617b143_83c15b59_714a_11f1_a8f1_047c1617b143270.jpeg"/><Relationship Id="rId271" Type="http://schemas.openxmlformats.org/officeDocument/2006/relationships/image" Target="../media/8718c7b2_43e5_11f1_a8b5_047c1617b143_83c15b55_714a_11f1_a8f1_047c1617b143271.jpeg"/><Relationship Id="rId272" Type="http://schemas.openxmlformats.org/officeDocument/2006/relationships/image" Target="../media/8718c7ba_43e5_11f1_a8b5_047c1617b143_bf5c2f44_7149_11f1_a8f1_047c1617b143272.jpeg"/><Relationship Id="rId273" Type="http://schemas.openxmlformats.org/officeDocument/2006/relationships/image" Target="../media/8718c7bc_43e5_11f1_a8b5_047c1617b143_bf5c2f45_7149_11f1_a8f1_047c1617b143273.jpeg"/><Relationship Id="rId274" Type="http://schemas.openxmlformats.org/officeDocument/2006/relationships/image" Target="../media/8718c7be_43e5_11f1_a8b5_047c1617b143_bf5c2f46_7149_11f1_a8f1_047c1617b143274.jpeg"/><Relationship Id="rId275" Type="http://schemas.openxmlformats.org/officeDocument/2006/relationships/image" Target="../media/8718c7c0_43e5_11f1_a8b5_047c1617b143_bf5c2f41_7149_11f1_a8f1_047c1617b143275.jpeg"/><Relationship Id="rId276" Type="http://schemas.openxmlformats.org/officeDocument/2006/relationships/image" Target="../media/8718c7c2_43e5_11f1_a8b5_047c1617b143_bf5c2f42_7149_11f1_a8f1_047c1617b143276.jpeg"/><Relationship Id="rId277" Type="http://schemas.openxmlformats.org/officeDocument/2006/relationships/image" Target="../media/8718c7c6_43e5_11f1_a8b5_047c1617b143_83c15b52_714a_11f1_a8f1_047c1617b143277.jpeg"/><Relationship Id="rId278" Type="http://schemas.openxmlformats.org/officeDocument/2006/relationships/image" Target="../media/8718c7c8_43e5_11f1_a8b5_047c1617b143_83c15b53_714a_11f1_a8f1_047c1617b143278.jpeg"/><Relationship Id="rId279" Type="http://schemas.openxmlformats.org/officeDocument/2006/relationships/image" Target="../media/8718c7ca_43e5_11f1_a8b5_047c1617b143_83c15b54_714a_11f1_a8f1_047c1617b143279.jpeg"/><Relationship Id="rId280" Type="http://schemas.openxmlformats.org/officeDocument/2006/relationships/image" Target="../media/8718c7cc_43e5_11f1_a8b5_047c1617b143_bf5c2f47_7149_11f1_a8f1_047c1617b143280.jpeg"/><Relationship Id="rId281" Type="http://schemas.openxmlformats.org/officeDocument/2006/relationships/image" Target="../media/ae0ac902_cdfe_11eb_82ca_003048fd731b_592216a0_11fe_11ef_a5b8_047c1617b143281.jpeg"/><Relationship Id="rId282" Type="http://schemas.openxmlformats.org/officeDocument/2006/relationships/image" Target="../media/ae0ac904_cdfe_11eb_82ca_003048fd731b_592216a2_11fe_11ef_a5b8_047c1617b143282.jpeg"/><Relationship Id="rId283" Type="http://schemas.openxmlformats.org/officeDocument/2006/relationships/image" Target="../media/ae0ac906_cdfe_11eb_82ca_003048fd731b_592216a6_11fe_11ef_a5b8_047c1617b143283.jpeg"/><Relationship Id="rId284" Type="http://schemas.openxmlformats.org/officeDocument/2006/relationships/image" Target="../media/ae0ac908_cdfe_11eb_82ca_003048fd731b_592216a8_11fe_11ef_a5b8_047c1617b143284.jpeg"/><Relationship Id="rId285" Type="http://schemas.openxmlformats.org/officeDocument/2006/relationships/image" Target="../media/ae0ac90a_cdfe_11eb_82ca_003048fd731b_592216ae_11fe_11ef_a5b8_047c1617b143285.jpeg"/><Relationship Id="rId286" Type="http://schemas.openxmlformats.org/officeDocument/2006/relationships/image" Target="../media/ae0ac90c_cdfe_11eb_82ca_003048fd731b_62fcdd9f_11fe_11ef_a5b8_047c1617b143286.jpeg"/><Relationship Id="rId287" Type="http://schemas.openxmlformats.org/officeDocument/2006/relationships/image" Target="../media/ae0ac90e_cdfe_11eb_82ca_003048fd731b_62fcdda1_11fe_11ef_a5b8_047c1617b143287.jpeg"/><Relationship Id="rId288" Type="http://schemas.openxmlformats.org/officeDocument/2006/relationships/image" Target="../media/ae0ac910_cdfe_11eb_82ca_003048fd731b_62fcdda3_11fe_11ef_a5b8_047c1617b143288.jpeg"/><Relationship Id="rId289" Type="http://schemas.openxmlformats.org/officeDocument/2006/relationships/image" Target="../media/ae0ac912_cdfe_11eb_82ca_003048fd731b_62fcdda5_11fe_11ef_a5b8_047c1617b143289.jpeg"/><Relationship Id="rId290" Type="http://schemas.openxmlformats.org/officeDocument/2006/relationships/image" Target="../media/2a13ded8_55f9_11ec_a208_00259070b487_592216aa_11fe_11ef_a5b8_047c1617b143290.jpeg"/><Relationship Id="rId291" Type="http://schemas.openxmlformats.org/officeDocument/2006/relationships/image" Target="../media/2a13deda_55f9_11ec_a208_00259070b487_62fcdda7_11fe_11ef_a5b8_047c1617b143291.jpeg"/><Relationship Id="rId292" Type="http://schemas.openxmlformats.org/officeDocument/2006/relationships/image" Target="../media/adcdd9ab_05b7_11ee_a455_047c1617b143_5922169e_11fe_11ef_a5b8_047c1617b143292.jpeg"/><Relationship Id="rId293" Type="http://schemas.openxmlformats.org/officeDocument/2006/relationships/image" Target="../media/adcdd9ad_05b7_11ee_a455_047c1617b143_592216a4_11fe_11ef_a5b8_047c1617b143293.jpeg"/><Relationship Id="rId294" Type="http://schemas.openxmlformats.org/officeDocument/2006/relationships/image" Target="../media/adcdd9af_05b7_11ee_a455_047c1617b143_592216ac_11fe_11ef_a5b8_047c1617b143294.jpeg"/><Relationship Id="rId295" Type="http://schemas.openxmlformats.org/officeDocument/2006/relationships/image" Target="../media/8718c7a0_43e5_11f1_a8b5_047c1617b143_bf5c2f3a_7149_11f1_a8f1_047c1617b143295.jpeg"/><Relationship Id="rId296" Type="http://schemas.openxmlformats.org/officeDocument/2006/relationships/image" Target="../media/8718c7a2_43e5_11f1_a8b5_047c1617b143_bf5c2f3b_7149_11f1_a8f1_047c1617b143296.jpeg"/><Relationship Id="rId297" Type="http://schemas.openxmlformats.org/officeDocument/2006/relationships/image" Target="../media/e825a7fa_3767_11ea_810f_003048fd731b_8229595e_3773_11ea_810f_003048fd731b297.jpeg"/><Relationship Id="rId298" Type="http://schemas.openxmlformats.org/officeDocument/2006/relationships/image" Target="../media/45f5927a_4009_11ec_8370_003048fd731b_d92286a8_f1db_11ef_a6e1_047c1617b143298.jpeg"/><Relationship Id="rId299" Type="http://schemas.openxmlformats.org/officeDocument/2006/relationships/image" Target="../media/997aeb90_ce20_11eb_82ca_003048fd731b_a1555423_602e_11ec_a20b_00259070b487299.jpeg"/><Relationship Id="rId300" Type="http://schemas.openxmlformats.org/officeDocument/2006/relationships/image" Target="../media/997aeb92_ce20_11eb_82ca_003048fd731b_a1555424_602e_11ec_a20b_00259070b487300.jpeg"/><Relationship Id="rId301" Type="http://schemas.openxmlformats.org/officeDocument/2006/relationships/image" Target="../media/a05f35b4_ce20_11eb_82ca_003048fd731b_a1555425_602e_11ec_a20b_00259070b487301.jpeg"/><Relationship Id="rId302" Type="http://schemas.openxmlformats.org/officeDocument/2006/relationships/image" Target="../media/a05f35b8_ce20_11eb_82ca_003048fd731b_a1555426_602e_11ec_a20b_00259070b487302.jpeg"/><Relationship Id="rId303" Type="http://schemas.openxmlformats.org/officeDocument/2006/relationships/image" Target="../media/a05f35bc_ce20_11eb_82ca_003048fd731b_a1555427_602e_11ec_a20b_00259070b487303.jpeg"/><Relationship Id="rId304" Type="http://schemas.openxmlformats.org/officeDocument/2006/relationships/image" Target="../media/a05f35be_ce20_11eb_82ca_003048fd731b_a1555428_602e_11ec_a20b_00259070b487304.jpeg"/><Relationship Id="rId305" Type="http://schemas.openxmlformats.org/officeDocument/2006/relationships/image" Target="../media/a05f35c8_ce20_11eb_82ca_003048fd731b_a1555429_602e_11ec_a20b_00259070b487305.jpeg"/><Relationship Id="rId306" Type="http://schemas.openxmlformats.org/officeDocument/2006/relationships/image" Target="../media/a05f35ca_ce20_11eb_82ca_003048fd731b_a155542a_602e_11ec_a20b_00259070b487306.jpeg"/><Relationship Id="rId307" Type="http://schemas.openxmlformats.org/officeDocument/2006/relationships/image" Target="../media/29b1cba5_3e5b_11ec_836e_003048fd731b_a155542b_602e_11ec_a20b_00259070b487307.jpeg"/><Relationship Id="rId308" Type="http://schemas.openxmlformats.org/officeDocument/2006/relationships/image" Target="../media/29b1cba9_3e5b_11ec_836e_003048fd731b_a155542c_602e_11ec_a20b_00259070b487308.jpeg"/><Relationship Id="rId309" Type="http://schemas.openxmlformats.org/officeDocument/2006/relationships/image" Target="../media/29b1cbaf_3e5b_11ec_836e_003048fd731b_a155542d_602e_11ec_a20b_00259070b487309.jpeg"/><Relationship Id="rId310" Type="http://schemas.openxmlformats.org/officeDocument/2006/relationships/image" Target="../media/2a13dee6_55f9_11ec_a208_00259070b487_aaacbe31_602e_11ec_a20b_00259070b487310.jpeg"/><Relationship Id="rId311" Type="http://schemas.openxmlformats.org/officeDocument/2006/relationships/image" Target="../media/2a13dee8_55f9_11ec_a208_00259070b487_aaacbe32_602e_11ec_a20b_00259070b487311.jpeg"/><Relationship Id="rId312" Type="http://schemas.openxmlformats.org/officeDocument/2006/relationships/image" Target="../media/fc27c043_aa62_11ec_a25d_00259070b487_59221688_11fe_11ef_a5b8_047c1617b143312.jpeg"/><Relationship Id="rId313" Type="http://schemas.openxmlformats.org/officeDocument/2006/relationships/image" Target="../media/fc27c045_aa62_11ec_a25d_00259070b487_5922168a_11fe_11ef_a5b8_047c1617b143313.jpeg"/><Relationship Id="rId314" Type="http://schemas.openxmlformats.org/officeDocument/2006/relationships/image" Target="../media/ab08e99d_3fea_11ee_a4a3_047c1617b143_5922168c_11fe_11ef_a5b8_047c1617b143314.jpeg"/><Relationship Id="rId315" Type="http://schemas.openxmlformats.org/officeDocument/2006/relationships/image" Target="../media/ab08e99f_3fea_11ee_a4a3_047c1617b143_5922168d_11fe_11ef_a5b8_047c1617b143315.jpeg"/><Relationship Id="rId316" Type="http://schemas.openxmlformats.org/officeDocument/2006/relationships/image" Target="../media/b5c8b8ba_efa3_11ef_a6de_047c1617b143_bf5c2f2e_7149_11f1_a8f1_047c1617b143316.jpeg"/><Relationship Id="rId317" Type="http://schemas.openxmlformats.org/officeDocument/2006/relationships/image" Target="../media/b302ab15_4393_11f1_a8b5_047c1617b143_bf5c2f2c_7149_11f1_a8f1_047c1617b143317.jpeg"/><Relationship Id="rId318" Type="http://schemas.openxmlformats.org/officeDocument/2006/relationships/image" Target="../media/b302ab17_4393_11f1_a8b5_047c1617b143_bf5c2f39_7149_11f1_a8f1_047c1617b143318.jpeg"/><Relationship Id="rId319" Type="http://schemas.openxmlformats.org/officeDocument/2006/relationships/image" Target="../media/8718c7d8_43e5_11f1_a8b5_047c1617b143_bf5c2f30_7149_11f1_a8f1_047c1617b143319.jpeg"/><Relationship Id="rId320" Type="http://schemas.openxmlformats.org/officeDocument/2006/relationships/image" Target="../media/8718c7da_43e5_11f1_a8b5_047c1617b143_bf5c2f32_7149_11f1_a8f1_047c1617b143320.jpeg"/><Relationship Id="rId321" Type="http://schemas.openxmlformats.org/officeDocument/2006/relationships/image" Target="../media/8718c7dc_43e5_11f1_a8b5_047c1617b143_bf5c2f31_7149_11f1_a8f1_047c1617b143321.jpeg"/><Relationship Id="rId322" Type="http://schemas.openxmlformats.org/officeDocument/2006/relationships/image" Target="../media/8718c7de_43e5_11f1_a8b5_047c1617b143_bf5c2f33_7149_11f1_a8f1_047c1617b143322.jpeg"/><Relationship Id="rId323" Type="http://schemas.openxmlformats.org/officeDocument/2006/relationships/image" Target="../media/8718c7e0_43e5_11f1_a8b5_047c1617b143_bf5c2f34_7149_11f1_a8f1_047c1617b143323.jpeg"/><Relationship Id="rId324" Type="http://schemas.openxmlformats.org/officeDocument/2006/relationships/image" Target="../media/e825a802_3767_11ea_810f_003048fd731b_5922167a_11fe_11ef_a5b8_047c1617b143324.png"/><Relationship Id="rId325" Type="http://schemas.openxmlformats.org/officeDocument/2006/relationships/image" Target="../media/e825a804_3767_11ea_810f_003048fd731b_5922167e_11fe_11ef_a5b8_047c1617b143325.png"/><Relationship Id="rId326" Type="http://schemas.openxmlformats.org/officeDocument/2006/relationships/image" Target="../media/e825a806_3767_11ea_810f_003048fd731b_eed7e2e1_3767_11ea_810f_003048fd731b326.jpeg"/><Relationship Id="rId327" Type="http://schemas.openxmlformats.org/officeDocument/2006/relationships/image" Target="../media/e825a808_3767_11ea_810f_003048fd731b_59221678_11fe_11ef_a5b8_047c1617b143327.png"/><Relationship Id="rId328" Type="http://schemas.openxmlformats.org/officeDocument/2006/relationships/image" Target="../media/6563d0c9_1094_11ec_8327_003048fd731b_a155542e_602e_11ec_a20b_00259070b487328.jpeg"/><Relationship Id="rId329" Type="http://schemas.openxmlformats.org/officeDocument/2006/relationships/image" Target="../media/29b1cbad_3e5b_11ec_836e_003048fd731b_59221684_11fe_11ef_a5b8_047c1617b143329.jpeg"/><Relationship Id="rId330" Type="http://schemas.openxmlformats.org/officeDocument/2006/relationships/image" Target="../media/29b1cbb3_3e5b_11ec_836e_003048fd731b_59221687_11fe_11ef_a5b8_047c1617b143330.jpeg"/><Relationship Id="rId331" Type="http://schemas.openxmlformats.org/officeDocument/2006/relationships/image" Target="../media/29b1cbb5_3e5b_11ec_836e_003048fd731b_59221686_11fe_11ef_a5b8_047c1617b143331.jpeg"/><Relationship Id="rId332" Type="http://schemas.openxmlformats.org/officeDocument/2006/relationships/image" Target="../media/9e5408b6_9114_11ed_a3b7_047c1617b143_59221682_11fe_11ef_a5b8_047c1617b143332.jpeg"/><Relationship Id="rId333" Type="http://schemas.openxmlformats.org/officeDocument/2006/relationships/image" Target="../media/8718c7e8_43e5_11f1_a8b5_047c1617b143_bf5c2f2a_7149_11f1_a8f1_047c1617b143333.jpeg"/><Relationship Id="rId334" Type="http://schemas.openxmlformats.org/officeDocument/2006/relationships/image" Target="../media/8718c7ea_43e5_11f1_a8b5_047c1617b143_bf5c2f2b_7149_11f1_a8f1_047c1617b143334.jpeg"/><Relationship Id="rId335" Type="http://schemas.openxmlformats.org/officeDocument/2006/relationships/image" Target="../media/19176330_f3c8_11eb_82ff_003048fd731b_59221642_11fe_11ef_a5b8_047c1617b143335.jpeg"/><Relationship Id="rId336" Type="http://schemas.openxmlformats.org/officeDocument/2006/relationships/image" Target="../media/19176336_f3c8_11eb_82ff_003048fd731b_59221645_11fe_11ef_a5b8_047c1617b143336.png"/><Relationship Id="rId337" Type="http://schemas.openxmlformats.org/officeDocument/2006/relationships/image" Target="../media/85dc95f8_9062_11ed_a3b6_047c1617b143_59221643_11fe_11ef_a5b8_047c1617b143337.jpeg"/><Relationship Id="rId338" Type="http://schemas.openxmlformats.org/officeDocument/2006/relationships/image" Target="../media/85dc95fa_9062_11ed_a3b6_047c1617b143_a26f33fa_7c1e_11f0_a7a3_047c1617b143338.jpeg"/><Relationship Id="rId339" Type="http://schemas.openxmlformats.org/officeDocument/2006/relationships/image" Target="../media/aff82a98_1073_11ee_a463_047c1617b143_64c8bb9c_5a46_11f0_a775_047c1617b143339.jpeg"/><Relationship Id="rId340" Type="http://schemas.openxmlformats.org/officeDocument/2006/relationships/image" Target="../media/1f13c460_37d2_11ef_a5e9_047c1617b143_64c8bb9d_5a46_11f0_a775_047c1617b143340.jpeg"/><Relationship Id="rId341" Type="http://schemas.openxmlformats.org/officeDocument/2006/relationships/image" Target="../media/1f13c462_37d2_11ef_a5e9_047c1617b143_a26f33f9_7c1e_11f0_a7a3_047c1617b143341.jpeg"/><Relationship Id="rId342" Type="http://schemas.openxmlformats.org/officeDocument/2006/relationships/image" Target="../media/9476d33a_40b1_11f0_a74b_047c1617b143_83eb96bd_5d58_11f0_a779_047c1617b143342.jpeg"/><Relationship Id="rId343" Type="http://schemas.openxmlformats.org/officeDocument/2006/relationships/image" Target="../media/9476d33c_40b1_11f0_a74b_047c1617b143_83eb96c1_5d58_11f0_a779_047c1617b143343.jpeg"/><Relationship Id="rId344" Type="http://schemas.openxmlformats.org/officeDocument/2006/relationships/image" Target="../media/9476d33e_40b1_11f0_a74b_047c1617b143_83eb96c5_5d58_11f0_a779_047c1617b143344.jpeg"/><Relationship Id="rId345" Type="http://schemas.openxmlformats.org/officeDocument/2006/relationships/image" Target="../media/b5c8b8ae_efa3_11ef_a6de_047c1617b143_1ca3f8ce_49e3_11f1_a8bd_047c1617b143345.jpeg"/><Relationship Id="rId346" Type="http://schemas.openxmlformats.org/officeDocument/2006/relationships/image" Target="../media/b5c8b8b0_efa3_11ef_a6de_047c1617b143_1ca3f8d2_49e3_11f1_a8bd_047c1617b143346.jpeg"/><Relationship Id="rId347" Type="http://schemas.openxmlformats.org/officeDocument/2006/relationships/image" Target="../media/b5c8b8b2_efa3_11ef_a6de_047c1617b143_1ca3f8d6_49e3_11f1_a8bd_047c1617b143347.jpeg"/><Relationship Id="rId348" Type="http://schemas.openxmlformats.org/officeDocument/2006/relationships/image" Target="../media/77fc5a45_86a6_11e9_8101_003048fd731b_62fcdde8_11fe_11ef_a5b8_047c1617b143348.jpeg"/><Relationship Id="rId349" Type="http://schemas.openxmlformats.org/officeDocument/2006/relationships/image" Target="../media/77fc5a47_86a6_11e9_8101_003048fd731b_62fcdde4_11fe_11ef_a5b8_047c1617b143349.jpeg"/><Relationship Id="rId350" Type="http://schemas.openxmlformats.org/officeDocument/2006/relationships/image" Target="../media/bde62654_091f_11eb_81b8_003048fd731b_62fcddec_11fe_11ef_a5b8_047c1617b143350.png"/><Relationship Id="rId351" Type="http://schemas.openxmlformats.org/officeDocument/2006/relationships/image" Target="../media/bde62656_091f_11eb_81b8_003048fd731b_a043d914_14ec_11eb_81c7_003048fd731b351.png"/><Relationship Id="rId352" Type="http://schemas.openxmlformats.org/officeDocument/2006/relationships/image" Target="../media/f0931114_0c72_11ec_8321_003048fd731b_62fcdded_11fe_11ef_a5b8_047c1617b143352.png"/><Relationship Id="rId353" Type="http://schemas.openxmlformats.org/officeDocument/2006/relationships/image" Target="../media/3e8472e0_afd7_11ef_a68d_047c1617b143_d92286ac_f1db_11ef_a6e1_047c1617b143353.jpeg"/><Relationship Id="rId354" Type="http://schemas.openxmlformats.org/officeDocument/2006/relationships/image" Target="../media/f72d372b_5f8f_11eb_822d_003048fd731b_62fcddf1_11fe_11ef_a5b8_047c1617b143354.jpeg"/><Relationship Id="rId355" Type="http://schemas.openxmlformats.org/officeDocument/2006/relationships/image" Target="../media/8718c7ec_43e5_11f1_a8b5_047c1617b143_83c15b5a_714a_11f1_a8f1_047c1617b143355.jpeg"/><Relationship Id="rId356" Type="http://schemas.openxmlformats.org/officeDocument/2006/relationships/image" Target="../media/a6705268_2b50_11f1_a894_047c1617b143_b9bf9162_30b7_11f1_a89b_047c1617b143356.jpeg"/><Relationship Id="rId357" Type="http://schemas.openxmlformats.org/officeDocument/2006/relationships/image" Target="../media/be281c94_f776_11ee_a595_047c1617b143_14e1e114_f93d_11ef_a6ea_047c1617b143357.jpeg"/><Relationship Id="rId358" Type="http://schemas.openxmlformats.org/officeDocument/2006/relationships/image" Target="../media/9e5408bc_9114_11ed_a3b7_047c1617b143_59221623_11fe_11ef_a5b8_047c1617b143358.jpeg"/><Relationship Id="rId359" Type="http://schemas.openxmlformats.org/officeDocument/2006/relationships/image" Target="../media/5a6d7b17_847d_11ef_a64e_047c1617b143_1b5db385_f93d_11ef_a6ea_047c1617b143359.jpeg"/><Relationship Id="rId360" Type="http://schemas.openxmlformats.org/officeDocument/2006/relationships/image" Target="../media/5a6d7b19_847d_11ef_a64e_047c1617b143_1b5db386_f93d_11ef_a6ea_047c1617b143360.jpeg"/><Relationship Id="rId361" Type="http://schemas.openxmlformats.org/officeDocument/2006/relationships/image" Target="../media/9182bdfe_eeb6_11ef_a6dd_047c1617b143_a26f33fb_7c1e_11f0_a7a3_047c1617b143361.jpeg"/><Relationship Id="rId362" Type="http://schemas.openxmlformats.org/officeDocument/2006/relationships/image" Target="../media/b302ab19_4393_11f1_a8b5_047c1617b143_bf5c2f16_7149_11f1_a8f1_047c1617b143362.jpeg"/><Relationship Id="rId363" Type="http://schemas.openxmlformats.org/officeDocument/2006/relationships/image" Target="../media/04212783_5c3f_11f1_a8d5_047c1617b143_9c2db47a_73c3_11f1_a8f4_047c1617b14336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7" name="Image_23" descr="Image_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8" name="Image_24" descr="Image_2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9" name="Image_25" descr="Image_25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0" name="Image_38" descr="Image_38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1" name="Image_39" descr="Image_39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2" name="Image_40" descr="Image_40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3" name="Image_41" descr="Image_41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4" name="Image_42" descr="Image_42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36" name="Image_67" descr="Image_6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37" name="Image_68" descr="Image_6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38" name="Image_69" descr="Image_6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39" name="Image_70" descr="Image_7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40" name="Image_71" descr="Image_7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41" name="Image_72" descr="Image_7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42" name="Image_73" descr="Image_7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43" name="Image_74" descr="Image_7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44" name="Image_126" descr="Image_126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45" name="Image_127" descr="Image_127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46" name="Image_128" descr="Image_128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47" name="Image_129" descr="Image_129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48" name="Image_130" descr="Image_130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49" name="Image_131" descr="Image_131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50" name="Image_132" descr="Image_132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51" name="Image_134" descr="Image_134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52" name="Image_135" descr="Image_135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53" name="Image_136" descr="Image_136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54" name="Image_137" descr="Image_137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55" name="Image_138" descr="Image_138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56" name="Image_139" descr="Image_139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57" name="Image_140" descr="Image_140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58" name="Image_141" descr="Image_141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59" name="Image_143" descr="Image_14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60" name="Image_144" descr="Image_14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61" name="Image_145" descr="Image_14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62" name="Image_157" descr="Image_15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63" name="Image_158" descr="Image_15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64" name="Image_159" descr="Image_15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65" name="Image_160" descr="Image_16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66" name="Image_161" descr="Image_16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67" name="Image_162" descr="Image_16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68" name="Image_164" descr="Image_164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69" name="Image_165" descr="Image_16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70" name="Image_166" descr="Image_166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166</xdr:row>
      <xdr:rowOff>95250</xdr:rowOff>
    </xdr:from>
    <xdr:ext cx="1143000" cy="1143000"/>
    <xdr:pic>
      <xdr:nvPicPr>
        <xdr:cNvPr id="71" name="Image_167" descr="Image_167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72" name="Image_168" descr="Image_168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73" name="Image_169" descr="Image_169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74" name="Image_170" descr="Image_17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75" name="Image_171" descr="Image_17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76" name="Image_172" descr="Image_17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77" name="Image_173" descr="Image_17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78" name="Image_174" descr="Image_17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79" name="Image_175" descr="Image_17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80" name="Image_176" descr="Image_17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81" name="Image_177" descr="Image_17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82" name="Image_178" descr="Image_17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83" name="Image_179" descr="Image_17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84" name="Image_180" descr="Image_18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85" name="Image_181" descr="Image_18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86" name="Image_184" descr="Image_184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87" name="Image_185" descr="Image_185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88" name="Image_186" descr="Image_186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186</xdr:row>
      <xdr:rowOff>95250</xdr:rowOff>
    </xdr:from>
    <xdr:ext cx="1143000" cy="1143000"/>
    <xdr:pic>
      <xdr:nvPicPr>
        <xdr:cNvPr id="89" name="Image_187" descr="Image_187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188</xdr:row>
      <xdr:rowOff>95250</xdr:rowOff>
    </xdr:from>
    <xdr:ext cx="1143000" cy="1143000"/>
    <xdr:pic>
      <xdr:nvPicPr>
        <xdr:cNvPr id="90" name="Image_189" descr="Image_189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91" name="Image_190" descr="Image_190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92" name="Image_191" descr="Image_191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191</xdr:row>
      <xdr:rowOff>95250</xdr:rowOff>
    </xdr:from>
    <xdr:ext cx="1143000" cy="1143000"/>
    <xdr:pic>
      <xdr:nvPicPr>
        <xdr:cNvPr id="93" name="Image_192" descr="Image_192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193</xdr:row>
      <xdr:rowOff>95250</xdr:rowOff>
    </xdr:from>
    <xdr:ext cx="1143000" cy="1143000"/>
    <xdr:pic>
      <xdr:nvPicPr>
        <xdr:cNvPr id="94" name="Image_194" descr="Image_194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95" name="Image_196" descr="Image_196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96" name="Image_197" descr="Image_197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97" name="Image_198" descr="Image_198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98" name="Image_199" descr="Image_199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99" name="Image_200" descr="Image_200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00" name="Image_203" descr="Image_20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203</xdr:row>
      <xdr:rowOff>95250</xdr:rowOff>
    </xdr:from>
    <xdr:ext cx="1143000" cy="1143000"/>
    <xdr:pic>
      <xdr:nvPicPr>
        <xdr:cNvPr id="101" name="Image_204" descr="Image_20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02" name="Image_205" descr="Image_20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03" name="Image_206" descr="Image_20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04" name="Image_207" descr="Image_20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05" name="Image_208" descr="Image_20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06" name="Image_209" descr="Image_20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07" name="Image_213" descr="Image_213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213</xdr:row>
      <xdr:rowOff>95250</xdr:rowOff>
    </xdr:from>
    <xdr:ext cx="1143000" cy="1143000"/>
    <xdr:pic>
      <xdr:nvPicPr>
        <xdr:cNvPr id="108" name="Image_214" descr="Image_214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09" name="Image_215" descr="Image_21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215</xdr:row>
      <xdr:rowOff>95250</xdr:rowOff>
    </xdr:from>
    <xdr:ext cx="1143000" cy="1143000"/>
    <xdr:pic>
      <xdr:nvPicPr>
        <xdr:cNvPr id="110" name="Image_216" descr="Image_216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218</xdr:row>
      <xdr:rowOff>95250</xdr:rowOff>
    </xdr:from>
    <xdr:ext cx="1143000" cy="1143000"/>
    <xdr:pic>
      <xdr:nvPicPr>
        <xdr:cNvPr id="111" name="Image_219" descr="Image_219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219</xdr:row>
      <xdr:rowOff>95250</xdr:rowOff>
    </xdr:from>
    <xdr:ext cx="1143000" cy="1143000"/>
    <xdr:pic>
      <xdr:nvPicPr>
        <xdr:cNvPr id="112" name="Image_220" descr="Image_220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220</xdr:row>
      <xdr:rowOff>95250</xdr:rowOff>
    </xdr:from>
    <xdr:ext cx="1143000" cy="1143000"/>
    <xdr:pic>
      <xdr:nvPicPr>
        <xdr:cNvPr id="113" name="Image_221" descr="Image_221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221</xdr:row>
      <xdr:rowOff>95250</xdr:rowOff>
    </xdr:from>
    <xdr:ext cx="1143000" cy="1143000"/>
    <xdr:pic>
      <xdr:nvPicPr>
        <xdr:cNvPr id="114" name="Image_222" descr="Image_222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222</xdr:row>
      <xdr:rowOff>95250</xdr:rowOff>
    </xdr:from>
    <xdr:ext cx="1143000" cy="1143000"/>
    <xdr:pic>
      <xdr:nvPicPr>
        <xdr:cNvPr id="115" name="Image_223" descr="Image_223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223</xdr:row>
      <xdr:rowOff>95250</xdr:rowOff>
    </xdr:from>
    <xdr:ext cx="1143000" cy="1143000"/>
    <xdr:pic>
      <xdr:nvPicPr>
        <xdr:cNvPr id="116" name="Image_224" descr="Image_22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224</xdr:row>
      <xdr:rowOff>95250</xdr:rowOff>
    </xdr:from>
    <xdr:ext cx="1143000" cy="1143000"/>
    <xdr:pic>
      <xdr:nvPicPr>
        <xdr:cNvPr id="117" name="Image_225" descr="Image_22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225</xdr:row>
      <xdr:rowOff>95250</xdr:rowOff>
    </xdr:from>
    <xdr:ext cx="1143000" cy="1143000"/>
    <xdr:pic>
      <xdr:nvPicPr>
        <xdr:cNvPr id="118" name="Image_226" descr="Image_22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226</xdr:row>
      <xdr:rowOff>95250</xdr:rowOff>
    </xdr:from>
    <xdr:ext cx="1143000" cy="1143000"/>
    <xdr:pic>
      <xdr:nvPicPr>
        <xdr:cNvPr id="119" name="Image_227" descr="Image_22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229</xdr:row>
      <xdr:rowOff>95250</xdr:rowOff>
    </xdr:from>
    <xdr:ext cx="1143000" cy="1143000"/>
    <xdr:pic>
      <xdr:nvPicPr>
        <xdr:cNvPr id="120" name="Image_230" descr="Image_230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230</xdr:row>
      <xdr:rowOff>95250</xdr:rowOff>
    </xdr:from>
    <xdr:ext cx="1143000" cy="1143000"/>
    <xdr:pic>
      <xdr:nvPicPr>
        <xdr:cNvPr id="121" name="Image_231" descr="Image_231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275</xdr:row>
      <xdr:rowOff>95250</xdr:rowOff>
    </xdr:from>
    <xdr:ext cx="1143000" cy="1143000"/>
    <xdr:pic>
      <xdr:nvPicPr>
        <xdr:cNvPr id="122" name="Image_276" descr="Image_276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276</xdr:row>
      <xdr:rowOff>95250</xdr:rowOff>
    </xdr:from>
    <xdr:ext cx="1143000" cy="1143000"/>
    <xdr:pic>
      <xdr:nvPicPr>
        <xdr:cNvPr id="123" name="Image_277" descr="Image_277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277</xdr:row>
      <xdr:rowOff>95250</xdr:rowOff>
    </xdr:from>
    <xdr:ext cx="1143000" cy="1143000"/>
    <xdr:pic>
      <xdr:nvPicPr>
        <xdr:cNvPr id="124" name="Image_278" descr="Image_278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278</xdr:row>
      <xdr:rowOff>95250</xdr:rowOff>
    </xdr:from>
    <xdr:ext cx="1143000" cy="1143000"/>
    <xdr:pic>
      <xdr:nvPicPr>
        <xdr:cNvPr id="125" name="Image_279" descr="Image_279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279</xdr:row>
      <xdr:rowOff>95250</xdr:rowOff>
    </xdr:from>
    <xdr:ext cx="1143000" cy="1143000"/>
    <xdr:pic>
      <xdr:nvPicPr>
        <xdr:cNvPr id="126" name="Image_280" descr="Image_280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280</xdr:row>
      <xdr:rowOff>95250</xdr:rowOff>
    </xdr:from>
    <xdr:ext cx="1143000" cy="1143000"/>
    <xdr:pic>
      <xdr:nvPicPr>
        <xdr:cNvPr id="127" name="Image_281" descr="Image_281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282</xdr:row>
      <xdr:rowOff>95250</xdr:rowOff>
    </xdr:from>
    <xdr:ext cx="1143000" cy="1143000"/>
    <xdr:pic>
      <xdr:nvPicPr>
        <xdr:cNvPr id="128" name="Image_283" descr="Image_283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283</xdr:row>
      <xdr:rowOff>95250</xdr:rowOff>
    </xdr:from>
    <xdr:ext cx="1143000" cy="1143000"/>
    <xdr:pic>
      <xdr:nvPicPr>
        <xdr:cNvPr id="129" name="Image_284" descr="Image_284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284</xdr:row>
      <xdr:rowOff>95250</xdr:rowOff>
    </xdr:from>
    <xdr:ext cx="1143000" cy="1143000"/>
    <xdr:pic>
      <xdr:nvPicPr>
        <xdr:cNvPr id="130" name="Image_285" descr="Image_285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285</xdr:row>
      <xdr:rowOff>95250</xdr:rowOff>
    </xdr:from>
    <xdr:ext cx="1143000" cy="1143000"/>
    <xdr:pic>
      <xdr:nvPicPr>
        <xdr:cNvPr id="131" name="Image_286" descr="Image_286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286</xdr:row>
      <xdr:rowOff>95250</xdr:rowOff>
    </xdr:from>
    <xdr:ext cx="1143000" cy="1143000"/>
    <xdr:pic>
      <xdr:nvPicPr>
        <xdr:cNvPr id="132" name="Image_287" descr="Image_287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287</xdr:row>
      <xdr:rowOff>95250</xdr:rowOff>
    </xdr:from>
    <xdr:ext cx="1143000" cy="1143000"/>
    <xdr:pic>
      <xdr:nvPicPr>
        <xdr:cNvPr id="133" name="Image_288" descr="Image_288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288</xdr:row>
      <xdr:rowOff>95250</xdr:rowOff>
    </xdr:from>
    <xdr:ext cx="1143000" cy="1143000"/>
    <xdr:pic>
      <xdr:nvPicPr>
        <xdr:cNvPr id="134" name="Image_289" descr="Image_289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289</xdr:row>
      <xdr:rowOff>95250</xdr:rowOff>
    </xdr:from>
    <xdr:ext cx="1143000" cy="1143000"/>
    <xdr:pic>
      <xdr:nvPicPr>
        <xdr:cNvPr id="135" name="Image_290" descr="Image_290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290</xdr:row>
      <xdr:rowOff>95250</xdr:rowOff>
    </xdr:from>
    <xdr:ext cx="1143000" cy="1143000"/>
    <xdr:pic>
      <xdr:nvPicPr>
        <xdr:cNvPr id="136" name="Image_291" descr="Image_291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311</xdr:row>
      <xdr:rowOff>95250</xdr:rowOff>
    </xdr:from>
    <xdr:ext cx="1143000" cy="1143000"/>
    <xdr:pic>
      <xdr:nvPicPr>
        <xdr:cNvPr id="137" name="Image_312" descr="Image_312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312</xdr:row>
      <xdr:rowOff>95250</xdr:rowOff>
    </xdr:from>
    <xdr:ext cx="1143000" cy="1143000"/>
    <xdr:pic>
      <xdr:nvPicPr>
        <xdr:cNvPr id="138" name="Image_313" descr="Image_313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313</xdr:row>
      <xdr:rowOff>95250</xdr:rowOff>
    </xdr:from>
    <xdr:ext cx="1143000" cy="1143000"/>
    <xdr:pic>
      <xdr:nvPicPr>
        <xdr:cNvPr id="139" name="Image_314" descr="Image_314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314</xdr:row>
      <xdr:rowOff>95250</xdr:rowOff>
    </xdr:from>
    <xdr:ext cx="1143000" cy="1143000"/>
    <xdr:pic>
      <xdr:nvPicPr>
        <xdr:cNvPr id="140" name="Image_315" descr="Image_315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315</xdr:row>
      <xdr:rowOff>95250</xdr:rowOff>
    </xdr:from>
    <xdr:ext cx="1143000" cy="1143000"/>
    <xdr:pic>
      <xdr:nvPicPr>
        <xdr:cNvPr id="141" name="Image_316" descr="Image_316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316</xdr:row>
      <xdr:rowOff>95250</xdr:rowOff>
    </xdr:from>
    <xdr:ext cx="1143000" cy="1143000"/>
    <xdr:pic>
      <xdr:nvPicPr>
        <xdr:cNvPr id="142" name="Image_317" descr="Image_317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317</xdr:row>
      <xdr:rowOff>95250</xdr:rowOff>
    </xdr:from>
    <xdr:ext cx="1143000" cy="1143000"/>
    <xdr:pic>
      <xdr:nvPicPr>
        <xdr:cNvPr id="143" name="Image_318" descr="Image_318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318</xdr:row>
      <xdr:rowOff>95250</xdr:rowOff>
    </xdr:from>
    <xdr:ext cx="1143000" cy="1143000"/>
    <xdr:pic>
      <xdr:nvPicPr>
        <xdr:cNvPr id="144" name="Image_319" descr="Image_319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319</xdr:row>
      <xdr:rowOff>95250</xdr:rowOff>
    </xdr:from>
    <xdr:ext cx="1143000" cy="1143000"/>
    <xdr:pic>
      <xdr:nvPicPr>
        <xdr:cNvPr id="145" name="Image_320" descr="Image_32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320</xdr:row>
      <xdr:rowOff>95250</xdr:rowOff>
    </xdr:from>
    <xdr:ext cx="1143000" cy="1143000"/>
    <xdr:pic>
      <xdr:nvPicPr>
        <xdr:cNvPr id="146" name="Image_321" descr="Image_32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321</xdr:row>
      <xdr:rowOff>95250</xdr:rowOff>
    </xdr:from>
    <xdr:ext cx="1143000" cy="1143000"/>
    <xdr:pic>
      <xdr:nvPicPr>
        <xdr:cNvPr id="147" name="Image_322" descr="Image_322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322</xdr:row>
      <xdr:rowOff>95250</xdr:rowOff>
    </xdr:from>
    <xdr:ext cx="1143000" cy="1143000"/>
    <xdr:pic>
      <xdr:nvPicPr>
        <xdr:cNvPr id="148" name="Image_323" descr="Image_323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323</xdr:row>
      <xdr:rowOff>95250</xdr:rowOff>
    </xdr:from>
    <xdr:ext cx="1143000" cy="1143000"/>
    <xdr:pic>
      <xdr:nvPicPr>
        <xdr:cNvPr id="149" name="Image_324" descr="Image_32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324</xdr:row>
      <xdr:rowOff>95250</xdr:rowOff>
    </xdr:from>
    <xdr:ext cx="1143000" cy="1143000"/>
    <xdr:pic>
      <xdr:nvPicPr>
        <xdr:cNvPr id="150" name="Image_325" descr="Image_325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325</xdr:row>
      <xdr:rowOff>95250</xdr:rowOff>
    </xdr:from>
    <xdr:ext cx="1143000" cy="1143000"/>
    <xdr:pic>
      <xdr:nvPicPr>
        <xdr:cNvPr id="151" name="Image_326" descr="Image_326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326</xdr:row>
      <xdr:rowOff>95250</xdr:rowOff>
    </xdr:from>
    <xdr:ext cx="1143000" cy="1143000"/>
    <xdr:pic>
      <xdr:nvPicPr>
        <xdr:cNvPr id="152" name="Image_327" descr="Image_327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327</xdr:row>
      <xdr:rowOff>95250</xdr:rowOff>
    </xdr:from>
    <xdr:ext cx="1143000" cy="1143000"/>
    <xdr:pic>
      <xdr:nvPicPr>
        <xdr:cNvPr id="153" name="Image_328" descr="Image_328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328</xdr:row>
      <xdr:rowOff>95250</xdr:rowOff>
    </xdr:from>
    <xdr:ext cx="1143000" cy="1143000"/>
    <xdr:pic>
      <xdr:nvPicPr>
        <xdr:cNvPr id="154" name="Image_329" descr="Image_329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329</xdr:row>
      <xdr:rowOff>95250</xdr:rowOff>
    </xdr:from>
    <xdr:ext cx="1143000" cy="1143000"/>
    <xdr:pic>
      <xdr:nvPicPr>
        <xdr:cNvPr id="155" name="Image_330" descr="Image_330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330</xdr:row>
      <xdr:rowOff>95250</xdr:rowOff>
    </xdr:from>
    <xdr:ext cx="1143000" cy="1143000"/>
    <xdr:pic>
      <xdr:nvPicPr>
        <xdr:cNvPr id="156" name="Image_331" descr="Image_331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331</xdr:row>
      <xdr:rowOff>95250</xdr:rowOff>
    </xdr:from>
    <xdr:ext cx="1143000" cy="1143000"/>
    <xdr:pic>
      <xdr:nvPicPr>
        <xdr:cNvPr id="157" name="Image_332" descr="Image_332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332</xdr:row>
      <xdr:rowOff>95250</xdr:rowOff>
    </xdr:from>
    <xdr:ext cx="1143000" cy="1143000"/>
    <xdr:pic>
      <xdr:nvPicPr>
        <xdr:cNvPr id="158" name="Image_333" descr="Image_333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333</xdr:row>
      <xdr:rowOff>95250</xdr:rowOff>
    </xdr:from>
    <xdr:ext cx="1143000" cy="1143000"/>
    <xdr:pic>
      <xdr:nvPicPr>
        <xdr:cNvPr id="159" name="Image_334" descr="Image_334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334</xdr:row>
      <xdr:rowOff>95250</xdr:rowOff>
    </xdr:from>
    <xdr:ext cx="1143000" cy="1143000"/>
    <xdr:pic>
      <xdr:nvPicPr>
        <xdr:cNvPr id="160" name="Image_335" descr="Image_335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335</xdr:row>
      <xdr:rowOff>95250</xdr:rowOff>
    </xdr:from>
    <xdr:ext cx="1143000" cy="1143000"/>
    <xdr:pic>
      <xdr:nvPicPr>
        <xdr:cNvPr id="161" name="Image_336" descr="Image_336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336</xdr:row>
      <xdr:rowOff>95250</xdr:rowOff>
    </xdr:from>
    <xdr:ext cx="1143000" cy="1143000"/>
    <xdr:pic>
      <xdr:nvPicPr>
        <xdr:cNvPr id="162" name="Image_337" descr="Image_337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337</xdr:row>
      <xdr:rowOff>95250</xdr:rowOff>
    </xdr:from>
    <xdr:ext cx="1143000" cy="1143000"/>
    <xdr:pic>
      <xdr:nvPicPr>
        <xdr:cNvPr id="163" name="Image_338" descr="Image_338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339</xdr:row>
      <xdr:rowOff>95250</xdr:rowOff>
    </xdr:from>
    <xdr:ext cx="1143000" cy="1143000"/>
    <xdr:pic>
      <xdr:nvPicPr>
        <xdr:cNvPr id="164" name="Image_340" descr="Image_340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377</xdr:row>
      <xdr:rowOff>95250</xdr:rowOff>
    </xdr:from>
    <xdr:ext cx="1143000" cy="1143000"/>
    <xdr:pic>
      <xdr:nvPicPr>
        <xdr:cNvPr id="165" name="Image_378" descr="Image_378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378</xdr:row>
      <xdr:rowOff>95250</xdr:rowOff>
    </xdr:from>
    <xdr:ext cx="1143000" cy="1143000"/>
    <xdr:pic>
      <xdr:nvPicPr>
        <xdr:cNvPr id="166" name="Image_379" descr="Image_379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379</xdr:row>
      <xdr:rowOff>95250</xdr:rowOff>
    </xdr:from>
    <xdr:ext cx="1143000" cy="1143000"/>
    <xdr:pic>
      <xdr:nvPicPr>
        <xdr:cNvPr id="167" name="Image_380" descr="Image_380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380</xdr:row>
      <xdr:rowOff>95250</xdr:rowOff>
    </xdr:from>
    <xdr:ext cx="1143000" cy="1143000"/>
    <xdr:pic>
      <xdr:nvPicPr>
        <xdr:cNvPr id="168" name="Image_381" descr="Image_381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381</xdr:row>
      <xdr:rowOff>95250</xdr:rowOff>
    </xdr:from>
    <xdr:ext cx="1143000" cy="1143000"/>
    <xdr:pic>
      <xdr:nvPicPr>
        <xdr:cNvPr id="169" name="Image_382" descr="Image_382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382</xdr:row>
      <xdr:rowOff>95250</xdr:rowOff>
    </xdr:from>
    <xdr:ext cx="1143000" cy="1143000"/>
    <xdr:pic>
      <xdr:nvPicPr>
        <xdr:cNvPr id="170" name="Image_383" descr="Image_383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383</xdr:row>
      <xdr:rowOff>95250</xdr:rowOff>
    </xdr:from>
    <xdr:ext cx="1143000" cy="1143000"/>
    <xdr:pic>
      <xdr:nvPicPr>
        <xdr:cNvPr id="171" name="Image_384" descr="Image_384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384</xdr:row>
      <xdr:rowOff>95250</xdr:rowOff>
    </xdr:from>
    <xdr:ext cx="1143000" cy="1143000"/>
    <xdr:pic>
      <xdr:nvPicPr>
        <xdr:cNvPr id="172" name="Image_385" descr="Image_385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385</xdr:row>
      <xdr:rowOff>95250</xdr:rowOff>
    </xdr:from>
    <xdr:ext cx="1143000" cy="1143000"/>
    <xdr:pic>
      <xdr:nvPicPr>
        <xdr:cNvPr id="173" name="Image_386" descr="Image_386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386</xdr:row>
      <xdr:rowOff>95250</xdr:rowOff>
    </xdr:from>
    <xdr:ext cx="1143000" cy="1143000"/>
    <xdr:pic>
      <xdr:nvPicPr>
        <xdr:cNvPr id="174" name="Image_387" descr="Image_387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387</xdr:row>
      <xdr:rowOff>95250</xdr:rowOff>
    </xdr:from>
    <xdr:ext cx="1143000" cy="1143000"/>
    <xdr:pic>
      <xdr:nvPicPr>
        <xdr:cNvPr id="175" name="Image_388" descr="Image_388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388</xdr:row>
      <xdr:rowOff>95250</xdr:rowOff>
    </xdr:from>
    <xdr:ext cx="1143000" cy="1143000"/>
    <xdr:pic>
      <xdr:nvPicPr>
        <xdr:cNvPr id="176" name="Image_389" descr="Image_389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389</xdr:row>
      <xdr:rowOff>95250</xdr:rowOff>
    </xdr:from>
    <xdr:ext cx="1143000" cy="1143000"/>
    <xdr:pic>
      <xdr:nvPicPr>
        <xdr:cNvPr id="177" name="Image_390" descr="Image_390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390</xdr:row>
      <xdr:rowOff>95250</xdr:rowOff>
    </xdr:from>
    <xdr:ext cx="1143000" cy="1143000"/>
    <xdr:pic>
      <xdr:nvPicPr>
        <xdr:cNvPr id="178" name="Image_391" descr="Image_391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391</xdr:row>
      <xdr:rowOff>95250</xdr:rowOff>
    </xdr:from>
    <xdr:ext cx="1143000" cy="1143000"/>
    <xdr:pic>
      <xdr:nvPicPr>
        <xdr:cNvPr id="179" name="Image_392" descr="Image_392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392</xdr:row>
      <xdr:rowOff>95250</xdr:rowOff>
    </xdr:from>
    <xdr:ext cx="1143000" cy="1143000"/>
    <xdr:pic>
      <xdr:nvPicPr>
        <xdr:cNvPr id="180" name="Image_393" descr="Image_393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393</xdr:row>
      <xdr:rowOff>95250</xdr:rowOff>
    </xdr:from>
    <xdr:ext cx="1143000" cy="1143000"/>
    <xdr:pic>
      <xdr:nvPicPr>
        <xdr:cNvPr id="181" name="Image_394" descr="Image_394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394</xdr:row>
      <xdr:rowOff>95250</xdr:rowOff>
    </xdr:from>
    <xdr:ext cx="1143000" cy="1143000"/>
    <xdr:pic>
      <xdr:nvPicPr>
        <xdr:cNvPr id="182" name="Image_395" descr="Image_395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395</xdr:row>
      <xdr:rowOff>95250</xdr:rowOff>
    </xdr:from>
    <xdr:ext cx="1143000" cy="1143000"/>
    <xdr:pic>
      <xdr:nvPicPr>
        <xdr:cNvPr id="183" name="Image_396" descr="Image_396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396</xdr:row>
      <xdr:rowOff>95250</xdr:rowOff>
    </xdr:from>
    <xdr:ext cx="1143000" cy="1143000"/>
    <xdr:pic>
      <xdr:nvPicPr>
        <xdr:cNvPr id="184" name="Image_397" descr="Image_397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397</xdr:row>
      <xdr:rowOff>95250</xdr:rowOff>
    </xdr:from>
    <xdr:ext cx="1143000" cy="1143000"/>
    <xdr:pic>
      <xdr:nvPicPr>
        <xdr:cNvPr id="185" name="Image_398" descr="Image_398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398</xdr:row>
      <xdr:rowOff>95250</xdr:rowOff>
    </xdr:from>
    <xdr:ext cx="1143000" cy="1143000"/>
    <xdr:pic>
      <xdr:nvPicPr>
        <xdr:cNvPr id="186" name="Image_399" descr="Image_399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399</xdr:row>
      <xdr:rowOff>95250</xdr:rowOff>
    </xdr:from>
    <xdr:ext cx="1143000" cy="1143000"/>
    <xdr:pic>
      <xdr:nvPicPr>
        <xdr:cNvPr id="187" name="Image_400" descr="Image_400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400</xdr:row>
      <xdr:rowOff>95250</xdr:rowOff>
    </xdr:from>
    <xdr:ext cx="1143000" cy="1143000"/>
    <xdr:pic>
      <xdr:nvPicPr>
        <xdr:cNvPr id="188" name="Image_401" descr="Image_401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401</xdr:row>
      <xdr:rowOff>95250</xdr:rowOff>
    </xdr:from>
    <xdr:ext cx="1143000" cy="1143000"/>
    <xdr:pic>
      <xdr:nvPicPr>
        <xdr:cNvPr id="189" name="Image_402" descr="Image_402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402</xdr:row>
      <xdr:rowOff>95250</xdr:rowOff>
    </xdr:from>
    <xdr:ext cx="1143000" cy="1143000"/>
    <xdr:pic>
      <xdr:nvPicPr>
        <xdr:cNvPr id="190" name="Image_403" descr="Image_403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403</xdr:row>
      <xdr:rowOff>95250</xdr:rowOff>
    </xdr:from>
    <xdr:ext cx="1143000" cy="1143000"/>
    <xdr:pic>
      <xdr:nvPicPr>
        <xdr:cNvPr id="191" name="Image_404" descr="Image_404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409</xdr:row>
      <xdr:rowOff>95250</xdr:rowOff>
    </xdr:from>
    <xdr:ext cx="1143000" cy="1143000"/>
    <xdr:pic>
      <xdr:nvPicPr>
        <xdr:cNvPr id="192" name="Image_410" descr="Image_410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411</xdr:row>
      <xdr:rowOff>95250</xdr:rowOff>
    </xdr:from>
    <xdr:ext cx="1143000" cy="1143000"/>
    <xdr:pic>
      <xdr:nvPicPr>
        <xdr:cNvPr id="193" name="Image_412" descr="Image_412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412</xdr:row>
      <xdr:rowOff>95250</xdr:rowOff>
    </xdr:from>
    <xdr:ext cx="1143000" cy="1143000"/>
    <xdr:pic>
      <xdr:nvPicPr>
        <xdr:cNvPr id="194" name="Image_413" descr="Image_413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413</xdr:row>
      <xdr:rowOff>95250</xdr:rowOff>
    </xdr:from>
    <xdr:ext cx="1143000" cy="1143000"/>
    <xdr:pic>
      <xdr:nvPicPr>
        <xdr:cNvPr id="195" name="Image_414" descr="Image_414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414</xdr:row>
      <xdr:rowOff>95250</xdr:rowOff>
    </xdr:from>
    <xdr:ext cx="1143000" cy="1143000"/>
    <xdr:pic>
      <xdr:nvPicPr>
        <xdr:cNvPr id="196" name="Image_415" descr="Image_415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415</xdr:row>
      <xdr:rowOff>95250</xdr:rowOff>
    </xdr:from>
    <xdr:ext cx="1143000" cy="1143000"/>
    <xdr:pic>
      <xdr:nvPicPr>
        <xdr:cNvPr id="197" name="Image_416" descr="Image_416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416</xdr:row>
      <xdr:rowOff>95250</xdr:rowOff>
    </xdr:from>
    <xdr:ext cx="1143000" cy="1143000"/>
    <xdr:pic>
      <xdr:nvPicPr>
        <xdr:cNvPr id="198" name="Image_417" descr="Image_417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417</xdr:row>
      <xdr:rowOff>95250</xdr:rowOff>
    </xdr:from>
    <xdr:ext cx="1143000" cy="1143000"/>
    <xdr:pic>
      <xdr:nvPicPr>
        <xdr:cNvPr id="199" name="Image_418" descr="Image_418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533</xdr:row>
      <xdr:rowOff>95250</xdr:rowOff>
    </xdr:from>
    <xdr:ext cx="1143000" cy="1143000"/>
    <xdr:pic>
      <xdr:nvPicPr>
        <xdr:cNvPr id="200" name="Image_534" descr="Image_534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534</xdr:row>
      <xdr:rowOff>95250</xdr:rowOff>
    </xdr:from>
    <xdr:ext cx="1143000" cy="1143000"/>
    <xdr:pic>
      <xdr:nvPicPr>
        <xdr:cNvPr id="201" name="Image_535" descr="Image_535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535</xdr:row>
      <xdr:rowOff>95250</xdr:rowOff>
    </xdr:from>
    <xdr:ext cx="1143000" cy="1143000"/>
    <xdr:pic>
      <xdr:nvPicPr>
        <xdr:cNvPr id="202" name="Image_536" descr="Image_536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536</xdr:row>
      <xdr:rowOff>95250</xdr:rowOff>
    </xdr:from>
    <xdr:ext cx="1143000" cy="1143000"/>
    <xdr:pic>
      <xdr:nvPicPr>
        <xdr:cNvPr id="203" name="Image_537" descr="Image_537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537</xdr:row>
      <xdr:rowOff>95250</xdr:rowOff>
    </xdr:from>
    <xdr:ext cx="1143000" cy="1143000"/>
    <xdr:pic>
      <xdr:nvPicPr>
        <xdr:cNvPr id="204" name="Image_538" descr="Image_538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538</xdr:row>
      <xdr:rowOff>95250</xdr:rowOff>
    </xdr:from>
    <xdr:ext cx="1143000" cy="1143000"/>
    <xdr:pic>
      <xdr:nvPicPr>
        <xdr:cNvPr id="205" name="Image_539" descr="Image_539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539</xdr:row>
      <xdr:rowOff>95250</xdr:rowOff>
    </xdr:from>
    <xdr:ext cx="1143000" cy="1143000"/>
    <xdr:pic>
      <xdr:nvPicPr>
        <xdr:cNvPr id="206" name="Image_540" descr="Image_540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95250</xdr:rowOff>
    </xdr:from>
    <xdr:ext cx="1143000" cy="1143000"/>
    <xdr:pic>
      <xdr:nvPicPr>
        <xdr:cNvPr id="207" name="Image_544" descr="Image_544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544</xdr:row>
      <xdr:rowOff>95250</xdr:rowOff>
    </xdr:from>
    <xdr:ext cx="1143000" cy="1143000"/>
    <xdr:pic>
      <xdr:nvPicPr>
        <xdr:cNvPr id="208" name="Image_545" descr="Image_545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545</xdr:row>
      <xdr:rowOff>95250</xdr:rowOff>
    </xdr:from>
    <xdr:ext cx="1143000" cy="1143000"/>
    <xdr:pic>
      <xdr:nvPicPr>
        <xdr:cNvPr id="209" name="Image_546" descr="Image_546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546</xdr:row>
      <xdr:rowOff>95250</xdr:rowOff>
    </xdr:from>
    <xdr:ext cx="1143000" cy="1143000"/>
    <xdr:pic>
      <xdr:nvPicPr>
        <xdr:cNvPr id="210" name="Image_547" descr="Image_547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547</xdr:row>
      <xdr:rowOff>95250</xdr:rowOff>
    </xdr:from>
    <xdr:ext cx="1143000" cy="1143000"/>
    <xdr:pic>
      <xdr:nvPicPr>
        <xdr:cNvPr id="211" name="Image_548" descr="Image_548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548</xdr:row>
      <xdr:rowOff>95250</xdr:rowOff>
    </xdr:from>
    <xdr:ext cx="1143000" cy="1143000"/>
    <xdr:pic>
      <xdr:nvPicPr>
        <xdr:cNvPr id="212" name="Image_549" descr="Image_549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549</xdr:row>
      <xdr:rowOff>95250</xdr:rowOff>
    </xdr:from>
    <xdr:ext cx="1143000" cy="1143000"/>
    <xdr:pic>
      <xdr:nvPicPr>
        <xdr:cNvPr id="213" name="Image_550" descr="Image_550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550</xdr:row>
      <xdr:rowOff>95250</xdr:rowOff>
    </xdr:from>
    <xdr:ext cx="1143000" cy="1143000"/>
    <xdr:pic>
      <xdr:nvPicPr>
        <xdr:cNvPr id="214" name="Image_551" descr="Image_551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551</xdr:row>
      <xdr:rowOff>95250</xdr:rowOff>
    </xdr:from>
    <xdr:ext cx="1143000" cy="1143000"/>
    <xdr:pic>
      <xdr:nvPicPr>
        <xdr:cNvPr id="215" name="Image_552" descr="Image_552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552</xdr:row>
      <xdr:rowOff>95250</xdr:rowOff>
    </xdr:from>
    <xdr:ext cx="1143000" cy="1143000"/>
    <xdr:pic>
      <xdr:nvPicPr>
        <xdr:cNvPr id="216" name="Image_553" descr="Image_553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554</xdr:row>
      <xdr:rowOff>95250</xdr:rowOff>
    </xdr:from>
    <xdr:ext cx="1143000" cy="1143000"/>
    <xdr:pic>
      <xdr:nvPicPr>
        <xdr:cNvPr id="217" name="Image_555" descr="Image_555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555</xdr:row>
      <xdr:rowOff>95250</xdr:rowOff>
    </xdr:from>
    <xdr:ext cx="1143000" cy="1143000"/>
    <xdr:pic>
      <xdr:nvPicPr>
        <xdr:cNvPr id="218" name="Image_556" descr="Image_556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556</xdr:row>
      <xdr:rowOff>95250</xdr:rowOff>
    </xdr:from>
    <xdr:ext cx="1143000" cy="1143000"/>
    <xdr:pic>
      <xdr:nvPicPr>
        <xdr:cNvPr id="219" name="Image_557" descr="Image_557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557</xdr:row>
      <xdr:rowOff>95250</xdr:rowOff>
    </xdr:from>
    <xdr:ext cx="1143000" cy="1143000"/>
    <xdr:pic>
      <xdr:nvPicPr>
        <xdr:cNvPr id="220" name="Image_558" descr="Image_558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558</xdr:row>
      <xdr:rowOff>95250</xdr:rowOff>
    </xdr:from>
    <xdr:ext cx="1143000" cy="1143000"/>
    <xdr:pic>
      <xdr:nvPicPr>
        <xdr:cNvPr id="221" name="Image_559" descr="Image_559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559</xdr:row>
      <xdr:rowOff>95250</xdr:rowOff>
    </xdr:from>
    <xdr:ext cx="1143000" cy="1143000"/>
    <xdr:pic>
      <xdr:nvPicPr>
        <xdr:cNvPr id="222" name="Image_560" descr="Image_560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560</xdr:row>
      <xdr:rowOff>95250</xdr:rowOff>
    </xdr:from>
    <xdr:ext cx="1143000" cy="1143000"/>
    <xdr:pic>
      <xdr:nvPicPr>
        <xdr:cNvPr id="223" name="Image_561" descr="Image_561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561</xdr:row>
      <xdr:rowOff>95250</xdr:rowOff>
    </xdr:from>
    <xdr:ext cx="1143000" cy="1143000"/>
    <xdr:pic>
      <xdr:nvPicPr>
        <xdr:cNvPr id="224" name="Image_562" descr="Image_562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562</xdr:row>
      <xdr:rowOff>95250</xdr:rowOff>
    </xdr:from>
    <xdr:ext cx="1143000" cy="1143000"/>
    <xdr:pic>
      <xdr:nvPicPr>
        <xdr:cNvPr id="225" name="Image_563" descr="Image_563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563</xdr:row>
      <xdr:rowOff>95250</xdr:rowOff>
    </xdr:from>
    <xdr:ext cx="1143000" cy="1143000"/>
    <xdr:pic>
      <xdr:nvPicPr>
        <xdr:cNvPr id="226" name="Image_564" descr="Image_564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564</xdr:row>
      <xdr:rowOff>95250</xdr:rowOff>
    </xdr:from>
    <xdr:ext cx="1143000" cy="1143000"/>
    <xdr:pic>
      <xdr:nvPicPr>
        <xdr:cNvPr id="227" name="Image_565" descr="Image_565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565</xdr:row>
      <xdr:rowOff>95250</xdr:rowOff>
    </xdr:from>
    <xdr:ext cx="1143000" cy="1143000"/>
    <xdr:pic>
      <xdr:nvPicPr>
        <xdr:cNvPr id="228" name="Image_566" descr="Image_566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566</xdr:row>
      <xdr:rowOff>95250</xdr:rowOff>
    </xdr:from>
    <xdr:ext cx="1143000" cy="1143000"/>
    <xdr:pic>
      <xdr:nvPicPr>
        <xdr:cNvPr id="229" name="Image_567" descr="Image_567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567</xdr:row>
      <xdr:rowOff>95250</xdr:rowOff>
    </xdr:from>
    <xdr:ext cx="1143000" cy="1143000"/>
    <xdr:pic>
      <xdr:nvPicPr>
        <xdr:cNvPr id="230" name="Image_568" descr="Image_568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568</xdr:row>
      <xdr:rowOff>95250</xdr:rowOff>
    </xdr:from>
    <xdr:ext cx="1143000" cy="1143000"/>
    <xdr:pic>
      <xdr:nvPicPr>
        <xdr:cNvPr id="231" name="Image_569" descr="Image_569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569</xdr:row>
      <xdr:rowOff>95250</xdr:rowOff>
    </xdr:from>
    <xdr:ext cx="1143000" cy="1143000"/>
    <xdr:pic>
      <xdr:nvPicPr>
        <xdr:cNvPr id="232" name="Image_570" descr="Image_570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570</xdr:row>
      <xdr:rowOff>95250</xdr:rowOff>
    </xdr:from>
    <xdr:ext cx="1143000" cy="1143000"/>
    <xdr:pic>
      <xdr:nvPicPr>
        <xdr:cNvPr id="233" name="Image_571" descr="Image_571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571</xdr:row>
      <xdr:rowOff>95250</xdr:rowOff>
    </xdr:from>
    <xdr:ext cx="1143000" cy="1143000"/>
    <xdr:pic>
      <xdr:nvPicPr>
        <xdr:cNvPr id="234" name="Image_572" descr="Image_572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572</xdr:row>
      <xdr:rowOff>95250</xdr:rowOff>
    </xdr:from>
    <xdr:ext cx="1143000" cy="1143000"/>
    <xdr:pic>
      <xdr:nvPicPr>
        <xdr:cNvPr id="235" name="Image_573" descr="Image_573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573</xdr:row>
      <xdr:rowOff>95250</xdr:rowOff>
    </xdr:from>
    <xdr:ext cx="1143000" cy="1143000"/>
    <xdr:pic>
      <xdr:nvPicPr>
        <xdr:cNvPr id="236" name="Image_574" descr="Image_574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574</xdr:row>
      <xdr:rowOff>95250</xdr:rowOff>
    </xdr:from>
    <xdr:ext cx="1143000" cy="1143000"/>
    <xdr:pic>
      <xdr:nvPicPr>
        <xdr:cNvPr id="237" name="Image_575" descr="Image_575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577</xdr:row>
      <xdr:rowOff>95250</xdr:rowOff>
    </xdr:from>
    <xdr:ext cx="1143000" cy="1143000"/>
    <xdr:pic>
      <xdr:nvPicPr>
        <xdr:cNvPr id="238" name="Image_578" descr="Image_578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578</xdr:row>
      <xdr:rowOff>95250</xdr:rowOff>
    </xdr:from>
    <xdr:ext cx="1143000" cy="1143000"/>
    <xdr:pic>
      <xdr:nvPicPr>
        <xdr:cNvPr id="239" name="Image_579" descr="Image_579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579</xdr:row>
      <xdr:rowOff>95250</xdr:rowOff>
    </xdr:from>
    <xdr:ext cx="1143000" cy="1143000"/>
    <xdr:pic>
      <xdr:nvPicPr>
        <xdr:cNvPr id="240" name="Image_580" descr="Image_580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580</xdr:row>
      <xdr:rowOff>95250</xdr:rowOff>
    </xdr:from>
    <xdr:ext cx="1143000" cy="1143000"/>
    <xdr:pic>
      <xdr:nvPicPr>
        <xdr:cNvPr id="241" name="Image_581" descr="Image_581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581</xdr:row>
      <xdr:rowOff>95250</xdr:rowOff>
    </xdr:from>
    <xdr:ext cx="1143000" cy="1143000"/>
    <xdr:pic>
      <xdr:nvPicPr>
        <xdr:cNvPr id="242" name="Image_582" descr="Image_582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582</xdr:row>
      <xdr:rowOff>95250</xdr:rowOff>
    </xdr:from>
    <xdr:ext cx="1143000" cy="1143000"/>
    <xdr:pic>
      <xdr:nvPicPr>
        <xdr:cNvPr id="243" name="Image_583" descr="Image_583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583</xdr:row>
      <xdr:rowOff>95250</xdr:rowOff>
    </xdr:from>
    <xdr:ext cx="1143000" cy="1143000"/>
    <xdr:pic>
      <xdr:nvPicPr>
        <xdr:cNvPr id="244" name="Image_584" descr="Image_584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584</xdr:row>
      <xdr:rowOff>95250</xdr:rowOff>
    </xdr:from>
    <xdr:ext cx="1143000" cy="1143000"/>
    <xdr:pic>
      <xdr:nvPicPr>
        <xdr:cNvPr id="245" name="Image_585" descr="Image_585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585</xdr:row>
      <xdr:rowOff>95250</xdr:rowOff>
    </xdr:from>
    <xdr:ext cx="1143000" cy="1143000"/>
    <xdr:pic>
      <xdr:nvPicPr>
        <xdr:cNvPr id="246" name="Image_586" descr="Image_586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586</xdr:row>
      <xdr:rowOff>95250</xdr:rowOff>
    </xdr:from>
    <xdr:ext cx="1143000" cy="1143000"/>
    <xdr:pic>
      <xdr:nvPicPr>
        <xdr:cNvPr id="247" name="Image_587" descr="Image_587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587</xdr:row>
      <xdr:rowOff>95250</xdr:rowOff>
    </xdr:from>
    <xdr:ext cx="1143000" cy="1143000"/>
    <xdr:pic>
      <xdr:nvPicPr>
        <xdr:cNvPr id="248" name="Image_588" descr="Image_588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588</xdr:row>
      <xdr:rowOff>95250</xdr:rowOff>
    </xdr:from>
    <xdr:ext cx="1143000" cy="1143000"/>
    <xdr:pic>
      <xdr:nvPicPr>
        <xdr:cNvPr id="249" name="Image_589" descr="Image_589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589</xdr:row>
      <xdr:rowOff>95250</xdr:rowOff>
    </xdr:from>
    <xdr:ext cx="1143000" cy="1143000"/>
    <xdr:pic>
      <xdr:nvPicPr>
        <xdr:cNvPr id="250" name="Image_590" descr="Image_590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590</xdr:row>
      <xdr:rowOff>95250</xdr:rowOff>
    </xdr:from>
    <xdr:ext cx="1143000" cy="1143000"/>
    <xdr:pic>
      <xdr:nvPicPr>
        <xdr:cNvPr id="251" name="Image_591" descr="Image_591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591</xdr:row>
      <xdr:rowOff>95250</xdr:rowOff>
    </xdr:from>
    <xdr:ext cx="1143000" cy="1143000"/>
    <xdr:pic>
      <xdr:nvPicPr>
        <xdr:cNvPr id="252" name="Image_592" descr="Image_592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592</xdr:row>
      <xdr:rowOff>95250</xdr:rowOff>
    </xdr:from>
    <xdr:ext cx="1143000" cy="1143000"/>
    <xdr:pic>
      <xdr:nvPicPr>
        <xdr:cNvPr id="253" name="Image_593" descr="Image_593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593</xdr:row>
      <xdr:rowOff>95250</xdr:rowOff>
    </xdr:from>
    <xdr:ext cx="1143000" cy="1143000"/>
    <xdr:pic>
      <xdr:nvPicPr>
        <xdr:cNvPr id="254" name="Image_594" descr="Image_594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594</xdr:row>
      <xdr:rowOff>95250</xdr:rowOff>
    </xdr:from>
    <xdr:ext cx="1143000" cy="1143000"/>
    <xdr:pic>
      <xdr:nvPicPr>
        <xdr:cNvPr id="255" name="Image_595" descr="Image_595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595</xdr:row>
      <xdr:rowOff>95250</xdr:rowOff>
    </xdr:from>
    <xdr:ext cx="1143000" cy="1143000"/>
    <xdr:pic>
      <xdr:nvPicPr>
        <xdr:cNvPr id="256" name="Image_596" descr="Image_596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596</xdr:row>
      <xdr:rowOff>95250</xdr:rowOff>
    </xdr:from>
    <xdr:ext cx="1143000" cy="1143000"/>
    <xdr:pic>
      <xdr:nvPicPr>
        <xdr:cNvPr id="257" name="Image_597" descr="Image_597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597</xdr:row>
      <xdr:rowOff>95250</xdr:rowOff>
    </xdr:from>
    <xdr:ext cx="1143000" cy="1143000"/>
    <xdr:pic>
      <xdr:nvPicPr>
        <xdr:cNvPr id="258" name="Image_598" descr="Image_598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598</xdr:row>
      <xdr:rowOff>95250</xdr:rowOff>
    </xdr:from>
    <xdr:ext cx="1143000" cy="1143000"/>
    <xdr:pic>
      <xdr:nvPicPr>
        <xdr:cNvPr id="259" name="Image_599" descr="Image_599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599</xdr:row>
      <xdr:rowOff>95250</xdr:rowOff>
    </xdr:from>
    <xdr:ext cx="1143000" cy="1143000"/>
    <xdr:pic>
      <xdr:nvPicPr>
        <xdr:cNvPr id="260" name="Image_600" descr="Image_600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600</xdr:row>
      <xdr:rowOff>95250</xdr:rowOff>
    </xdr:from>
    <xdr:ext cx="1143000" cy="1143000"/>
    <xdr:pic>
      <xdr:nvPicPr>
        <xdr:cNvPr id="261" name="Image_601" descr="Image_601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601</xdr:row>
      <xdr:rowOff>95250</xdr:rowOff>
    </xdr:from>
    <xdr:ext cx="1143000" cy="1143000"/>
    <xdr:pic>
      <xdr:nvPicPr>
        <xdr:cNvPr id="262" name="Image_602" descr="Image_602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602</xdr:row>
      <xdr:rowOff>95250</xdr:rowOff>
    </xdr:from>
    <xdr:ext cx="1143000" cy="1143000"/>
    <xdr:pic>
      <xdr:nvPicPr>
        <xdr:cNvPr id="263" name="Image_603" descr="Image_603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604</xdr:row>
      <xdr:rowOff>95250</xdr:rowOff>
    </xdr:from>
    <xdr:ext cx="1143000" cy="1143000"/>
    <xdr:pic>
      <xdr:nvPicPr>
        <xdr:cNvPr id="264" name="Image_605" descr="Image_605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605</xdr:row>
      <xdr:rowOff>95250</xdr:rowOff>
    </xdr:from>
    <xdr:ext cx="1143000" cy="1143000"/>
    <xdr:pic>
      <xdr:nvPicPr>
        <xdr:cNvPr id="265" name="Image_606" descr="Image_606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606</xdr:row>
      <xdr:rowOff>95250</xdr:rowOff>
    </xdr:from>
    <xdr:ext cx="1143000" cy="1143000"/>
    <xdr:pic>
      <xdr:nvPicPr>
        <xdr:cNvPr id="266" name="Image_607" descr="Image_607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607</xdr:row>
      <xdr:rowOff>95250</xdr:rowOff>
    </xdr:from>
    <xdr:ext cx="1143000" cy="1143000"/>
    <xdr:pic>
      <xdr:nvPicPr>
        <xdr:cNvPr id="267" name="Image_608" descr="Image_608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608</xdr:row>
      <xdr:rowOff>95250</xdr:rowOff>
    </xdr:from>
    <xdr:ext cx="1143000" cy="1143000"/>
    <xdr:pic>
      <xdr:nvPicPr>
        <xdr:cNvPr id="268" name="Image_609" descr="Image_609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609</xdr:row>
      <xdr:rowOff>95250</xdr:rowOff>
    </xdr:from>
    <xdr:ext cx="1143000" cy="1143000"/>
    <xdr:pic>
      <xdr:nvPicPr>
        <xdr:cNvPr id="269" name="Image_610" descr="Image_610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610</xdr:row>
      <xdr:rowOff>95250</xdr:rowOff>
    </xdr:from>
    <xdr:ext cx="1143000" cy="1143000"/>
    <xdr:pic>
      <xdr:nvPicPr>
        <xdr:cNvPr id="270" name="Image_611" descr="Image_611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611</xdr:row>
      <xdr:rowOff>95250</xdr:rowOff>
    </xdr:from>
    <xdr:ext cx="1143000" cy="1143000"/>
    <xdr:pic>
      <xdr:nvPicPr>
        <xdr:cNvPr id="271" name="Image_612" descr="Image_612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614</xdr:row>
      <xdr:rowOff>95250</xdr:rowOff>
    </xdr:from>
    <xdr:ext cx="1143000" cy="1143000"/>
    <xdr:pic>
      <xdr:nvPicPr>
        <xdr:cNvPr id="272" name="Image_615" descr="Image_615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615</xdr:row>
      <xdr:rowOff>95250</xdr:rowOff>
    </xdr:from>
    <xdr:ext cx="1143000" cy="1143000"/>
    <xdr:pic>
      <xdr:nvPicPr>
        <xdr:cNvPr id="273" name="Image_616" descr="Image_616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616</xdr:row>
      <xdr:rowOff>95250</xdr:rowOff>
    </xdr:from>
    <xdr:ext cx="1143000" cy="1143000"/>
    <xdr:pic>
      <xdr:nvPicPr>
        <xdr:cNvPr id="274" name="Image_617" descr="Image_617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617</xdr:row>
      <xdr:rowOff>95250</xdr:rowOff>
    </xdr:from>
    <xdr:ext cx="1143000" cy="1143000"/>
    <xdr:pic>
      <xdr:nvPicPr>
        <xdr:cNvPr id="275" name="Image_618" descr="Image_618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618</xdr:row>
      <xdr:rowOff>95250</xdr:rowOff>
    </xdr:from>
    <xdr:ext cx="1143000" cy="1143000"/>
    <xdr:pic>
      <xdr:nvPicPr>
        <xdr:cNvPr id="276" name="Image_619" descr="Image_619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620</xdr:row>
      <xdr:rowOff>95250</xdr:rowOff>
    </xdr:from>
    <xdr:ext cx="1143000" cy="1143000"/>
    <xdr:pic>
      <xdr:nvPicPr>
        <xdr:cNvPr id="277" name="Image_621" descr="Image_621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621</xdr:row>
      <xdr:rowOff>95250</xdr:rowOff>
    </xdr:from>
    <xdr:ext cx="1143000" cy="1143000"/>
    <xdr:pic>
      <xdr:nvPicPr>
        <xdr:cNvPr id="278" name="Image_622" descr="Image_622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622</xdr:row>
      <xdr:rowOff>95250</xdr:rowOff>
    </xdr:from>
    <xdr:ext cx="1143000" cy="1143000"/>
    <xdr:pic>
      <xdr:nvPicPr>
        <xdr:cNvPr id="279" name="Image_623" descr="Image_623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623</xdr:row>
      <xdr:rowOff>95250</xdr:rowOff>
    </xdr:from>
    <xdr:ext cx="1143000" cy="1143000"/>
    <xdr:pic>
      <xdr:nvPicPr>
        <xdr:cNvPr id="280" name="Image_624" descr="Image_624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805</xdr:row>
      <xdr:rowOff>95250</xdr:rowOff>
    </xdr:from>
    <xdr:ext cx="1143000" cy="1143000"/>
    <xdr:pic>
      <xdr:nvPicPr>
        <xdr:cNvPr id="281" name="Image_806" descr="Image_806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806</xdr:row>
      <xdr:rowOff>95250</xdr:rowOff>
    </xdr:from>
    <xdr:ext cx="1143000" cy="1143000"/>
    <xdr:pic>
      <xdr:nvPicPr>
        <xdr:cNvPr id="282" name="Image_807" descr="Image_807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807</xdr:row>
      <xdr:rowOff>95250</xdr:rowOff>
    </xdr:from>
    <xdr:ext cx="1143000" cy="1143000"/>
    <xdr:pic>
      <xdr:nvPicPr>
        <xdr:cNvPr id="283" name="Image_808" descr="Image_808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808</xdr:row>
      <xdr:rowOff>95250</xdr:rowOff>
    </xdr:from>
    <xdr:ext cx="1143000" cy="1143000"/>
    <xdr:pic>
      <xdr:nvPicPr>
        <xdr:cNvPr id="284" name="Image_809" descr="Image_809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809</xdr:row>
      <xdr:rowOff>95250</xdr:rowOff>
    </xdr:from>
    <xdr:ext cx="1143000" cy="1143000"/>
    <xdr:pic>
      <xdr:nvPicPr>
        <xdr:cNvPr id="285" name="Image_810" descr="Image_810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810</xdr:row>
      <xdr:rowOff>95250</xdr:rowOff>
    </xdr:from>
    <xdr:ext cx="1143000" cy="1143000"/>
    <xdr:pic>
      <xdr:nvPicPr>
        <xdr:cNvPr id="286" name="Image_811" descr="Image_811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811</xdr:row>
      <xdr:rowOff>95250</xdr:rowOff>
    </xdr:from>
    <xdr:ext cx="1143000" cy="1143000"/>
    <xdr:pic>
      <xdr:nvPicPr>
        <xdr:cNvPr id="287" name="Image_812" descr="Image_812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812</xdr:row>
      <xdr:rowOff>95250</xdr:rowOff>
    </xdr:from>
    <xdr:ext cx="1143000" cy="1143000"/>
    <xdr:pic>
      <xdr:nvPicPr>
        <xdr:cNvPr id="288" name="Image_813" descr="Image_813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813</xdr:row>
      <xdr:rowOff>95250</xdr:rowOff>
    </xdr:from>
    <xdr:ext cx="1143000" cy="1143000"/>
    <xdr:pic>
      <xdr:nvPicPr>
        <xdr:cNvPr id="289" name="Image_814" descr="Image_814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814</xdr:row>
      <xdr:rowOff>95250</xdr:rowOff>
    </xdr:from>
    <xdr:ext cx="1143000" cy="1143000"/>
    <xdr:pic>
      <xdr:nvPicPr>
        <xdr:cNvPr id="290" name="Image_815" descr="Image_815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815</xdr:row>
      <xdr:rowOff>95250</xdr:rowOff>
    </xdr:from>
    <xdr:ext cx="1143000" cy="1143000"/>
    <xdr:pic>
      <xdr:nvPicPr>
        <xdr:cNvPr id="291" name="Image_816" descr="Image_816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816</xdr:row>
      <xdr:rowOff>95250</xdr:rowOff>
    </xdr:from>
    <xdr:ext cx="1143000" cy="1143000"/>
    <xdr:pic>
      <xdr:nvPicPr>
        <xdr:cNvPr id="292" name="Image_817" descr="Image_817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817</xdr:row>
      <xdr:rowOff>95250</xdr:rowOff>
    </xdr:from>
    <xdr:ext cx="1143000" cy="1143000"/>
    <xdr:pic>
      <xdr:nvPicPr>
        <xdr:cNvPr id="293" name="Image_818" descr="Image_818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818</xdr:row>
      <xdr:rowOff>95250</xdr:rowOff>
    </xdr:from>
    <xdr:ext cx="1143000" cy="1143000"/>
    <xdr:pic>
      <xdr:nvPicPr>
        <xdr:cNvPr id="294" name="Image_819" descr="Image_819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819</xdr:row>
      <xdr:rowOff>95250</xdr:rowOff>
    </xdr:from>
    <xdr:ext cx="1143000" cy="1143000"/>
    <xdr:pic>
      <xdr:nvPicPr>
        <xdr:cNvPr id="295" name="Image_820" descr="Image_820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820</xdr:row>
      <xdr:rowOff>95250</xdr:rowOff>
    </xdr:from>
    <xdr:ext cx="1143000" cy="1143000"/>
    <xdr:pic>
      <xdr:nvPicPr>
        <xdr:cNvPr id="296" name="Image_821" descr="Image_821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828</xdr:row>
      <xdr:rowOff>95250</xdr:rowOff>
    </xdr:from>
    <xdr:ext cx="1143000" cy="1143000"/>
    <xdr:pic>
      <xdr:nvPicPr>
        <xdr:cNvPr id="297" name="Image_829" descr="Image_829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829</xdr:row>
      <xdr:rowOff>95250</xdr:rowOff>
    </xdr:from>
    <xdr:ext cx="1143000" cy="1143000"/>
    <xdr:pic>
      <xdr:nvPicPr>
        <xdr:cNvPr id="298" name="Image_830" descr="Image_830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830</xdr:row>
      <xdr:rowOff>95250</xdr:rowOff>
    </xdr:from>
    <xdr:ext cx="1143000" cy="1143000"/>
    <xdr:pic>
      <xdr:nvPicPr>
        <xdr:cNvPr id="299" name="Image_831" descr="Image_831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831</xdr:row>
      <xdr:rowOff>95250</xdr:rowOff>
    </xdr:from>
    <xdr:ext cx="1143000" cy="1143000"/>
    <xdr:pic>
      <xdr:nvPicPr>
        <xdr:cNvPr id="300" name="Image_832" descr="Image_832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832</xdr:row>
      <xdr:rowOff>95250</xdr:rowOff>
    </xdr:from>
    <xdr:ext cx="1143000" cy="1143000"/>
    <xdr:pic>
      <xdr:nvPicPr>
        <xdr:cNvPr id="301" name="Image_833" descr="Image_833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833</xdr:row>
      <xdr:rowOff>95250</xdr:rowOff>
    </xdr:from>
    <xdr:ext cx="1143000" cy="1143000"/>
    <xdr:pic>
      <xdr:nvPicPr>
        <xdr:cNvPr id="302" name="Image_834" descr="Image_834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834</xdr:row>
      <xdr:rowOff>95250</xdr:rowOff>
    </xdr:from>
    <xdr:ext cx="1143000" cy="1143000"/>
    <xdr:pic>
      <xdr:nvPicPr>
        <xdr:cNvPr id="303" name="Image_835" descr="Image_835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835</xdr:row>
      <xdr:rowOff>95250</xdr:rowOff>
    </xdr:from>
    <xdr:ext cx="1143000" cy="1143000"/>
    <xdr:pic>
      <xdr:nvPicPr>
        <xdr:cNvPr id="304" name="Image_836" descr="Image_836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836</xdr:row>
      <xdr:rowOff>95250</xdr:rowOff>
    </xdr:from>
    <xdr:ext cx="1143000" cy="1143000"/>
    <xdr:pic>
      <xdr:nvPicPr>
        <xdr:cNvPr id="305" name="Image_837" descr="Image_837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837</xdr:row>
      <xdr:rowOff>95250</xdr:rowOff>
    </xdr:from>
    <xdr:ext cx="1143000" cy="1143000"/>
    <xdr:pic>
      <xdr:nvPicPr>
        <xdr:cNvPr id="306" name="Image_838" descr="Image_838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838</xdr:row>
      <xdr:rowOff>95250</xdr:rowOff>
    </xdr:from>
    <xdr:ext cx="1143000" cy="1143000"/>
    <xdr:pic>
      <xdr:nvPicPr>
        <xdr:cNvPr id="307" name="Image_839" descr="Image_839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839</xdr:row>
      <xdr:rowOff>95250</xdr:rowOff>
    </xdr:from>
    <xdr:ext cx="1143000" cy="1143000"/>
    <xdr:pic>
      <xdr:nvPicPr>
        <xdr:cNvPr id="308" name="Image_840" descr="Image_840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840</xdr:row>
      <xdr:rowOff>95250</xdr:rowOff>
    </xdr:from>
    <xdr:ext cx="1143000" cy="1143000"/>
    <xdr:pic>
      <xdr:nvPicPr>
        <xdr:cNvPr id="309" name="Image_841" descr="Image_841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841</xdr:row>
      <xdr:rowOff>95250</xdr:rowOff>
    </xdr:from>
    <xdr:ext cx="1143000" cy="1143000"/>
    <xdr:pic>
      <xdr:nvPicPr>
        <xdr:cNvPr id="310" name="Image_842" descr="Image_842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842</xdr:row>
      <xdr:rowOff>95250</xdr:rowOff>
    </xdr:from>
    <xdr:ext cx="1143000" cy="1143000"/>
    <xdr:pic>
      <xdr:nvPicPr>
        <xdr:cNvPr id="311" name="Image_843" descr="Image_843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843</xdr:row>
      <xdr:rowOff>95250</xdr:rowOff>
    </xdr:from>
    <xdr:ext cx="1143000" cy="1143000"/>
    <xdr:pic>
      <xdr:nvPicPr>
        <xdr:cNvPr id="312" name="Image_844" descr="Image_844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844</xdr:row>
      <xdr:rowOff>95250</xdr:rowOff>
    </xdr:from>
    <xdr:ext cx="1143000" cy="1143000"/>
    <xdr:pic>
      <xdr:nvPicPr>
        <xdr:cNvPr id="313" name="Image_845" descr="Image_845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845</xdr:row>
      <xdr:rowOff>95250</xdr:rowOff>
    </xdr:from>
    <xdr:ext cx="1143000" cy="1143000"/>
    <xdr:pic>
      <xdr:nvPicPr>
        <xdr:cNvPr id="314" name="Image_846" descr="Image_846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846</xdr:row>
      <xdr:rowOff>95250</xdr:rowOff>
    </xdr:from>
    <xdr:ext cx="1143000" cy="1143000"/>
    <xdr:pic>
      <xdr:nvPicPr>
        <xdr:cNvPr id="315" name="Image_847" descr="Image_847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850</xdr:row>
      <xdr:rowOff>95250</xdr:rowOff>
    </xdr:from>
    <xdr:ext cx="1143000" cy="1143000"/>
    <xdr:pic>
      <xdr:nvPicPr>
        <xdr:cNvPr id="316" name="Image_851" descr="Image_851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853</xdr:row>
      <xdr:rowOff>95250</xdr:rowOff>
    </xdr:from>
    <xdr:ext cx="1143000" cy="1143000"/>
    <xdr:pic>
      <xdr:nvPicPr>
        <xdr:cNvPr id="317" name="Image_854" descr="Image_854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854</xdr:row>
      <xdr:rowOff>95250</xdr:rowOff>
    </xdr:from>
    <xdr:ext cx="1143000" cy="1143000"/>
    <xdr:pic>
      <xdr:nvPicPr>
        <xdr:cNvPr id="318" name="Image_855" descr="Image_855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856</xdr:row>
      <xdr:rowOff>95250</xdr:rowOff>
    </xdr:from>
    <xdr:ext cx="1143000" cy="1143000"/>
    <xdr:pic>
      <xdr:nvPicPr>
        <xdr:cNvPr id="319" name="Image_857" descr="Image_857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857</xdr:row>
      <xdr:rowOff>95250</xdr:rowOff>
    </xdr:from>
    <xdr:ext cx="1143000" cy="1143000"/>
    <xdr:pic>
      <xdr:nvPicPr>
        <xdr:cNvPr id="320" name="Image_858" descr="Image_858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858</xdr:row>
      <xdr:rowOff>95250</xdr:rowOff>
    </xdr:from>
    <xdr:ext cx="1143000" cy="1143000"/>
    <xdr:pic>
      <xdr:nvPicPr>
        <xdr:cNvPr id="321" name="Image_859" descr="Image_859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859</xdr:row>
      <xdr:rowOff>95250</xdr:rowOff>
    </xdr:from>
    <xdr:ext cx="1143000" cy="1143000"/>
    <xdr:pic>
      <xdr:nvPicPr>
        <xdr:cNvPr id="322" name="Image_860" descr="Image_860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860</xdr:row>
      <xdr:rowOff>95250</xdr:rowOff>
    </xdr:from>
    <xdr:ext cx="1143000" cy="1143000"/>
    <xdr:pic>
      <xdr:nvPicPr>
        <xdr:cNvPr id="323" name="Image_861" descr="Image_861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1002</xdr:row>
      <xdr:rowOff>95250</xdr:rowOff>
    </xdr:from>
    <xdr:ext cx="1143000" cy="1143000"/>
    <xdr:pic>
      <xdr:nvPicPr>
        <xdr:cNvPr id="324" name="Image_1003" descr="Image_1003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1003</xdr:row>
      <xdr:rowOff>95250</xdr:rowOff>
    </xdr:from>
    <xdr:ext cx="1143000" cy="1143000"/>
    <xdr:pic>
      <xdr:nvPicPr>
        <xdr:cNvPr id="325" name="Image_1004" descr="Image_1004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1004</xdr:row>
      <xdr:rowOff>95250</xdr:rowOff>
    </xdr:from>
    <xdr:ext cx="1143000" cy="1447800"/>
    <xdr:pic>
      <xdr:nvPicPr>
        <xdr:cNvPr id="326" name="Image_1005" descr="Image_1005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1005</xdr:row>
      <xdr:rowOff>95250</xdr:rowOff>
    </xdr:from>
    <xdr:ext cx="1143000" cy="1143000"/>
    <xdr:pic>
      <xdr:nvPicPr>
        <xdr:cNvPr id="327" name="Image_1006" descr="Image_1006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1007</xdr:row>
      <xdr:rowOff>95250</xdr:rowOff>
    </xdr:from>
    <xdr:ext cx="1143000" cy="1143000"/>
    <xdr:pic>
      <xdr:nvPicPr>
        <xdr:cNvPr id="328" name="Image_1008" descr="Image_1008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1008</xdr:row>
      <xdr:rowOff>95250</xdr:rowOff>
    </xdr:from>
    <xdr:ext cx="1143000" cy="1143000"/>
    <xdr:pic>
      <xdr:nvPicPr>
        <xdr:cNvPr id="329" name="Image_1009" descr="Image_1009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1009</xdr:row>
      <xdr:rowOff>95250</xdr:rowOff>
    </xdr:from>
    <xdr:ext cx="1143000" cy="1143000"/>
    <xdr:pic>
      <xdr:nvPicPr>
        <xdr:cNvPr id="330" name="Image_1010" descr="Image_1010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1010</xdr:row>
      <xdr:rowOff>95250</xdr:rowOff>
    </xdr:from>
    <xdr:ext cx="1143000" cy="1143000"/>
    <xdr:pic>
      <xdr:nvPicPr>
        <xdr:cNvPr id="331" name="Image_1011" descr="Image_1011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1011</xdr:row>
      <xdr:rowOff>95250</xdr:rowOff>
    </xdr:from>
    <xdr:ext cx="1143000" cy="1143000"/>
    <xdr:pic>
      <xdr:nvPicPr>
        <xdr:cNvPr id="332" name="Image_1012" descr="Image_1012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1012</xdr:row>
      <xdr:rowOff>95250</xdr:rowOff>
    </xdr:from>
    <xdr:ext cx="1143000" cy="1143000"/>
    <xdr:pic>
      <xdr:nvPicPr>
        <xdr:cNvPr id="333" name="Image_1013" descr="Image_1013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1013</xdr:row>
      <xdr:rowOff>95250</xdr:rowOff>
    </xdr:from>
    <xdr:ext cx="1143000" cy="1143000"/>
    <xdr:pic>
      <xdr:nvPicPr>
        <xdr:cNvPr id="334" name="Image_1014" descr="Image_1014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1022</xdr:row>
      <xdr:rowOff>95250</xdr:rowOff>
    </xdr:from>
    <xdr:ext cx="1143000" cy="1143000"/>
    <xdr:pic>
      <xdr:nvPicPr>
        <xdr:cNvPr id="335" name="Image_1023" descr="Image_1023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1023</xdr:row>
      <xdr:rowOff>95250</xdr:rowOff>
    </xdr:from>
    <xdr:ext cx="1143000" cy="1143000"/>
    <xdr:pic>
      <xdr:nvPicPr>
        <xdr:cNvPr id="336" name="Image_1024" descr="Image_1024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1024</xdr:row>
      <xdr:rowOff>95250</xdr:rowOff>
    </xdr:from>
    <xdr:ext cx="1143000" cy="1143000"/>
    <xdr:pic>
      <xdr:nvPicPr>
        <xdr:cNvPr id="337" name="Image_1025" descr="Image_1025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1025</xdr:row>
      <xdr:rowOff>95250</xdr:rowOff>
    </xdr:from>
    <xdr:ext cx="1143000" cy="1143000"/>
    <xdr:pic>
      <xdr:nvPicPr>
        <xdr:cNvPr id="338" name="Image_1026" descr="Image_1026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1026</xdr:row>
      <xdr:rowOff>95250</xdr:rowOff>
    </xdr:from>
    <xdr:ext cx="1143000" cy="1143000"/>
    <xdr:pic>
      <xdr:nvPicPr>
        <xdr:cNvPr id="339" name="Image_1027" descr="Image_1027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1027</xdr:row>
      <xdr:rowOff>95250</xdr:rowOff>
    </xdr:from>
    <xdr:ext cx="1143000" cy="1143000"/>
    <xdr:pic>
      <xdr:nvPicPr>
        <xdr:cNvPr id="340" name="Image_1028" descr="Image_1028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1028</xdr:row>
      <xdr:rowOff>95250</xdr:rowOff>
    </xdr:from>
    <xdr:ext cx="1143000" cy="1143000"/>
    <xdr:pic>
      <xdr:nvPicPr>
        <xdr:cNvPr id="341" name="Image_1029" descr="Image_1029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1030</xdr:row>
      <xdr:rowOff>95250</xdr:rowOff>
    </xdr:from>
    <xdr:ext cx="1143000" cy="1143000"/>
    <xdr:pic>
      <xdr:nvPicPr>
        <xdr:cNvPr id="342" name="Image_1031" descr="Image_1031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1031</xdr:row>
      <xdr:rowOff>95250</xdr:rowOff>
    </xdr:from>
    <xdr:ext cx="1143000" cy="1143000"/>
    <xdr:pic>
      <xdr:nvPicPr>
        <xdr:cNvPr id="343" name="Image_1032" descr="Image_1032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1032</xdr:row>
      <xdr:rowOff>95250</xdr:rowOff>
    </xdr:from>
    <xdr:ext cx="1143000" cy="1143000"/>
    <xdr:pic>
      <xdr:nvPicPr>
        <xdr:cNvPr id="344" name="Image_1033" descr="Image_1033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1034</xdr:row>
      <xdr:rowOff>95250</xdr:rowOff>
    </xdr:from>
    <xdr:ext cx="1143000" cy="1143000"/>
    <xdr:pic>
      <xdr:nvPicPr>
        <xdr:cNvPr id="345" name="Image_1035" descr="Image_1035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1035</xdr:row>
      <xdr:rowOff>95250</xdr:rowOff>
    </xdr:from>
    <xdr:ext cx="1143000" cy="1143000"/>
    <xdr:pic>
      <xdr:nvPicPr>
        <xdr:cNvPr id="346" name="Image_1036" descr="Image_1036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1036</xdr:row>
      <xdr:rowOff>95250</xdr:rowOff>
    </xdr:from>
    <xdr:ext cx="1143000" cy="1143000"/>
    <xdr:pic>
      <xdr:nvPicPr>
        <xdr:cNvPr id="347" name="Image_1037" descr="Image_1037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1082</xdr:row>
      <xdr:rowOff>95250</xdr:rowOff>
    </xdr:from>
    <xdr:ext cx="1143000" cy="1143000"/>
    <xdr:pic>
      <xdr:nvPicPr>
        <xdr:cNvPr id="348" name="Image_1083" descr="Image_1083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1083</xdr:row>
      <xdr:rowOff>95250</xdr:rowOff>
    </xdr:from>
    <xdr:ext cx="1143000" cy="1143000"/>
    <xdr:pic>
      <xdr:nvPicPr>
        <xdr:cNvPr id="349" name="Image_1084" descr="Image_1084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1085</xdr:row>
      <xdr:rowOff>95250</xdr:rowOff>
    </xdr:from>
    <xdr:ext cx="1143000" cy="1143000"/>
    <xdr:pic>
      <xdr:nvPicPr>
        <xdr:cNvPr id="350" name="Image_1086" descr="Image_1086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1086</xdr:row>
      <xdr:rowOff>95250</xdr:rowOff>
    </xdr:from>
    <xdr:ext cx="1143000" cy="1143000"/>
    <xdr:pic>
      <xdr:nvPicPr>
        <xdr:cNvPr id="351" name="Image_1087" descr="Image_1087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1087</xdr:row>
      <xdr:rowOff>95250</xdr:rowOff>
    </xdr:from>
    <xdr:ext cx="1143000" cy="1143000"/>
    <xdr:pic>
      <xdr:nvPicPr>
        <xdr:cNvPr id="352" name="Image_1088" descr="Image_1088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1088</xdr:row>
      <xdr:rowOff>95250</xdr:rowOff>
    </xdr:from>
    <xdr:ext cx="1143000" cy="1143000"/>
    <xdr:pic>
      <xdr:nvPicPr>
        <xdr:cNvPr id="353" name="Image_1089" descr="Image_1089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1089</xdr:row>
      <xdr:rowOff>95250</xdr:rowOff>
    </xdr:from>
    <xdr:ext cx="1143000" cy="1143000"/>
    <xdr:pic>
      <xdr:nvPicPr>
        <xdr:cNvPr id="354" name="Image_1090" descr="Image_1090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1091</xdr:row>
      <xdr:rowOff>95250</xdr:rowOff>
    </xdr:from>
    <xdr:ext cx="1143000" cy="1143000"/>
    <xdr:pic>
      <xdr:nvPicPr>
        <xdr:cNvPr id="355" name="Image_1092" descr="Image_1092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1103</xdr:row>
      <xdr:rowOff>95250</xdr:rowOff>
    </xdr:from>
    <xdr:ext cx="1143000" cy="1143000"/>
    <xdr:pic>
      <xdr:nvPicPr>
        <xdr:cNvPr id="356" name="Image_1104" descr="Image_1104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1104</xdr:row>
      <xdr:rowOff>95250</xdr:rowOff>
    </xdr:from>
    <xdr:ext cx="1143000" cy="1143000"/>
    <xdr:pic>
      <xdr:nvPicPr>
        <xdr:cNvPr id="357" name="Image_1105" descr="Image_1105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1105</xdr:row>
      <xdr:rowOff>95250</xdr:rowOff>
    </xdr:from>
    <xdr:ext cx="1143000" cy="1143000"/>
    <xdr:pic>
      <xdr:nvPicPr>
        <xdr:cNvPr id="358" name="Image_1106" descr="Image_1106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1142</xdr:row>
      <xdr:rowOff>95250</xdr:rowOff>
    </xdr:from>
    <xdr:ext cx="1143000" cy="1143000"/>
    <xdr:pic>
      <xdr:nvPicPr>
        <xdr:cNvPr id="359" name="Image_1143" descr="Image_1143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1143</xdr:row>
      <xdr:rowOff>95250</xdr:rowOff>
    </xdr:from>
    <xdr:ext cx="1143000" cy="1143000"/>
    <xdr:pic>
      <xdr:nvPicPr>
        <xdr:cNvPr id="360" name="Image_1144" descr="Image_1144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1144</xdr:row>
      <xdr:rowOff>95250</xdr:rowOff>
    </xdr:from>
    <xdr:ext cx="1143000" cy="1143000"/>
    <xdr:pic>
      <xdr:nvPicPr>
        <xdr:cNvPr id="361" name="Image_1145" descr="Image_1145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1146</xdr:row>
      <xdr:rowOff>95250</xdr:rowOff>
    </xdr:from>
    <xdr:ext cx="1143000" cy="1143000"/>
    <xdr:pic>
      <xdr:nvPicPr>
        <xdr:cNvPr id="362" name="Image_1147" descr="Image_1147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1201</xdr:row>
      <xdr:rowOff>95250</xdr:rowOff>
    </xdr:from>
    <xdr:ext cx="1143000" cy="1143000"/>
    <xdr:pic>
      <xdr:nvPicPr>
        <xdr:cNvPr id="363" name="Image_1202" descr="Image_1202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32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6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SUM(J2:J1329)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822224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3</v>
      </c>
      <c r="H6" s="2" t="s">
        <v>18</v>
      </c>
      <c r="I6" s="1">
        <v>0</v>
      </c>
      <c r="J6" s="3" t="s">
        <v>19</v>
      </c>
      <c r="K6" s="2" t="str">
        <f>J6*3989.00</f>
        <v>0</v>
      </c>
      <c r="L6" s="5"/>
    </row>
    <row r="7" spans="1:12" customHeight="1" ht="105" outlineLevel="5">
      <c r="A7" s="1"/>
      <c r="B7" s="1">
        <v>822225</v>
      </c>
      <c r="C7" s="1" t="s">
        <v>20</v>
      </c>
      <c r="D7" s="1" t="s">
        <v>21</v>
      </c>
      <c r="E7" s="2" t="s">
        <v>22</v>
      </c>
      <c r="F7" s="2" t="s">
        <v>17</v>
      </c>
      <c r="G7" s="2" t="s">
        <v>23</v>
      </c>
      <c r="H7" s="2" t="s">
        <v>18</v>
      </c>
      <c r="I7" s="1">
        <v>0</v>
      </c>
      <c r="J7" s="3" t="s">
        <v>19</v>
      </c>
      <c r="K7" s="2" t="str">
        <f>J7*3989.00</f>
        <v>0</v>
      </c>
      <c r="L7" s="5"/>
    </row>
    <row r="8" spans="1:12" customHeight="1" ht="105" outlineLevel="5">
      <c r="A8" s="1"/>
      <c r="B8" s="1">
        <v>822226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23</v>
      </c>
      <c r="H8" s="2" t="s">
        <v>18</v>
      </c>
      <c r="I8" s="1">
        <v>0</v>
      </c>
      <c r="J8" s="3" t="s">
        <v>19</v>
      </c>
      <c r="K8" s="2" t="str">
        <f>J8*4311.00</f>
        <v>0</v>
      </c>
      <c r="L8" s="5"/>
    </row>
    <row r="9" spans="1:12" customHeight="1" ht="105" outlineLevel="5">
      <c r="A9" s="1"/>
      <c r="B9" s="1">
        <v>822227</v>
      </c>
      <c r="C9" s="1" t="s">
        <v>28</v>
      </c>
      <c r="D9" s="1" t="s">
        <v>29</v>
      </c>
      <c r="E9" s="2" t="s">
        <v>30</v>
      </c>
      <c r="F9" s="2" t="s">
        <v>31</v>
      </c>
      <c r="G9" s="2">
        <v>0</v>
      </c>
      <c r="H9" s="2" t="s">
        <v>18</v>
      </c>
      <c r="I9" s="1">
        <v>0</v>
      </c>
      <c r="J9" s="3" t="s">
        <v>19</v>
      </c>
      <c r="K9" s="2" t="str">
        <f>J9*8117.00</f>
        <v>0</v>
      </c>
      <c r="L9" s="5"/>
    </row>
    <row r="10" spans="1:12" customHeight="1" ht="105" outlineLevel="5">
      <c r="A10" s="1"/>
      <c r="B10" s="1">
        <v>822228</v>
      </c>
      <c r="C10" s="1" t="s">
        <v>32</v>
      </c>
      <c r="D10" s="1" t="s">
        <v>33</v>
      </c>
      <c r="E10" s="2" t="s">
        <v>34</v>
      </c>
      <c r="F10" s="2" t="s">
        <v>35</v>
      </c>
      <c r="G10" s="2">
        <v>0</v>
      </c>
      <c r="H10" s="2" t="s">
        <v>36</v>
      </c>
      <c r="I10" s="1">
        <v>0</v>
      </c>
      <c r="J10" s="3" t="s">
        <v>19</v>
      </c>
      <c r="K10" s="2" t="str">
        <f>J10*8286.00</f>
        <v>0</v>
      </c>
      <c r="L10" s="5"/>
    </row>
    <row r="11" spans="1:12" customHeight="1" ht="105" outlineLevel="5">
      <c r="A11" s="1"/>
      <c r="B11" s="1">
        <v>822229</v>
      </c>
      <c r="C11" s="1" t="s">
        <v>37</v>
      </c>
      <c r="D11" s="1" t="s">
        <v>38</v>
      </c>
      <c r="E11" s="2" t="s">
        <v>39</v>
      </c>
      <c r="F11" s="2" t="s">
        <v>40</v>
      </c>
      <c r="G11" s="2" t="s">
        <v>23</v>
      </c>
      <c r="H11" s="2" t="s">
        <v>41</v>
      </c>
      <c r="I11" s="1">
        <v>0</v>
      </c>
      <c r="J11" s="3" t="s">
        <v>19</v>
      </c>
      <c r="K11" s="2" t="str">
        <f>J11*4186.00</f>
        <v>0</v>
      </c>
      <c r="L11" s="5"/>
    </row>
    <row r="12" spans="1:12" customHeight="1" ht="105" outlineLevel="5">
      <c r="A12" s="1"/>
      <c r="B12" s="1">
        <v>822230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7</v>
      </c>
      <c r="H12" s="2" t="s">
        <v>18</v>
      </c>
      <c r="I12" s="1">
        <v>0</v>
      </c>
      <c r="J12" s="3" t="s">
        <v>19</v>
      </c>
      <c r="K12" s="2" t="str">
        <f>J12*8077.00</f>
        <v>0</v>
      </c>
      <c r="L12" s="5"/>
    </row>
    <row r="13" spans="1:12" customHeight="1" ht="105" outlineLevel="5">
      <c r="A13" s="1"/>
      <c r="B13" s="1">
        <v>822231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3</v>
      </c>
      <c r="H13" s="2" t="s">
        <v>36</v>
      </c>
      <c r="I13" s="1">
        <v>0</v>
      </c>
      <c r="J13" s="3" t="s">
        <v>19</v>
      </c>
      <c r="K13" s="2" t="str">
        <f>J13*4301.00</f>
        <v>0</v>
      </c>
      <c r="L13" s="5"/>
    </row>
    <row r="14" spans="1:12" customHeight="1" ht="105" outlineLevel="5">
      <c r="A14" s="1"/>
      <c r="B14" s="1">
        <v>822232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5</v>
      </c>
      <c r="H14" s="2" t="s">
        <v>18</v>
      </c>
      <c r="I14" s="1">
        <v>0</v>
      </c>
      <c r="J14" s="3" t="s">
        <v>19</v>
      </c>
      <c r="K14" s="2" t="str">
        <f>J14*4498.00</f>
        <v>0</v>
      </c>
      <c r="L14" s="5"/>
    </row>
    <row r="15" spans="1:12" customHeight="1" ht="105" outlineLevel="5">
      <c r="A15" s="1"/>
      <c r="B15" s="1">
        <v>822233</v>
      </c>
      <c r="C15" s="1" t="s">
        <v>54</v>
      </c>
      <c r="D15" s="1" t="s">
        <v>55</v>
      </c>
      <c r="E15" s="2" t="s">
        <v>56</v>
      </c>
      <c r="F15" s="2" t="s">
        <v>57</v>
      </c>
      <c r="G15" s="2">
        <v>10</v>
      </c>
      <c r="H15" s="2" t="s">
        <v>18</v>
      </c>
      <c r="I15" s="1">
        <v>0</v>
      </c>
      <c r="J15" s="3" t="s">
        <v>19</v>
      </c>
      <c r="K15" s="2" t="str">
        <f>J15*8456.00</f>
        <v>0</v>
      </c>
      <c r="L15" s="5"/>
    </row>
    <row r="16" spans="1:12" customHeight="1" ht="105" outlineLevel="5">
      <c r="A16" s="1"/>
      <c r="B16" s="1">
        <v>822236</v>
      </c>
      <c r="C16" s="1" t="s">
        <v>58</v>
      </c>
      <c r="D16" s="1" t="s">
        <v>59</v>
      </c>
      <c r="E16" s="2" t="s">
        <v>60</v>
      </c>
      <c r="F16" s="2" t="s">
        <v>61</v>
      </c>
      <c r="G16" s="2">
        <v>4</v>
      </c>
      <c r="H16" s="2" t="s">
        <v>36</v>
      </c>
      <c r="I16" s="1">
        <v>0</v>
      </c>
      <c r="J16" s="3" t="s">
        <v>19</v>
      </c>
      <c r="K16" s="2" t="str">
        <f>J16*6037.00</f>
        <v>0</v>
      </c>
      <c r="L16" s="5"/>
    </row>
    <row r="17" spans="1:12" outlineLevel="3">
      <c r="A17" s="9" t="s">
        <v>62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</row>
    <row r="18" spans="1:12" customHeight="1" ht="105" outlineLevel="5">
      <c r="A18" s="1"/>
      <c r="B18" s="1">
        <v>834464</v>
      </c>
      <c r="C18" s="1" t="s">
        <v>63</v>
      </c>
      <c r="D18" s="1" t="s">
        <v>64</v>
      </c>
      <c r="E18" s="2" t="s">
        <v>65</v>
      </c>
      <c r="F18" s="2" t="s">
        <v>66</v>
      </c>
      <c r="G18" s="2">
        <v>2</v>
      </c>
      <c r="H18" s="2">
        <v>0</v>
      </c>
      <c r="I18" s="1">
        <v>0</v>
      </c>
      <c r="J18" s="3" t="s">
        <v>19</v>
      </c>
      <c r="K18" s="2" t="str">
        <f>J18*2874.32</f>
        <v>0</v>
      </c>
      <c r="L18" s="5"/>
    </row>
    <row r="19" spans="1:12" customHeight="1" ht="105" outlineLevel="5">
      <c r="A19" s="1"/>
      <c r="B19" s="1">
        <v>834465</v>
      </c>
      <c r="C19" s="1" t="s">
        <v>67</v>
      </c>
      <c r="D19" s="1" t="s">
        <v>68</v>
      </c>
      <c r="E19" s="2" t="s">
        <v>69</v>
      </c>
      <c r="F19" s="2" t="s">
        <v>70</v>
      </c>
      <c r="G19" s="2">
        <v>8</v>
      </c>
      <c r="H19" s="2">
        <v>0</v>
      </c>
      <c r="I19" s="1">
        <v>0</v>
      </c>
      <c r="J19" s="3" t="s">
        <v>19</v>
      </c>
      <c r="K19" s="2" t="str">
        <f>J19*3132.41</f>
        <v>0</v>
      </c>
      <c r="L19" s="5"/>
    </row>
    <row r="20" spans="1:12" customHeight="1" ht="105" outlineLevel="5">
      <c r="A20" s="1"/>
      <c r="B20" s="1">
        <v>834467</v>
      </c>
      <c r="C20" s="1" t="s">
        <v>71</v>
      </c>
      <c r="D20" s="1" t="s">
        <v>72</v>
      </c>
      <c r="E20" s="2" t="s">
        <v>73</v>
      </c>
      <c r="F20" s="2" t="s">
        <v>74</v>
      </c>
      <c r="G20" s="2">
        <v>3</v>
      </c>
      <c r="H20" s="2">
        <v>0</v>
      </c>
      <c r="I20" s="1">
        <v>0</v>
      </c>
      <c r="J20" s="3" t="s">
        <v>19</v>
      </c>
      <c r="K20" s="2" t="str">
        <f>J20*3113.50</f>
        <v>0</v>
      </c>
      <c r="L20" s="5"/>
    </row>
    <row r="21" spans="1:12" customHeight="1" ht="105" outlineLevel="5">
      <c r="A21" s="1"/>
      <c r="B21" s="1">
        <v>834468</v>
      </c>
      <c r="C21" s="1" t="s">
        <v>75</v>
      </c>
      <c r="D21" s="1" t="s">
        <v>76</v>
      </c>
      <c r="E21" s="2" t="s">
        <v>77</v>
      </c>
      <c r="F21" s="2" t="s">
        <v>78</v>
      </c>
      <c r="G21" s="2">
        <v>3</v>
      </c>
      <c r="H21" s="2">
        <v>0</v>
      </c>
      <c r="I21" s="1">
        <v>0</v>
      </c>
      <c r="J21" s="3" t="s">
        <v>19</v>
      </c>
      <c r="K21" s="2" t="str">
        <f>J21*3376.41</f>
        <v>0</v>
      </c>
      <c r="L21" s="5"/>
    </row>
    <row r="22" spans="1:12" customHeight="1" ht="105" outlineLevel="5">
      <c r="A22" s="1"/>
      <c r="B22" s="1">
        <v>835196</v>
      </c>
      <c r="C22" s="1" t="s">
        <v>79</v>
      </c>
      <c r="D22" s="1" t="s">
        <v>80</v>
      </c>
      <c r="E22" s="2" t="s">
        <v>81</v>
      </c>
      <c r="F22" s="2" t="s">
        <v>82</v>
      </c>
      <c r="G22" s="2">
        <v>7</v>
      </c>
      <c r="H22" s="2">
        <v>0</v>
      </c>
      <c r="I22" s="1">
        <v>0</v>
      </c>
      <c r="J22" s="3" t="s">
        <v>19</v>
      </c>
      <c r="K22" s="2" t="str">
        <f>J22*3088.04</f>
        <v>0</v>
      </c>
      <c r="L22" s="5"/>
    </row>
    <row r="23" spans="1:12" customHeight="1" ht="105" outlineLevel="5">
      <c r="A23" s="1"/>
      <c r="B23" s="1">
        <v>835197</v>
      </c>
      <c r="C23" s="1" t="s">
        <v>83</v>
      </c>
      <c r="D23" s="1" t="s">
        <v>84</v>
      </c>
      <c r="E23" s="2" t="s">
        <v>85</v>
      </c>
      <c r="F23" s="2" t="s">
        <v>86</v>
      </c>
      <c r="G23" s="2">
        <v>1</v>
      </c>
      <c r="H23" s="2">
        <v>0</v>
      </c>
      <c r="I23" s="1">
        <v>0</v>
      </c>
      <c r="J23" s="3" t="s">
        <v>19</v>
      </c>
      <c r="K23" s="2" t="str">
        <f>J23*3298.93</f>
        <v>0</v>
      </c>
      <c r="L23" s="5"/>
    </row>
    <row r="24" spans="1:12" customHeight="1" ht="105" outlineLevel="5">
      <c r="A24" s="1"/>
      <c r="B24" s="1">
        <v>885524</v>
      </c>
      <c r="C24" s="1" t="s">
        <v>87</v>
      </c>
      <c r="D24" s="1" t="s">
        <v>88</v>
      </c>
      <c r="E24" s="2" t="s">
        <v>65</v>
      </c>
      <c r="F24" s="2" t="s">
        <v>89</v>
      </c>
      <c r="G24" s="2" t="s">
        <v>23</v>
      </c>
      <c r="H24" s="2">
        <v>0</v>
      </c>
      <c r="I24" s="1">
        <v>0</v>
      </c>
      <c r="J24" s="3" t="s">
        <v>19</v>
      </c>
      <c r="K24" s="2" t="str">
        <f>J24*2513.45</f>
        <v>0</v>
      </c>
      <c r="L24" s="5"/>
    </row>
    <row r="25" spans="1:12" customHeight="1" ht="105" outlineLevel="5">
      <c r="A25" s="1"/>
      <c r="B25" s="1">
        <v>885525</v>
      </c>
      <c r="C25" s="1" t="s">
        <v>90</v>
      </c>
      <c r="D25" s="1" t="s">
        <v>91</v>
      </c>
      <c r="E25" s="2" t="s">
        <v>69</v>
      </c>
      <c r="F25" s="2" t="s">
        <v>92</v>
      </c>
      <c r="G25" s="2">
        <v>6</v>
      </c>
      <c r="H25" s="2">
        <v>0</v>
      </c>
      <c r="I25" s="1">
        <v>0</v>
      </c>
      <c r="J25" s="3" t="s">
        <v>19</v>
      </c>
      <c r="K25" s="2" t="str">
        <f>J25*2721.38</f>
        <v>0</v>
      </c>
      <c r="L25" s="5"/>
    </row>
    <row r="26" spans="1:12" outlineLevel="3">
      <c r="A26" s="9" t="s">
        <v>93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</row>
    <row r="27" spans="1:12" customHeight="1" ht="105" outlineLevel="5">
      <c r="A27" s="1"/>
      <c r="B27" s="1">
        <v>834505</v>
      </c>
      <c r="C27" s="1" t="s">
        <v>94</v>
      </c>
      <c r="D27" s="1" t="s">
        <v>95</v>
      </c>
      <c r="E27" s="2" t="s">
        <v>96</v>
      </c>
      <c r="F27" s="2" t="s">
        <v>97</v>
      </c>
      <c r="G27" s="2">
        <v>10</v>
      </c>
      <c r="H27" s="2">
        <v>0</v>
      </c>
      <c r="I27" s="1">
        <v>0</v>
      </c>
      <c r="J27" s="3" t="s">
        <v>19</v>
      </c>
      <c r="K27" s="2" t="str">
        <f>J27*4014.13</f>
        <v>0</v>
      </c>
      <c r="L27" s="5"/>
    </row>
    <row r="28" spans="1:12" customHeight="1" ht="105" outlineLevel="5">
      <c r="A28" s="1"/>
      <c r="B28" s="1">
        <v>834506</v>
      </c>
      <c r="C28" s="1" t="s">
        <v>98</v>
      </c>
      <c r="D28" s="1" t="s">
        <v>99</v>
      </c>
      <c r="E28" s="2" t="s">
        <v>100</v>
      </c>
      <c r="F28" s="2" t="s">
        <v>101</v>
      </c>
      <c r="G28" s="2">
        <v>8</v>
      </c>
      <c r="H28" s="2">
        <v>0</v>
      </c>
      <c r="I28" s="1">
        <v>0</v>
      </c>
      <c r="J28" s="3" t="s">
        <v>19</v>
      </c>
      <c r="K28" s="2" t="str">
        <f>J28*4102.51</f>
        <v>0</v>
      </c>
      <c r="L28" s="5"/>
    </row>
    <row r="29" spans="1:12" customHeight="1" ht="105" outlineLevel="5">
      <c r="A29" s="1"/>
      <c r="B29" s="1">
        <v>834507</v>
      </c>
      <c r="C29" s="1" t="s">
        <v>102</v>
      </c>
      <c r="D29" s="1" t="s">
        <v>103</v>
      </c>
      <c r="E29" s="2" t="s">
        <v>104</v>
      </c>
      <c r="F29" s="2" t="s">
        <v>105</v>
      </c>
      <c r="G29" s="2">
        <v>6</v>
      </c>
      <c r="H29" s="2">
        <v>0</v>
      </c>
      <c r="I29" s="1">
        <v>0</v>
      </c>
      <c r="J29" s="3" t="s">
        <v>19</v>
      </c>
      <c r="K29" s="2" t="str">
        <f>J29*4068.30</f>
        <v>0</v>
      </c>
      <c r="L29" s="5"/>
    </row>
    <row r="30" spans="1:12" customHeight="1" ht="105" outlineLevel="5">
      <c r="A30" s="1"/>
      <c r="B30" s="1">
        <v>834508</v>
      </c>
      <c r="C30" s="1" t="s">
        <v>106</v>
      </c>
      <c r="D30" s="1" t="s">
        <v>107</v>
      </c>
      <c r="E30" s="2" t="s">
        <v>108</v>
      </c>
      <c r="F30" s="2" t="s">
        <v>109</v>
      </c>
      <c r="G30" s="2">
        <v>6</v>
      </c>
      <c r="H30" s="2">
        <v>0</v>
      </c>
      <c r="I30" s="1">
        <v>0</v>
      </c>
      <c r="J30" s="3" t="s">
        <v>19</v>
      </c>
      <c r="K30" s="2" t="str">
        <f>J30*4270.72</f>
        <v>0</v>
      </c>
      <c r="L30" s="5"/>
    </row>
    <row r="31" spans="1:12" customHeight="1" ht="105" outlineLevel="5">
      <c r="A31" s="1"/>
      <c r="B31" s="1">
        <v>869370</v>
      </c>
      <c r="C31" s="1" t="s">
        <v>110</v>
      </c>
      <c r="D31" s="1" t="s">
        <v>111</v>
      </c>
      <c r="E31" s="2" t="s">
        <v>112</v>
      </c>
      <c r="F31" s="2" t="s">
        <v>113</v>
      </c>
      <c r="G31" s="2">
        <v>3</v>
      </c>
      <c r="H31" s="2">
        <v>0</v>
      </c>
      <c r="I31" s="1">
        <v>0</v>
      </c>
      <c r="J31" s="3" t="s">
        <v>19</v>
      </c>
      <c r="K31" s="2" t="str">
        <f>J31*7051.86</f>
        <v>0</v>
      </c>
      <c r="L31" s="5"/>
    </row>
    <row r="32" spans="1:12" customHeight="1" ht="105" outlineLevel="5">
      <c r="A32" s="1"/>
      <c r="B32" s="1">
        <v>869371</v>
      </c>
      <c r="C32" s="1" t="s">
        <v>114</v>
      </c>
      <c r="D32" s="1" t="s">
        <v>115</v>
      </c>
      <c r="E32" s="2" t="s">
        <v>116</v>
      </c>
      <c r="F32" s="2" t="s">
        <v>117</v>
      </c>
      <c r="G32" s="2">
        <v>-1</v>
      </c>
      <c r="H32" s="2">
        <v>0</v>
      </c>
      <c r="I32" s="1">
        <v>0</v>
      </c>
      <c r="J32" s="3" t="s">
        <v>19</v>
      </c>
      <c r="K32" s="2" t="str">
        <f>J32*8586.66</f>
        <v>0</v>
      </c>
      <c r="L32" s="5"/>
    </row>
    <row r="33" spans="1:12" customHeight="1" ht="105" outlineLevel="5">
      <c r="A33" s="1"/>
      <c r="B33" s="1">
        <v>871588</v>
      </c>
      <c r="C33" s="1" t="s">
        <v>118</v>
      </c>
      <c r="D33" s="1" t="s">
        <v>119</v>
      </c>
      <c r="E33" s="2" t="s">
        <v>120</v>
      </c>
      <c r="F33" s="2" t="s">
        <v>121</v>
      </c>
      <c r="G33" s="2">
        <v>9</v>
      </c>
      <c r="H33" s="2">
        <v>0</v>
      </c>
      <c r="I33" s="1">
        <v>0</v>
      </c>
      <c r="J33" s="3" t="s">
        <v>19</v>
      </c>
      <c r="K33" s="2" t="str">
        <f>J33*4379.06</f>
        <v>0</v>
      </c>
      <c r="L33" s="5"/>
    </row>
    <row r="34" spans="1:12" customHeight="1" ht="105" outlineLevel="5">
      <c r="A34" s="1"/>
      <c r="B34" s="1">
        <v>877762</v>
      </c>
      <c r="C34" s="1" t="s">
        <v>122</v>
      </c>
      <c r="D34" s="1" t="s">
        <v>123</v>
      </c>
      <c r="E34" s="2" t="s">
        <v>124</v>
      </c>
      <c r="F34" s="2" t="s">
        <v>125</v>
      </c>
      <c r="G34" s="2">
        <v>5</v>
      </c>
      <c r="H34" s="2">
        <v>0</v>
      </c>
      <c r="I34" s="1">
        <v>0</v>
      </c>
      <c r="J34" s="3" t="s">
        <v>19</v>
      </c>
      <c r="K34" s="2" t="str">
        <f>J34*7319.29</f>
        <v>0</v>
      </c>
      <c r="L34" s="5"/>
    </row>
    <row r="35" spans="1:12" customHeight="1" ht="105" outlineLevel="5">
      <c r="A35" s="1"/>
      <c r="B35" s="1">
        <v>879335</v>
      </c>
      <c r="C35" s="1" t="s">
        <v>126</v>
      </c>
      <c r="D35" s="1" t="s">
        <v>127</v>
      </c>
      <c r="E35" s="2" t="s">
        <v>128</v>
      </c>
      <c r="F35" s="2" t="s">
        <v>129</v>
      </c>
      <c r="G35" s="2">
        <v>6</v>
      </c>
      <c r="H35" s="2">
        <v>0</v>
      </c>
      <c r="I35" s="1">
        <v>0</v>
      </c>
      <c r="J35" s="3" t="s">
        <v>19</v>
      </c>
      <c r="K35" s="2" t="str">
        <f>J35*4039.41</f>
        <v>0</v>
      </c>
      <c r="L35" s="5"/>
    </row>
    <row r="36" spans="1:12" customHeight="1" ht="105" outlineLevel="5">
      <c r="A36" s="1"/>
      <c r="B36" s="1">
        <v>879336</v>
      </c>
      <c r="C36" s="1" t="s">
        <v>130</v>
      </c>
      <c r="D36" s="1" t="s">
        <v>131</v>
      </c>
      <c r="E36" s="2" t="s">
        <v>132</v>
      </c>
      <c r="F36" s="2" t="s">
        <v>133</v>
      </c>
      <c r="G36" s="2" t="s">
        <v>23</v>
      </c>
      <c r="H36" s="2">
        <v>0</v>
      </c>
      <c r="I36" s="1">
        <v>0</v>
      </c>
      <c r="J36" s="3" t="s">
        <v>19</v>
      </c>
      <c r="K36" s="2" t="str">
        <f>J36*4370.50</f>
        <v>0</v>
      </c>
      <c r="L36" s="5"/>
    </row>
    <row r="37" spans="1:12" outlineLevel="3">
      <c r="A37" s="9" t="s">
        <v>134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5"/>
    </row>
    <row r="38" spans="1:12" customHeight="1" ht="105" outlineLevel="5">
      <c r="A38" s="1"/>
      <c r="B38" s="1">
        <v>890511</v>
      </c>
      <c r="C38" s="1" t="s">
        <v>135</v>
      </c>
      <c r="D38" s="1" t="s">
        <v>136</v>
      </c>
      <c r="E38" s="2" t="s">
        <v>137</v>
      </c>
      <c r="F38" s="2" t="s">
        <v>138</v>
      </c>
      <c r="G38" s="2">
        <v>6</v>
      </c>
      <c r="H38" s="2">
        <v>0</v>
      </c>
      <c r="I38" s="1">
        <v>0</v>
      </c>
      <c r="J38" s="3" t="s">
        <v>19</v>
      </c>
      <c r="K38" s="2" t="str">
        <f>J38*2399.04</f>
        <v>0</v>
      </c>
      <c r="L38" s="5"/>
    </row>
    <row r="39" spans="1:12" customHeight="1" ht="105" outlineLevel="5">
      <c r="A39" s="1"/>
      <c r="B39" s="1">
        <v>890512</v>
      </c>
      <c r="C39" s="1" t="s">
        <v>139</v>
      </c>
      <c r="D39" s="1" t="s">
        <v>140</v>
      </c>
      <c r="E39" s="2" t="s">
        <v>141</v>
      </c>
      <c r="F39" s="2" t="s">
        <v>142</v>
      </c>
      <c r="G39" s="2">
        <v>5</v>
      </c>
      <c r="H39" s="2">
        <v>0</v>
      </c>
      <c r="I39" s="1">
        <v>0</v>
      </c>
      <c r="J39" s="3" t="s">
        <v>19</v>
      </c>
      <c r="K39" s="2" t="str">
        <f>J39*2508.71</f>
        <v>0</v>
      </c>
      <c r="L39" s="5"/>
    </row>
    <row r="40" spans="1:12" customHeight="1" ht="105" outlineLevel="5">
      <c r="A40" s="1"/>
      <c r="B40" s="1">
        <v>890513</v>
      </c>
      <c r="C40" s="1" t="s">
        <v>143</v>
      </c>
      <c r="D40" s="1" t="s">
        <v>144</v>
      </c>
      <c r="E40" s="2" t="s">
        <v>145</v>
      </c>
      <c r="F40" s="2" t="s">
        <v>146</v>
      </c>
      <c r="G40" s="2">
        <v>3</v>
      </c>
      <c r="H40" s="2">
        <v>0</v>
      </c>
      <c r="I40" s="1">
        <v>0</v>
      </c>
      <c r="J40" s="3" t="s">
        <v>19</v>
      </c>
      <c r="K40" s="2" t="str">
        <f>J40*4600.07</f>
        <v>0</v>
      </c>
      <c r="L40" s="5"/>
    </row>
    <row r="41" spans="1:12" customHeight="1" ht="105" outlineLevel="5">
      <c r="A41" s="1"/>
      <c r="B41" s="1">
        <v>890514</v>
      </c>
      <c r="C41" s="1" t="s">
        <v>147</v>
      </c>
      <c r="D41" s="1" t="s">
        <v>148</v>
      </c>
      <c r="E41" s="2" t="s">
        <v>149</v>
      </c>
      <c r="F41" s="2" t="s">
        <v>150</v>
      </c>
      <c r="G41" s="2">
        <v>2</v>
      </c>
      <c r="H41" s="2">
        <v>0</v>
      </c>
      <c r="I41" s="1">
        <v>0</v>
      </c>
      <c r="J41" s="3" t="s">
        <v>19</v>
      </c>
      <c r="K41" s="2" t="str">
        <f>J41*2594.01</f>
        <v>0</v>
      </c>
      <c r="L41" s="5"/>
    </row>
    <row r="42" spans="1:12" customHeight="1" ht="105" outlineLevel="5">
      <c r="A42" s="1"/>
      <c r="B42" s="1">
        <v>890515</v>
      </c>
      <c r="C42" s="1" t="s">
        <v>151</v>
      </c>
      <c r="D42" s="1" t="s">
        <v>152</v>
      </c>
      <c r="E42" s="2" t="s">
        <v>153</v>
      </c>
      <c r="F42" s="2" t="s">
        <v>154</v>
      </c>
      <c r="G42" s="2">
        <v>5</v>
      </c>
      <c r="H42" s="2">
        <v>0</v>
      </c>
      <c r="I42" s="1">
        <v>0</v>
      </c>
      <c r="J42" s="3" t="s">
        <v>19</v>
      </c>
      <c r="K42" s="2" t="str">
        <f>J42*2689.96</f>
        <v>0</v>
      </c>
      <c r="L42" s="5"/>
    </row>
    <row r="43" spans="1:12" customHeight="1" ht="105" outlineLevel="5">
      <c r="A43" s="1"/>
      <c r="B43" s="1">
        <v>890516</v>
      </c>
      <c r="C43" s="1" t="s">
        <v>155</v>
      </c>
      <c r="D43" s="1" t="s">
        <v>156</v>
      </c>
      <c r="E43" s="2" t="s">
        <v>157</v>
      </c>
      <c r="F43" s="2" t="s">
        <v>158</v>
      </c>
      <c r="G43" s="2">
        <v>3</v>
      </c>
      <c r="H43" s="2">
        <v>0</v>
      </c>
      <c r="I43" s="1">
        <v>0</v>
      </c>
      <c r="J43" s="3" t="s">
        <v>19</v>
      </c>
      <c r="K43" s="2" t="str">
        <f>J43*4752.39</f>
        <v>0</v>
      </c>
      <c r="L43" s="5"/>
    </row>
    <row r="44" spans="1:12" outlineLevel="3">
      <c r="A44" s="9" t="s">
        <v>159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5"/>
    </row>
    <row r="45" spans="1:12" outlineLevel="5">
      <c r="A45" s="1"/>
      <c r="B45" s="1">
        <v>958690</v>
      </c>
      <c r="C45" s="1" t="s">
        <v>160</v>
      </c>
      <c r="D45" s="1">
        <v>87394</v>
      </c>
      <c r="E45" s="2" t="s">
        <v>161</v>
      </c>
      <c r="F45" s="2" t="s">
        <v>162</v>
      </c>
      <c r="G45" s="2">
        <v>1</v>
      </c>
      <c r="H45" s="2">
        <v>0</v>
      </c>
      <c r="I45" s="1">
        <v>0</v>
      </c>
      <c r="J45" s="3" t="s">
        <v>19</v>
      </c>
      <c r="K45" s="2" t="str">
        <f>J45*3330.00</f>
        <v>0</v>
      </c>
      <c r="L45" s="5"/>
    </row>
    <row r="46" spans="1:12" outlineLevel="5">
      <c r="A46" s="1"/>
      <c r="B46" s="1">
        <v>958691</v>
      </c>
      <c r="C46" s="1" t="s">
        <v>163</v>
      </c>
      <c r="D46" s="1">
        <v>95046</v>
      </c>
      <c r="E46" s="2" t="s">
        <v>164</v>
      </c>
      <c r="F46" s="2" t="s">
        <v>165</v>
      </c>
      <c r="G46" s="2">
        <v>2</v>
      </c>
      <c r="H46" s="2">
        <v>0</v>
      </c>
      <c r="I46" s="1">
        <v>0</v>
      </c>
      <c r="J46" s="3" t="s">
        <v>19</v>
      </c>
      <c r="K46" s="2" t="str">
        <f>J46*3663.00</f>
        <v>0</v>
      </c>
      <c r="L46" s="5"/>
    </row>
    <row r="47" spans="1:12" outlineLevel="5">
      <c r="A47" s="1"/>
      <c r="B47" s="1">
        <v>958692</v>
      </c>
      <c r="C47" s="1" t="s">
        <v>166</v>
      </c>
      <c r="D47" s="1">
        <v>67353</v>
      </c>
      <c r="E47" s="2" t="s">
        <v>167</v>
      </c>
      <c r="F47" s="2" t="s">
        <v>168</v>
      </c>
      <c r="G47" s="2">
        <v>0</v>
      </c>
      <c r="H47" s="2">
        <v>0</v>
      </c>
      <c r="I47" s="1">
        <v>0</v>
      </c>
      <c r="J47" s="3" t="s">
        <v>19</v>
      </c>
      <c r="K47" s="2" t="str">
        <f>J47*3347.00</f>
        <v>0</v>
      </c>
      <c r="L47" s="5"/>
    </row>
    <row r="48" spans="1:12" outlineLevel="5">
      <c r="A48" s="1"/>
      <c r="B48" s="1">
        <v>958693</v>
      </c>
      <c r="C48" s="1" t="s">
        <v>169</v>
      </c>
      <c r="D48" s="1">
        <v>76681</v>
      </c>
      <c r="E48" s="2" t="s">
        <v>170</v>
      </c>
      <c r="F48" s="2" t="s">
        <v>171</v>
      </c>
      <c r="G48" s="2">
        <v>4</v>
      </c>
      <c r="H48" s="2">
        <v>0</v>
      </c>
      <c r="I48" s="1">
        <v>0</v>
      </c>
      <c r="J48" s="3" t="s">
        <v>19</v>
      </c>
      <c r="K48" s="2" t="str">
        <f>J48*3746.00</f>
        <v>0</v>
      </c>
      <c r="L48" s="5"/>
    </row>
    <row r="49" spans="1:12" outlineLevel="5">
      <c r="A49" s="1"/>
      <c r="B49" s="1">
        <v>958694</v>
      </c>
      <c r="C49" s="1" t="s">
        <v>172</v>
      </c>
      <c r="D49" s="1">
        <v>67837</v>
      </c>
      <c r="E49" s="2" t="s">
        <v>173</v>
      </c>
      <c r="F49" s="2" t="s">
        <v>174</v>
      </c>
      <c r="G49" s="2">
        <v>4</v>
      </c>
      <c r="H49" s="2">
        <v>0</v>
      </c>
      <c r="I49" s="1">
        <v>0</v>
      </c>
      <c r="J49" s="3" t="s">
        <v>19</v>
      </c>
      <c r="K49" s="2" t="str">
        <f>J49*7160.00</f>
        <v>0</v>
      </c>
      <c r="L49" s="5"/>
    </row>
    <row r="50" spans="1:12" outlineLevel="5">
      <c r="A50" s="1"/>
      <c r="B50" s="1">
        <v>958695</v>
      </c>
      <c r="C50" s="1" t="s">
        <v>175</v>
      </c>
      <c r="D50" s="1">
        <v>38835</v>
      </c>
      <c r="E50" s="2" t="s">
        <v>176</v>
      </c>
      <c r="F50" s="2" t="s">
        <v>165</v>
      </c>
      <c r="G50" s="2">
        <v>0</v>
      </c>
      <c r="H50" s="2">
        <v>0</v>
      </c>
      <c r="I50" s="1">
        <v>0</v>
      </c>
      <c r="J50" s="3" t="s">
        <v>19</v>
      </c>
      <c r="K50" s="2" t="str">
        <f>J50*3663.00</f>
        <v>0</v>
      </c>
      <c r="L50" s="5"/>
    </row>
    <row r="51" spans="1:12" outlineLevel="5">
      <c r="A51" s="1"/>
      <c r="B51" s="1">
        <v>958696</v>
      </c>
      <c r="C51" s="1" t="s">
        <v>177</v>
      </c>
      <c r="D51" s="1">
        <v>81257</v>
      </c>
      <c r="E51" s="2" t="s">
        <v>178</v>
      </c>
      <c r="F51" s="2" t="s">
        <v>179</v>
      </c>
      <c r="G51" s="2">
        <v>0</v>
      </c>
      <c r="H51" s="2">
        <v>0</v>
      </c>
      <c r="I51" s="1">
        <v>0</v>
      </c>
      <c r="J51" s="3" t="s">
        <v>19</v>
      </c>
      <c r="K51" s="2" t="str">
        <f>J51*3996.00</f>
        <v>0</v>
      </c>
      <c r="L51" s="5"/>
    </row>
    <row r="52" spans="1:12" outlineLevel="5">
      <c r="A52" s="1"/>
      <c r="B52" s="1">
        <v>958697</v>
      </c>
      <c r="C52" s="1" t="s">
        <v>180</v>
      </c>
      <c r="D52" s="1">
        <v>77870</v>
      </c>
      <c r="E52" s="2" t="s">
        <v>181</v>
      </c>
      <c r="F52" s="2" t="s">
        <v>182</v>
      </c>
      <c r="G52" s="2">
        <v>0</v>
      </c>
      <c r="H52" s="2">
        <v>0</v>
      </c>
      <c r="I52" s="1">
        <v>0</v>
      </c>
      <c r="J52" s="3" t="s">
        <v>19</v>
      </c>
      <c r="K52" s="2" t="str">
        <f>J52*7326.00</f>
        <v>0</v>
      </c>
      <c r="L52" s="5"/>
    </row>
    <row r="53" spans="1:12" outlineLevel="3">
      <c r="A53" s="9" t="s">
        <v>183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5"/>
    </row>
    <row r="54" spans="1:12" outlineLevel="5">
      <c r="A54" s="1"/>
      <c r="B54" s="1">
        <v>958698</v>
      </c>
      <c r="C54" s="1" t="s">
        <v>184</v>
      </c>
      <c r="D54" s="1">
        <v>95772</v>
      </c>
      <c r="E54" s="2" t="s">
        <v>185</v>
      </c>
      <c r="F54" s="2" t="s">
        <v>186</v>
      </c>
      <c r="G54" s="2">
        <v>3</v>
      </c>
      <c r="H54" s="2">
        <v>0</v>
      </c>
      <c r="I54" s="1">
        <v>0</v>
      </c>
      <c r="J54" s="3" t="s">
        <v>19</v>
      </c>
      <c r="K54" s="2" t="str">
        <f>J54*5101.00</f>
        <v>0</v>
      </c>
      <c r="L54" s="5"/>
    </row>
    <row r="55" spans="1:12" outlineLevel="5">
      <c r="A55" s="1"/>
      <c r="B55" s="1">
        <v>958699</v>
      </c>
      <c r="C55" s="1" t="s">
        <v>187</v>
      </c>
      <c r="D55" s="1">
        <v>16546</v>
      </c>
      <c r="E55" s="2" t="s">
        <v>188</v>
      </c>
      <c r="F55" s="2" t="s">
        <v>189</v>
      </c>
      <c r="G55" s="2">
        <v>4</v>
      </c>
      <c r="H55" s="2">
        <v>0</v>
      </c>
      <c r="I55" s="1">
        <v>0</v>
      </c>
      <c r="J55" s="3" t="s">
        <v>19</v>
      </c>
      <c r="K55" s="2" t="str">
        <f>J55*5277.00</f>
        <v>0</v>
      </c>
      <c r="L55" s="5"/>
    </row>
    <row r="56" spans="1:12" outlineLevel="5">
      <c r="A56" s="1"/>
      <c r="B56" s="1">
        <v>958700</v>
      </c>
      <c r="C56" s="1" t="s">
        <v>190</v>
      </c>
      <c r="D56" s="1">
        <v>53843</v>
      </c>
      <c r="E56" s="2" t="s">
        <v>191</v>
      </c>
      <c r="F56" s="2" t="s">
        <v>192</v>
      </c>
      <c r="G56" s="2">
        <v>4</v>
      </c>
      <c r="H56" s="2">
        <v>0</v>
      </c>
      <c r="I56" s="1">
        <v>0</v>
      </c>
      <c r="J56" s="3" t="s">
        <v>19</v>
      </c>
      <c r="K56" s="2" t="str">
        <f>J56*5180.00</f>
        <v>0</v>
      </c>
      <c r="L56" s="5"/>
    </row>
    <row r="57" spans="1:12" outlineLevel="5">
      <c r="A57" s="1"/>
      <c r="B57" s="1">
        <v>958701</v>
      </c>
      <c r="C57" s="1" t="s">
        <v>193</v>
      </c>
      <c r="D57" s="1">
        <v>50058</v>
      </c>
      <c r="E57" s="2" t="s">
        <v>194</v>
      </c>
      <c r="F57" s="2" t="s">
        <v>195</v>
      </c>
      <c r="G57" s="2">
        <v>4</v>
      </c>
      <c r="H57" s="2">
        <v>0</v>
      </c>
      <c r="I57" s="1">
        <v>0</v>
      </c>
      <c r="J57" s="3" t="s">
        <v>19</v>
      </c>
      <c r="K57" s="2" t="str">
        <f>J57*5458.00</f>
        <v>0</v>
      </c>
      <c r="L57" s="5"/>
    </row>
    <row r="58" spans="1:12" outlineLevel="5">
      <c r="A58" s="1"/>
      <c r="B58" s="1">
        <v>958702</v>
      </c>
      <c r="C58" s="1" t="s">
        <v>196</v>
      </c>
      <c r="D58" s="1">
        <v>93873</v>
      </c>
      <c r="E58" s="2" t="s">
        <v>197</v>
      </c>
      <c r="F58" s="2" t="s">
        <v>198</v>
      </c>
      <c r="G58" s="2">
        <v>1</v>
      </c>
      <c r="H58" s="2">
        <v>0</v>
      </c>
      <c r="I58" s="1">
        <v>0</v>
      </c>
      <c r="J58" s="3" t="s">
        <v>19</v>
      </c>
      <c r="K58" s="2" t="str">
        <f>J58*9990.00</f>
        <v>0</v>
      </c>
      <c r="L58" s="5"/>
    </row>
    <row r="59" spans="1:12" outlineLevel="5">
      <c r="A59" s="1"/>
      <c r="B59" s="1">
        <v>958703</v>
      </c>
      <c r="C59" s="1" t="s">
        <v>199</v>
      </c>
      <c r="D59" s="1">
        <v>88019</v>
      </c>
      <c r="E59" s="2" t="s">
        <v>200</v>
      </c>
      <c r="F59" s="2" t="s">
        <v>201</v>
      </c>
      <c r="G59" s="2">
        <v>0</v>
      </c>
      <c r="H59" s="2">
        <v>0</v>
      </c>
      <c r="I59" s="1">
        <v>0</v>
      </c>
      <c r="J59" s="3" t="s">
        <v>19</v>
      </c>
      <c r="K59" s="2" t="str">
        <f>J59*26270.00</f>
        <v>0</v>
      </c>
      <c r="L59" s="5"/>
    </row>
    <row r="60" spans="1:12" outlineLevel="5">
      <c r="A60" s="1"/>
      <c r="B60" s="1">
        <v>958704</v>
      </c>
      <c r="C60" s="1" t="s">
        <v>202</v>
      </c>
      <c r="D60" s="1">
        <v>34085</v>
      </c>
      <c r="E60" s="2" t="s">
        <v>203</v>
      </c>
      <c r="F60" s="2" t="s">
        <v>204</v>
      </c>
      <c r="G60" s="2">
        <v>3</v>
      </c>
      <c r="H60" s="2">
        <v>0</v>
      </c>
      <c r="I60" s="1">
        <v>0</v>
      </c>
      <c r="J60" s="3" t="s">
        <v>19</v>
      </c>
      <c r="K60" s="2" t="str">
        <f>J60*5550.00</f>
        <v>0</v>
      </c>
      <c r="L60" s="5"/>
    </row>
    <row r="61" spans="1:12" outlineLevel="5">
      <c r="A61" s="1"/>
      <c r="B61" s="1">
        <v>958705</v>
      </c>
      <c r="C61" s="1" t="s">
        <v>205</v>
      </c>
      <c r="D61" s="1">
        <v>15467</v>
      </c>
      <c r="E61" s="2" t="s">
        <v>206</v>
      </c>
      <c r="F61" s="2" t="s">
        <v>207</v>
      </c>
      <c r="G61" s="2">
        <v>4</v>
      </c>
      <c r="H61" s="2">
        <v>0</v>
      </c>
      <c r="I61" s="1">
        <v>0</v>
      </c>
      <c r="J61" s="3" t="s">
        <v>19</v>
      </c>
      <c r="K61" s="2" t="str">
        <f>J61*5735.00</f>
        <v>0</v>
      </c>
      <c r="L61" s="5"/>
    </row>
    <row r="62" spans="1:12" outlineLevel="5">
      <c r="A62" s="1"/>
      <c r="B62" s="1">
        <v>958706</v>
      </c>
      <c r="C62" s="1" t="s">
        <v>208</v>
      </c>
      <c r="D62" s="1">
        <v>44338</v>
      </c>
      <c r="E62" s="2" t="s">
        <v>209</v>
      </c>
      <c r="F62" s="2" t="s">
        <v>210</v>
      </c>
      <c r="G62" s="2">
        <v>0</v>
      </c>
      <c r="H62" s="2">
        <v>0</v>
      </c>
      <c r="I62" s="1">
        <v>0</v>
      </c>
      <c r="J62" s="3" t="s">
        <v>19</v>
      </c>
      <c r="K62" s="2" t="str">
        <f>J62*10638.00</f>
        <v>0</v>
      </c>
      <c r="L62" s="5"/>
    </row>
    <row r="63" spans="1:12" outlineLevel="5">
      <c r="A63" s="1"/>
      <c r="B63" s="1">
        <v>958707</v>
      </c>
      <c r="C63" s="1" t="s">
        <v>211</v>
      </c>
      <c r="D63" s="1">
        <v>61966</v>
      </c>
      <c r="E63" s="2" t="s">
        <v>212</v>
      </c>
      <c r="F63" s="2" t="s">
        <v>213</v>
      </c>
      <c r="G63" s="2">
        <v>0</v>
      </c>
      <c r="H63" s="2">
        <v>0</v>
      </c>
      <c r="I63" s="1">
        <v>0</v>
      </c>
      <c r="J63" s="3" t="s">
        <v>19</v>
      </c>
      <c r="K63" s="2" t="str">
        <f>J63*41463.00</f>
        <v>0</v>
      </c>
      <c r="L63" s="5"/>
    </row>
    <row r="64" spans="1:12" outlineLevel="5">
      <c r="A64" s="1"/>
      <c r="B64" s="1">
        <v>958708</v>
      </c>
      <c r="C64" s="1" t="s">
        <v>214</v>
      </c>
      <c r="D64" s="1">
        <v>10393</v>
      </c>
      <c r="E64" s="2" t="s">
        <v>215</v>
      </c>
      <c r="F64" s="2" t="s">
        <v>216</v>
      </c>
      <c r="G64" s="2">
        <v>0</v>
      </c>
      <c r="H64" s="2">
        <v>0</v>
      </c>
      <c r="I64" s="1">
        <v>0</v>
      </c>
      <c r="J64" s="3" t="s">
        <v>19</v>
      </c>
      <c r="K64" s="2" t="str">
        <f>J64*46506.00</f>
        <v>0</v>
      </c>
      <c r="L64" s="5"/>
    </row>
    <row r="65" spans="1:12" outlineLevel="2">
      <c r="A65" s="8" t="s">
        <v>217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outlineLevel="3">
      <c r="A66" s="9" t="s">
        <v>218</v>
      </c>
      <c r="B66" s="9"/>
      <c r="C66" s="9"/>
      <c r="D66" s="9"/>
      <c r="E66" s="9"/>
      <c r="F66" s="9"/>
      <c r="G66" s="9"/>
      <c r="H66" s="9"/>
      <c r="I66" s="9"/>
      <c r="J66" s="9"/>
      <c r="K66" s="9"/>
      <c r="L66" s="5"/>
    </row>
    <row r="67" spans="1:12" customHeight="1" ht="105" outlineLevel="5">
      <c r="A67" s="1"/>
      <c r="B67" s="1">
        <v>879337</v>
      </c>
      <c r="C67" s="1" t="s">
        <v>219</v>
      </c>
      <c r="D67" s="1" t="s">
        <v>220</v>
      </c>
      <c r="E67" s="2" t="s">
        <v>221</v>
      </c>
      <c r="F67" s="2" t="s">
        <v>222</v>
      </c>
      <c r="G67" s="2">
        <v>0</v>
      </c>
      <c r="H67" s="2">
        <v>0</v>
      </c>
      <c r="I67" s="1">
        <v>0</v>
      </c>
      <c r="J67" s="3" t="s">
        <v>19</v>
      </c>
      <c r="K67" s="2" t="str">
        <f>J67*6499.32</f>
        <v>0</v>
      </c>
      <c r="L67" s="5"/>
    </row>
    <row r="68" spans="1:12" customHeight="1" ht="105" outlineLevel="5">
      <c r="A68" s="1"/>
      <c r="B68" s="1">
        <v>879338</v>
      </c>
      <c r="C68" s="1" t="s">
        <v>223</v>
      </c>
      <c r="D68" s="1" t="s">
        <v>224</v>
      </c>
      <c r="E68" s="2" t="s">
        <v>225</v>
      </c>
      <c r="F68" s="2" t="s">
        <v>226</v>
      </c>
      <c r="G68" s="2">
        <v>4</v>
      </c>
      <c r="H68" s="2">
        <v>0</v>
      </c>
      <c r="I68" s="1">
        <v>0</v>
      </c>
      <c r="J68" s="3" t="s">
        <v>19</v>
      </c>
      <c r="K68" s="2" t="str">
        <f>J68*12802.30</f>
        <v>0</v>
      </c>
      <c r="L68" s="5"/>
    </row>
    <row r="69" spans="1:12" customHeight="1" ht="105" outlineLevel="5">
      <c r="A69" s="1"/>
      <c r="B69" s="1">
        <v>879339</v>
      </c>
      <c r="C69" s="1" t="s">
        <v>227</v>
      </c>
      <c r="D69" s="1" t="s">
        <v>228</v>
      </c>
      <c r="E69" s="2" t="s">
        <v>229</v>
      </c>
      <c r="F69" s="2" t="s">
        <v>230</v>
      </c>
      <c r="G69" s="2">
        <v>1</v>
      </c>
      <c r="H69" s="2">
        <v>0</v>
      </c>
      <c r="I69" s="1">
        <v>0</v>
      </c>
      <c r="J69" s="3" t="s">
        <v>19</v>
      </c>
      <c r="K69" s="2" t="str">
        <f>J69*19062.52</f>
        <v>0</v>
      </c>
      <c r="L69" s="5"/>
    </row>
    <row r="70" spans="1:12" customHeight="1" ht="105" outlineLevel="5">
      <c r="A70" s="1"/>
      <c r="B70" s="1">
        <v>879340</v>
      </c>
      <c r="C70" s="1" t="s">
        <v>231</v>
      </c>
      <c r="D70" s="1" t="s">
        <v>232</v>
      </c>
      <c r="E70" s="2" t="s">
        <v>233</v>
      </c>
      <c r="F70" s="2" t="s">
        <v>234</v>
      </c>
      <c r="G70" s="2">
        <v>1</v>
      </c>
      <c r="H70" s="2">
        <v>0</v>
      </c>
      <c r="I70" s="1">
        <v>0</v>
      </c>
      <c r="J70" s="3" t="s">
        <v>19</v>
      </c>
      <c r="K70" s="2" t="str">
        <f>J70*22045.07</f>
        <v>0</v>
      </c>
      <c r="L70" s="5"/>
    </row>
    <row r="71" spans="1:12" customHeight="1" ht="105" outlineLevel="5">
      <c r="A71" s="1"/>
      <c r="B71" s="1">
        <v>879341</v>
      </c>
      <c r="C71" s="1" t="s">
        <v>235</v>
      </c>
      <c r="D71" s="1" t="s">
        <v>236</v>
      </c>
      <c r="E71" s="2" t="s">
        <v>237</v>
      </c>
      <c r="F71" s="2" t="s">
        <v>238</v>
      </c>
      <c r="G71" s="2">
        <v>0</v>
      </c>
      <c r="H71" s="2">
        <v>0</v>
      </c>
      <c r="I71" s="1">
        <v>0</v>
      </c>
      <c r="J71" s="3" t="s">
        <v>19</v>
      </c>
      <c r="K71" s="2" t="str">
        <f>J71*25335.42</f>
        <v>0</v>
      </c>
      <c r="L71" s="5"/>
    </row>
    <row r="72" spans="1:12" customHeight="1" ht="105" outlineLevel="5">
      <c r="A72" s="1"/>
      <c r="B72" s="1">
        <v>879342</v>
      </c>
      <c r="C72" s="1" t="s">
        <v>239</v>
      </c>
      <c r="D72" s="1" t="s">
        <v>240</v>
      </c>
      <c r="E72" s="2" t="s">
        <v>241</v>
      </c>
      <c r="F72" s="2" t="s">
        <v>242</v>
      </c>
      <c r="G72" s="2">
        <v>1</v>
      </c>
      <c r="H72" s="2">
        <v>0</v>
      </c>
      <c r="I72" s="1">
        <v>0</v>
      </c>
      <c r="J72" s="3" t="s">
        <v>19</v>
      </c>
      <c r="K72" s="2" t="str">
        <f>J72*28113.81</f>
        <v>0</v>
      </c>
      <c r="L72" s="5"/>
    </row>
    <row r="73" spans="1:12" customHeight="1" ht="105" outlineLevel="5">
      <c r="A73" s="1"/>
      <c r="B73" s="1">
        <v>883384</v>
      </c>
      <c r="C73" s="1" t="s">
        <v>243</v>
      </c>
      <c r="D73" s="1" t="s">
        <v>244</v>
      </c>
      <c r="E73" s="2" t="s">
        <v>245</v>
      </c>
      <c r="F73" s="2" t="s">
        <v>246</v>
      </c>
      <c r="G73" s="2">
        <v>1</v>
      </c>
      <c r="H73" s="2">
        <v>0</v>
      </c>
      <c r="I73" s="1">
        <v>0</v>
      </c>
      <c r="J73" s="3" t="s">
        <v>19</v>
      </c>
      <c r="K73" s="2" t="str">
        <f>J73*30044.07</f>
        <v>0</v>
      </c>
      <c r="L73" s="5"/>
    </row>
    <row r="74" spans="1:12" customHeight="1" ht="105" outlineLevel="5">
      <c r="A74" s="1"/>
      <c r="B74" s="1">
        <v>883385</v>
      </c>
      <c r="C74" s="1" t="s">
        <v>247</v>
      </c>
      <c r="D74" s="1" t="s">
        <v>248</v>
      </c>
      <c r="E74" s="2" t="s">
        <v>249</v>
      </c>
      <c r="F74" s="2" t="s">
        <v>250</v>
      </c>
      <c r="G74" s="2">
        <v>1</v>
      </c>
      <c r="H74" s="2">
        <v>0</v>
      </c>
      <c r="I74" s="1">
        <v>0</v>
      </c>
      <c r="J74" s="3" t="s">
        <v>19</v>
      </c>
      <c r="K74" s="2" t="str">
        <f>J74*33383.95</f>
        <v>0</v>
      </c>
      <c r="L74" s="5"/>
    </row>
    <row r="75" spans="1:12" outlineLevel="3">
      <c r="A75" s="9" t="s">
        <v>251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5"/>
    </row>
    <row r="76" spans="1:12" outlineLevel="5">
      <c r="A76" s="1"/>
      <c r="B76" s="1">
        <v>958721</v>
      </c>
      <c r="C76" s="1" t="s">
        <v>252</v>
      </c>
      <c r="D76" s="1">
        <v>17761</v>
      </c>
      <c r="E76" s="2" t="s">
        <v>253</v>
      </c>
      <c r="F76" s="2" t="s">
        <v>254</v>
      </c>
      <c r="G76" s="2">
        <v>0</v>
      </c>
      <c r="H76" s="2">
        <v>0</v>
      </c>
      <c r="I76" s="1">
        <v>0</v>
      </c>
      <c r="J76" s="3" t="s">
        <v>19</v>
      </c>
      <c r="K76" s="2" t="str">
        <f>J76*37893.00</f>
        <v>0</v>
      </c>
      <c r="L76" s="5"/>
    </row>
    <row r="77" spans="1:12" outlineLevel="5">
      <c r="A77" s="1"/>
      <c r="B77" s="1">
        <v>958722</v>
      </c>
      <c r="C77" s="1" t="s">
        <v>255</v>
      </c>
      <c r="D77" s="1">
        <v>41561</v>
      </c>
      <c r="E77" s="2" t="s">
        <v>256</v>
      </c>
      <c r="F77" s="2" t="s">
        <v>257</v>
      </c>
      <c r="G77" s="2">
        <v>0</v>
      </c>
      <c r="H77" s="2">
        <v>0</v>
      </c>
      <c r="I77" s="1">
        <v>0</v>
      </c>
      <c r="J77" s="3" t="s">
        <v>19</v>
      </c>
      <c r="K77" s="2" t="str">
        <f>J77*37437.00</f>
        <v>0</v>
      </c>
      <c r="L77" s="5"/>
    </row>
    <row r="78" spans="1:12" outlineLevel="5">
      <c r="A78" s="1"/>
      <c r="B78" s="1">
        <v>958723</v>
      </c>
      <c r="C78" s="1" t="s">
        <v>258</v>
      </c>
      <c r="D78" s="1">
        <v>45901</v>
      </c>
      <c r="E78" s="2" t="s">
        <v>259</v>
      </c>
      <c r="F78" s="2" t="s">
        <v>260</v>
      </c>
      <c r="G78" s="2">
        <v>0</v>
      </c>
      <c r="H78" s="2">
        <v>0</v>
      </c>
      <c r="I78" s="1">
        <v>0</v>
      </c>
      <c r="J78" s="3" t="s">
        <v>19</v>
      </c>
      <c r="K78" s="2" t="str">
        <f>J78*35403.00</f>
        <v>0</v>
      </c>
      <c r="L78" s="5"/>
    </row>
    <row r="79" spans="1:12" outlineLevel="5">
      <c r="A79" s="1"/>
      <c r="B79" s="1">
        <v>958724</v>
      </c>
      <c r="C79" s="1" t="s">
        <v>261</v>
      </c>
      <c r="D79" s="1">
        <v>79864</v>
      </c>
      <c r="E79" s="2" t="s">
        <v>262</v>
      </c>
      <c r="F79" s="2" t="s">
        <v>263</v>
      </c>
      <c r="G79" s="2">
        <v>0</v>
      </c>
      <c r="H79" s="2">
        <v>0</v>
      </c>
      <c r="I79" s="1">
        <v>0</v>
      </c>
      <c r="J79" s="3" t="s">
        <v>19</v>
      </c>
      <c r="K79" s="2" t="str">
        <f>J79*40695.00</f>
        <v>0</v>
      </c>
      <c r="L79" s="5"/>
    </row>
    <row r="80" spans="1:12" outlineLevel="5">
      <c r="A80" s="1"/>
      <c r="B80" s="1">
        <v>958725</v>
      </c>
      <c r="C80" s="1" t="s">
        <v>264</v>
      </c>
      <c r="D80" s="1">
        <v>91023</v>
      </c>
      <c r="E80" s="2" t="s">
        <v>265</v>
      </c>
      <c r="F80" s="2" t="s">
        <v>266</v>
      </c>
      <c r="G80" s="2">
        <v>0</v>
      </c>
      <c r="H80" s="2">
        <v>0</v>
      </c>
      <c r="I80" s="1">
        <v>0</v>
      </c>
      <c r="J80" s="3" t="s">
        <v>19</v>
      </c>
      <c r="K80" s="2" t="str">
        <f>J80*42313.00</f>
        <v>0</v>
      </c>
      <c r="L80" s="5"/>
    </row>
    <row r="81" spans="1:12" outlineLevel="5">
      <c r="A81" s="1"/>
      <c r="B81" s="1">
        <v>958726</v>
      </c>
      <c r="C81" s="1" t="s">
        <v>267</v>
      </c>
      <c r="D81" s="1">
        <v>69866</v>
      </c>
      <c r="E81" s="2" t="s">
        <v>268</v>
      </c>
      <c r="F81" s="2" t="s">
        <v>269</v>
      </c>
      <c r="G81" s="2">
        <v>0</v>
      </c>
      <c r="H81" s="2">
        <v>0</v>
      </c>
      <c r="I81" s="1">
        <v>0</v>
      </c>
      <c r="J81" s="3" t="s">
        <v>19</v>
      </c>
      <c r="K81" s="2" t="str">
        <f>J81*34428.00</f>
        <v>0</v>
      </c>
      <c r="L81" s="5"/>
    </row>
    <row r="82" spans="1:12" outlineLevel="5">
      <c r="A82" s="1"/>
      <c r="B82" s="1">
        <v>958727</v>
      </c>
      <c r="C82" s="1" t="s">
        <v>270</v>
      </c>
      <c r="D82" s="1">
        <v>70082</v>
      </c>
      <c r="E82" s="2" t="s">
        <v>271</v>
      </c>
      <c r="F82" s="2" t="s">
        <v>272</v>
      </c>
      <c r="G82" s="2">
        <v>0</v>
      </c>
      <c r="H82" s="2">
        <v>0</v>
      </c>
      <c r="I82" s="1">
        <v>0</v>
      </c>
      <c r="J82" s="3" t="s">
        <v>19</v>
      </c>
      <c r="K82" s="2" t="str">
        <f>J82*36255.00</f>
        <v>0</v>
      </c>
      <c r="L82" s="5"/>
    </row>
    <row r="83" spans="1:12" outlineLevel="5">
      <c r="A83" s="1"/>
      <c r="B83" s="1">
        <v>958728</v>
      </c>
      <c r="C83" s="1" t="s">
        <v>273</v>
      </c>
      <c r="D83" s="1">
        <v>85910</v>
      </c>
      <c r="E83" s="2" t="s">
        <v>274</v>
      </c>
      <c r="F83" s="2" t="s">
        <v>275</v>
      </c>
      <c r="G83" s="2">
        <v>0</v>
      </c>
      <c r="H83" s="2">
        <v>0</v>
      </c>
      <c r="I83" s="1">
        <v>0</v>
      </c>
      <c r="J83" s="3" t="s">
        <v>19</v>
      </c>
      <c r="K83" s="2" t="str">
        <f>J83*37247.00</f>
        <v>0</v>
      </c>
      <c r="L83" s="5"/>
    </row>
    <row r="84" spans="1:12" outlineLevel="5">
      <c r="A84" s="1"/>
      <c r="B84" s="1">
        <v>958729</v>
      </c>
      <c r="C84" s="1" t="s">
        <v>276</v>
      </c>
      <c r="D84" s="1">
        <v>80633</v>
      </c>
      <c r="E84" s="2" t="s">
        <v>277</v>
      </c>
      <c r="F84" s="2" t="s">
        <v>278</v>
      </c>
      <c r="G84" s="2">
        <v>0</v>
      </c>
      <c r="H84" s="2">
        <v>0</v>
      </c>
      <c r="I84" s="1">
        <v>0</v>
      </c>
      <c r="J84" s="3" t="s">
        <v>19</v>
      </c>
      <c r="K84" s="2" t="str">
        <f>J84*35272.00</f>
        <v>0</v>
      </c>
      <c r="L84" s="5"/>
    </row>
    <row r="85" spans="1:12" outlineLevel="5">
      <c r="A85" s="1"/>
      <c r="B85" s="1">
        <v>958730</v>
      </c>
      <c r="C85" s="1" t="s">
        <v>279</v>
      </c>
      <c r="D85" s="1">
        <v>57073</v>
      </c>
      <c r="E85" s="2" t="s">
        <v>280</v>
      </c>
      <c r="F85" s="2" t="s">
        <v>281</v>
      </c>
      <c r="G85" s="2">
        <v>0</v>
      </c>
      <c r="H85" s="2">
        <v>0</v>
      </c>
      <c r="I85" s="1">
        <v>0</v>
      </c>
      <c r="J85" s="3" t="s">
        <v>19</v>
      </c>
      <c r="K85" s="2" t="str">
        <f>J85*40579.00</f>
        <v>0</v>
      </c>
      <c r="L85" s="5"/>
    </row>
    <row r="86" spans="1:12" outlineLevel="5">
      <c r="A86" s="1"/>
      <c r="B86" s="1">
        <v>958731</v>
      </c>
      <c r="C86" s="1" t="s">
        <v>282</v>
      </c>
      <c r="D86" s="1">
        <v>87099</v>
      </c>
      <c r="E86" s="2" t="s">
        <v>283</v>
      </c>
      <c r="F86" s="2" t="s">
        <v>284</v>
      </c>
      <c r="G86" s="2">
        <v>0</v>
      </c>
      <c r="H86" s="2">
        <v>0</v>
      </c>
      <c r="I86" s="1">
        <v>0</v>
      </c>
      <c r="J86" s="3" t="s">
        <v>19</v>
      </c>
      <c r="K86" s="2" t="str">
        <f>J86*40843.00</f>
        <v>0</v>
      </c>
      <c r="L86" s="5"/>
    </row>
    <row r="87" spans="1:12" outlineLevel="5">
      <c r="A87" s="1"/>
      <c r="B87" s="1">
        <v>958732</v>
      </c>
      <c r="C87" s="1" t="s">
        <v>285</v>
      </c>
      <c r="D87" s="1">
        <v>51884</v>
      </c>
      <c r="E87" s="2" t="s">
        <v>286</v>
      </c>
      <c r="F87" s="2" t="s">
        <v>287</v>
      </c>
      <c r="G87" s="2">
        <v>0</v>
      </c>
      <c r="H87" s="2">
        <v>0</v>
      </c>
      <c r="I87" s="1">
        <v>0</v>
      </c>
      <c r="J87" s="3" t="s">
        <v>19</v>
      </c>
      <c r="K87" s="2" t="str">
        <f>J87*34264.00</f>
        <v>0</v>
      </c>
      <c r="L87" s="5"/>
    </row>
    <row r="88" spans="1:12" outlineLevel="5">
      <c r="A88" s="1"/>
      <c r="B88" s="1">
        <v>958733</v>
      </c>
      <c r="C88" s="1" t="s">
        <v>288</v>
      </c>
      <c r="D88" s="1">
        <v>36269</v>
      </c>
      <c r="E88" s="2" t="s">
        <v>289</v>
      </c>
      <c r="F88" s="2" t="s">
        <v>290</v>
      </c>
      <c r="G88" s="2">
        <v>0</v>
      </c>
      <c r="H88" s="2">
        <v>0</v>
      </c>
      <c r="I88" s="1">
        <v>0</v>
      </c>
      <c r="J88" s="3" t="s">
        <v>19</v>
      </c>
      <c r="K88" s="2" t="str">
        <f>J88*43428.00</f>
        <v>0</v>
      </c>
      <c r="L88" s="5"/>
    </row>
    <row r="89" spans="1:12" outlineLevel="5">
      <c r="A89" s="1"/>
      <c r="B89" s="1">
        <v>958734</v>
      </c>
      <c r="C89" s="1" t="s">
        <v>291</v>
      </c>
      <c r="D89" s="1">
        <v>47053</v>
      </c>
      <c r="E89" s="2" t="s">
        <v>292</v>
      </c>
      <c r="F89" s="2" t="s">
        <v>293</v>
      </c>
      <c r="G89" s="2">
        <v>0</v>
      </c>
      <c r="H89" s="2">
        <v>0</v>
      </c>
      <c r="I89" s="1">
        <v>0</v>
      </c>
      <c r="J89" s="3" t="s">
        <v>19</v>
      </c>
      <c r="K89" s="2" t="str">
        <f>J89*56808.00</f>
        <v>0</v>
      </c>
      <c r="L89" s="5"/>
    </row>
    <row r="90" spans="1:12" outlineLevel="5">
      <c r="A90" s="1"/>
      <c r="B90" s="1">
        <v>958735</v>
      </c>
      <c r="C90" s="1" t="s">
        <v>294</v>
      </c>
      <c r="D90" s="1">
        <v>45176</v>
      </c>
      <c r="E90" s="2" t="s">
        <v>295</v>
      </c>
      <c r="F90" s="2" t="s">
        <v>293</v>
      </c>
      <c r="G90" s="2">
        <v>0</v>
      </c>
      <c r="H90" s="2">
        <v>0</v>
      </c>
      <c r="I90" s="1">
        <v>0</v>
      </c>
      <c r="J90" s="3" t="s">
        <v>19</v>
      </c>
      <c r="K90" s="2" t="str">
        <f>J90*56808.00</f>
        <v>0</v>
      </c>
      <c r="L90" s="5"/>
    </row>
    <row r="91" spans="1:12" outlineLevel="5">
      <c r="A91" s="1"/>
      <c r="B91" s="1">
        <v>958736</v>
      </c>
      <c r="C91" s="1" t="s">
        <v>296</v>
      </c>
      <c r="D91" s="1">
        <v>91705</v>
      </c>
      <c r="E91" s="2" t="s">
        <v>297</v>
      </c>
      <c r="F91" s="2" t="s">
        <v>298</v>
      </c>
      <c r="G91" s="2">
        <v>0</v>
      </c>
      <c r="H91" s="2">
        <v>0</v>
      </c>
      <c r="I91" s="1">
        <v>0</v>
      </c>
      <c r="J91" s="3" t="s">
        <v>19</v>
      </c>
      <c r="K91" s="2" t="str">
        <f>J91*59011.00</f>
        <v>0</v>
      </c>
      <c r="L91" s="5"/>
    </row>
    <row r="92" spans="1:12" outlineLevel="5">
      <c r="A92" s="1"/>
      <c r="B92" s="1">
        <v>958737</v>
      </c>
      <c r="C92" s="1" t="s">
        <v>299</v>
      </c>
      <c r="D92" s="1">
        <v>74913</v>
      </c>
      <c r="E92" s="2" t="s">
        <v>300</v>
      </c>
      <c r="F92" s="2" t="s">
        <v>301</v>
      </c>
      <c r="G92" s="2">
        <v>0</v>
      </c>
      <c r="H92" s="2">
        <v>0</v>
      </c>
      <c r="I92" s="1">
        <v>0</v>
      </c>
      <c r="J92" s="3" t="s">
        <v>19</v>
      </c>
      <c r="K92" s="2" t="str">
        <f>J92*57143.00</f>
        <v>0</v>
      </c>
      <c r="L92" s="5"/>
    </row>
    <row r="93" spans="1:12" outlineLevel="5">
      <c r="A93" s="1"/>
      <c r="B93" s="1">
        <v>958738</v>
      </c>
      <c r="C93" s="1" t="s">
        <v>302</v>
      </c>
      <c r="D93" s="1">
        <v>79301</v>
      </c>
      <c r="E93" s="2" t="s">
        <v>303</v>
      </c>
      <c r="F93" s="2" t="s">
        <v>304</v>
      </c>
      <c r="G93" s="2">
        <v>0</v>
      </c>
      <c r="H93" s="2">
        <v>0</v>
      </c>
      <c r="I93" s="1">
        <v>0</v>
      </c>
      <c r="J93" s="3" t="s">
        <v>19</v>
      </c>
      <c r="K93" s="2" t="str">
        <f>J93*62595.00</f>
        <v>0</v>
      </c>
      <c r="L93" s="5"/>
    </row>
    <row r="94" spans="1:12" outlineLevel="5">
      <c r="A94" s="1"/>
      <c r="B94" s="1">
        <v>958739</v>
      </c>
      <c r="C94" s="1" t="s">
        <v>305</v>
      </c>
      <c r="D94" s="1">
        <v>30450</v>
      </c>
      <c r="E94" s="2" t="s">
        <v>306</v>
      </c>
      <c r="F94" s="2" t="s">
        <v>301</v>
      </c>
      <c r="G94" s="2">
        <v>0</v>
      </c>
      <c r="H94" s="2">
        <v>0</v>
      </c>
      <c r="I94" s="1">
        <v>0</v>
      </c>
      <c r="J94" s="3" t="s">
        <v>19</v>
      </c>
      <c r="K94" s="2" t="str">
        <f>J94*57143.00</f>
        <v>0</v>
      </c>
      <c r="L94" s="5"/>
    </row>
    <row r="95" spans="1:12" outlineLevel="5">
      <c r="A95" s="1"/>
      <c r="B95" s="1">
        <v>958740</v>
      </c>
      <c r="C95" s="1" t="s">
        <v>307</v>
      </c>
      <c r="D95" s="1">
        <v>97011</v>
      </c>
      <c r="E95" s="2" t="s">
        <v>308</v>
      </c>
      <c r="F95" s="2" t="s">
        <v>309</v>
      </c>
      <c r="G95" s="2">
        <v>0</v>
      </c>
      <c r="H95" s="2">
        <v>0</v>
      </c>
      <c r="I95" s="1">
        <v>0</v>
      </c>
      <c r="J95" s="3" t="s">
        <v>19</v>
      </c>
      <c r="K95" s="2" t="str">
        <f>J95*23125.00</f>
        <v>0</v>
      </c>
      <c r="L95" s="5"/>
    </row>
    <row r="96" spans="1:12" outlineLevel="5">
      <c r="A96" s="1"/>
      <c r="B96" s="1">
        <v>958741</v>
      </c>
      <c r="C96" s="1" t="s">
        <v>310</v>
      </c>
      <c r="D96" s="1">
        <v>18397</v>
      </c>
      <c r="E96" s="2" t="s">
        <v>311</v>
      </c>
      <c r="F96" s="2" t="s">
        <v>312</v>
      </c>
      <c r="G96" s="2">
        <v>0</v>
      </c>
      <c r="H96" s="2">
        <v>0</v>
      </c>
      <c r="I96" s="1">
        <v>0</v>
      </c>
      <c r="J96" s="3" t="s">
        <v>19</v>
      </c>
      <c r="K96" s="2" t="str">
        <f>J96*49719.00</f>
        <v>0</v>
      </c>
      <c r="L96" s="5"/>
    </row>
    <row r="97" spans="1:12" outlineLevel="5">
      <c r="A97" s="1"/>
      <c r="B97" s="1">
        <v>958742</v>
      </c>
      <c r="C97" s="1" t="s">
        <v>313</v>
      </c>
      <c r="D97" s="1">
        <v>55391</v>
      </c>
      <c r="E97" s="2" t="s">
        <v>314</v>
      </c>
      <c r="F97" s="2" t="s">
        <v>315</v>
      </c>
      <c r="G97" s="2">
        <v>0</v>
      </c>
      <c r="H97" s="2">
        <v>0</v>
      </c>
      <c r="I97" s="1">
        <v>0</v>
      </c>
      <c r="J97" s="3" t="s">
        <v>19</v>
      </c>
      <c r="K97" s="2" t="str">
        <f>J97*35243.00</f>
        <v>0</v>
      </c>
      <c r="L97" s="5"/>
    </row>
    <row r="98" spans="1:12" outlineLevel="5">
      <c r="A98" s="1"/>
      <c r="B98" s="1">
        <v>958743</v>
      </c>
      <c r="C98" s="1" t="s">
        <v>316</v>
      </c>
      <c r="D98" s="1">
        <v>25467</v>
      </c>
      <c r="E98" s="2" t="s">
        <v>317</v>
      </c>
      <c r="F98" s="2" t="s">
        <v>318</v>
      </c>
      <c r="G98" s="2">
        <v>0</v>
      </c>
      <c r="H98" s="2">
        <v>0</v>
      </c>
      <c r="I98" s="1">
        <v>0</v>
      </c>
      <c r="J98" s="3" t="s">
        <v>19</v>
      </c>
      <c r="K98" s="2" t="str">
        <f>J98*48563.00</f>
        <v>0</v>
      </c>
      <c r="L98" s="5"/>
    </row>
    <row r="99" spans="1:12" outlineLevel="5">
      <c r="A99" s="1"/>
      <c r="B99" s="1">
        <v>958744</v>
      </c>
      <c r="C99" s="1" t="s">
        <v>319</v>
      </c>
      <c r="D99" s="1">
        <v>16012</v>
      </c>
      <c r="E99" s="2" t="s">
        <v>320</v>
      </c>
      <c r="F99" s="2" t="s">
        <v>321</v>
      </c>
      <c r="G99" s="2">
        <v>0</v>
      </c>
      <c r="H99" s="2">
        <v>0</v>
      </c>
      <c r="I99" s="1">
        <v>0</v>
      </c>
      <c r="J99" s="3" t="s">
        <v>19</v>
      </c>
      <c r="K99" s="2" t="str">
        <f>J99*27530.00</f>
        <v>0</v>
      </c>
      <c r="L99" s="5"/>
    </row>
    <row r="100" spans="1:12" outlineLevel="5">
      <c r="A100" s="1"/>
      <c r="B100" s="1">
        <v>958745</v>
      </c>
      <c r="C100" s="1" t="s">
        <v>322</v>
      </c>
      <c r="D100" s="1">
        <v>19610</v>
      </c>
      <c r="E100" s="2" t="s">
        <v>323</v>
      </c>
      <c r="F100" s="2" t="s">
        <v>324</v>
      </c>
      <c r="G100" s="2">
        <v>0</v>
      </c>
      <c r="H100" s="2">
        <v>0</v>
      </c>
      <c r="I100" s="1">
        <v>0</v>
      </c>
      <c r="J100" s="3" t="s">
        <v>19</v>
      </c>
      <c r="K100" s="2" t="str">
        <f>J100*40550.00</f>
        <v>0</v>
      </c>
      <c r="L100" s="5"/>
    </row>
    <row r="101" spans="1:12" outlineLevel="5">
      <c r="A101" s="1"/>
      <c r="B101" s="1">
        <v>958746</v>
      </c>
      <c r="C101" s="1" t="s">
        <v>325</v>
      </c>
      <c r="D101" s="1">
        <v>80976</v>
      </c>
      <c r="E101" s="2" t="s">
        <v>326</v>
      </c>
      <c r="F101" s="2" t="s">
        <v>327</v>
      </c>
      <c r="G101" s="2">
        <v>0</v>
      </c>
      <c r="H101" s="2">
        <v>0</v>
      </c>
      <c r="I101" s="1">
        <v>0</v>
      </c>
      <c r="J101" s="3" t="s">
        <v>19</v>
      </c>
      <c r="K101" s="2" t="str">
        <f>J101*39516.00</f>
        <v>0</v>
      </c>
      <c r="L101" s="5"/>
    </row>
    <row r="102" spans="1:12" outlineLevel="5">
      <c r="A102" s="1"/>
      <c r="B102" s="1">
        <v>958747</v>
      </c>
      <c r="C102" s="1" t="s">
        <v>328</v>
      </c>
      <c r="D102" s="1">
        <v>65996</v>
      </c>
      <c r="E102" s="2" t="s">
        <v>329</v>
      </c>
      <c r="F102" s="2" t="s">
        <v>330</v>
      </c>
      <c r="G102" s="2">
        <v>0</v>
      </c>
      <c r="H102" s="2">
        <v>0</v>
      </c>
      <c r="I102" s="1">
        <v>0</v>
      </c>
      <c r="J102" s="3" t="s">
        <v>19</v>
      </c>
      <c r="K102" s="2" t="str">
        <f>J102*36075.00</f>
        <v>0</v>
      </c>
      <c r="L102" s="5"/>
    </row>
    <row r="103" spans="1:12" outlineLevel="5">
      <c r="A103" s="1"/>
      <c r="B103" s="1">
        <v>958748</v>
      </c>
      <c r="C103" s="1" t="s">
        <v>331</v>
      </c>
      <c r="D103" s="1">
        <v>26688</v>
      </c>
      <c r="E103" s="2" t="s">
        <v>332</v>
      </c>
      <c r="F103" s="2" t="s">
        <v>333</v>
      </c>
      <c r="G103" s="2">
        <v>0</v>
      </c>
      <c r="H103" s="2">
        <v>0</v>
      </c>
      <c r="I103" s="1">
        <v>0</v>
      </c>
      <c r="J103" s="3" t="s">
        <v>19</v>
      </c>
      <c r="K103" s="2" t="str">
        <f>J103*32375.00</f>
        <v>0</v>
      </c>
      <c r="L103" s="5"/>
    </row>
    <row r="104" spans="1:12" outlineLevel="5">
      <c r="A104" s="1"/>
      <c r="B104" s="1">
        <v>958749</v>
      </c>
      <c r="C104" s="1" t="s">
        <v>334</v>
      </c>
      <c r="D104" s="1">
        <v>26640</v>
      </c>
      <c r="E104" s="2" t="s">
        <v>335</v>
      </c>
      <c r="F104" s="2" t="s">
        <v>336</v>
      </c>
      <c r="G104" s="2">
        <v>0</v>
      </c>
      <c r="H104" s="2">
        <v>0</v>
      </c>
      <c r="I104" s="1">
        <v>0</v>
      </c>
      <c r="J104" s="3" t="s">
        <v>19</v>
      </c>
      <c r="K104" s="2" t="str">
        <f>J104*34780.00</f>
        <v>0</v>
      </c>
      <c r="L104" s="5"/>
    </row>
    <row r="105" spans="1:12" outlineLevel="5">
      <c r="A105" s="1"/>
      <c r="B105" s="1">
        <v>958750</v>
      </c>
      <c r="C105" s="1" t="s">
        <v>337</v>
      </c>
      <c r="D105" s="1">
        <v>95443</v>
      </c>
      <c r="E105" s="2" t="s">
        <v>338</v>
      </c>
      <c r="F105" s="2" t="s">
        <v>339</v>
      </c>
      <c r="G105" s="2">
        <v>0</v>
      </c>
      <c r="H105" s="2">
        <v>0</v>
      </c>
      <c r="I105" s="1">
        <v>0</v>
      </c>
      <c r="J105" s="3" t="s">
        <v>19</v>
      </c>
      <c r="K105" s="2" t="str">
        <f>J105*18500.00</f>
        <v>0</v>
      </c>
      <c r="L105" s="5"/>
    </row>
    <row r="106" spans="1:12" outlineLevel="5">
      <c r="A106" s="1"/>
      <c r="B106" s="1">
        <v>958751</v>
      </c>
      <c r="C106" s="1" t="s">
        <v>340</v>
      </c>
      <c r="D106" s="1">
        <v>37711</v>
      </c>
      <c r="E106" s="2" t="s">
        <v>341</v>
      </c>
      <c r="F106" s="2" t="s">
        <v>342</v>
      </c>
      <c r="G106" s="2">
        <v>0</v>
      </c>
      <c r="H106" s="2">
        <v>0</v>
      </c>
      <c r="I106" s="1">
        <v>0</v>
      </c>
      <c r="J106" s="3" t="s">
        <v>19</v>
      </c>
      <c r="K106" s="2" t="str">
        <f>J106*21275.00</f>
        <v>0</v>
      </c>
      <c r="L106" s="5"/>
    </row>
    <row r="107" spans="1:12" outlineLevel="5">
      <c r="A107" s="1"/>
      <c r="B107" s="1">
        <v>958752</v>
      </c>
      <c r="C107" s="1" t="s">
        <v>343</v>
      </c>
      <c r="D107" s="1">
        <v>23446</v>
      </c>
      <c r="E107" s="2" t="s">
        <v>344</v>
      </c>
      <c r="F107" s="2" t="s">
        <v>345</v>
      </c>
      <c r="G107" s="2">
        <v>0</v>
      </c>
      <c r="H107" s="2">
        <v>0</v>
      </c>
      <c r="I107" s="1">
        <v>0</v>
      </c>
      <c r="J107" s="3" t="s">
        <v>19</v>
      </c>
      <c r="K107" s="2" t="str">
        <f>J107*38295.00</f>
        <v>0</v>
      </c>
      <c r="L107" s="5"/>
    </row>
    <row r="108" spans="1:12" outlineLevel="3">
      <c r="A108" s="9" t="s">
        <v>346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5"/>
    </row>
    <row r="109" spans="1:12" outlineLevel="5">
      <c r="A109" s="1"/>
      <c r="B109" s="1">
        <v>958753</v>
      </c>
      <c r="C109" s="1" t="s">
        <v>347</v>
      </c>
      <c r="D109" s="1">
        <v>41722</v>
      </c>
      <c r="E109" s="2" t="s">
        <v>348</v>
      </c>
      <c r="F109" s="2" t="s">
        <v>349</v>
      </c>
      <c r="G109" s="2">
        <v>0</v>
      </c>
      <c r="H109" s="2">
        <v>0</v>
      </c>
      <c r="I109" s="1">
        <v>0</v>
      </c>
      <c r="J109" s="3" t="s">
        <v>19</v>
      </c>
      <c r="K109" s="2" t="str">
        <f>J109*30665.00</f>
        <v>0</v>
      </c>
      <c r="L109" s="5"/>
    </row>
    <row r="110" spans="1:12" outlineLevel="5">
      <c r="A110" s="1"/>
      <c r="B110" s="1">
        <v>958754</v>
      </c>
      <c r="C110" s="1" t="s">
        <v>350</v>
      </c>
      <c r="D110" s="1">
        <v>81433</v>
      </c>
      <c r="E110" s="2" t="s">
        <v>351</v>
      </c>
      <c r="F110" s="2" t="s">
        <v>352</v>
      </c>
      <c r="G110" s="2">
        <v>0</v>
      </c>
      <c r="H110" s="2">
        <v>0</v>
      </c>
      <c r="I110" s="1">
        <v>0</v>
      </c>
      <c r="J110" s="3" t="s">
        <v>19</v>
      </c>
      <c r="K110" s="2" t="str">
        <f>J110*36323.00</f>
        <v>0</v>
      </c>
      <c r="L110" s="5"/>
    </row>
    <row r="111" spans="1:12" outlineLevel="5">
      <c r="A111" s="1"/>
      <c r="B111" s="1">
        <v>958755</v>
      </c>
      <c r="C111" s="1" t="s">
        <v>353</v>
      </c>
      <c r="D111" s="1">
        <v>31191</v>
      </c>
      <c r="E111" s="2" t="s">
        <v>354</v>
      </c>
      <c r="F111" s="2" t="s">
        <v>355</v>
      </c>
      <c r="G111" s="2">
        <v>0</v>
      </c>
      <c r="H111" s="2">
        <v>0</v>
      </c>
      <c r="I111" s="1">
        <v>0</v>
      </c>
      <c r="J111" s="3" t="s">
        <v>19</v>
      </c>
      <c r="K111" s="2" t="str">
        <f>J111*33370.00</f>
        <v>0</v>
      </c>
      <c r="L111" s="5"/>
    </row>
    <row r="112" spans="1:12" outlineLevel="5">
      <c r="A112" s="1"/>
      <c r="B112" s="1">
        <v>958756</v>
      </c>
      <c r="C112" s="1" t="s">
        <v>356</v>
      </c>
      <c r="D112" s="1">
        <v>56988</v>
      </c>
      <c r="E112" s="2" t="s">
        <v>357</v>
      </c>
      <c r="F112" s="2" t="s">
        <v>358</v>
      </c>
      <c r="G112" s="2">
        <v>0</v>
      </c>
      <c r="H112" s="2">
        <v>0</v>
      </c>
      <c r="I112" s="1">
        <v>0</v>
      </c>
      <c r="J112" s="3" t="s">
        <v>19</v>
      </c>
      <c r="K112" s="2" t="str">
        <f>J112*27952.00</f>
        <v>0</v>
      </c>
      <c r="L112" s="5"/>
    </row>
    <row r="113" spans="1:12" outlineLevel="5">
      <c r="A113" s="1"/>
      <c r="B113" s="1">
        <v>958757</v>
      </c>
      <c r="C113" s="1" t="s">
        <v>359</v>
      </c>
      <c r="D113" s="1">
        <v>76910</v>
      </c>
      <c r="E113" s="2" t="s">
        <v>360</v>
      </c>
      <c r="F113" s="2" t="s">
        <v>361</v>
      </c>
      <c r="G113" s="2">
        <v>0</v>
      </c>
      <c r="H113" s="2">
        <v>0</v>
      </c>
      <c r="I113" s="1">
        <v>0</v>
      </c>
      <c r="J113" s="3" t="s">
        <v>19</v>
      </c>
      <c r="K113" s="2" t="str">
        <f>J113*35212.00</f>
        <v>0</v>
      </c>
      <c r="L113" s="5"/>
    </row>
    <row r="114" spans="1:12" outlineLevel="5">
      <c r="A114" s="1"/>
      <c r="B114" s="1">
        <v>958758</v>
      </c>
      <c r="C114" s="1" t="s">
        <v>362</v>
      </c>
      <c r="D114" s="1">
        <v>13514</v>
      </c>
      <c r="E114" s="2" t="s">
        <v>363</v>
      </c>
      <c r="F114" s="2" t="s">
        <v>364</v>
      </c>
      <c r="G114" s="2">
        <v>0</v>
      </c>
      <c r="H114" s="2">
        <v>0</v>
      </c>
      <c r="I114" s="1">
        <v>0</v>
      </c>
      <c r="J114" s="3" t="s">
        <v>19</v>
      </c>
      <c r="K114" s="2" t="str">
        <f>J114*31562.00</f>
        <v>0</v>
      </c>
      <c r="L114" s="5"/>
    </row>
    <row r="115" spans="1:12" outlineLevel="5">
      <c r="A115" s="1"/>
      <c r="B115" s="1">
        <v>958759</v>
      </c>
      <c r="C115" s="1" t="s">
        <v>365</v>
      </c>
      <c r="D115" s="1">
        <v>16018</v>
      </c>
      <c r="E115" s="2" t="s">
        <v>366</v>
      </c>
      <c r="F115" s="2" t="s">
        <v>367</v>
      </c>
      <c r="G115" s="2">
        <v>0</v>
      </c>
      <c r="H115" s="2">
        <v>0</v>
      </c>
      <c r="I115" s="1">
        <v>0</v>
      </c>
      <c r="J115" s="3" t="s">
        <v>19</v>
      </c>
      <c r="K115" s="2" t="str">
        <f>J115*32613.00</f>
        <v>0</v>
      </c>
      <c r="L115" s="5"/>
    </row>
    <row r="116" spans="1:12" outlineLevel="5">
      <c r="A116" s="1"/>
      <c r="B116" s="1">
        <v>958760</v>
      </c>
      <c r="C116" s="1" t="s">
        <v>368</v>
      </c>
      <c r="D116" s="1">
        <v>49621</v>
      </c>
      <c r="E116" s="2" t="s">
        <v>369</v>
      </c>
      <c r="F116" s="2" t="s">
        <v>370</v>
      </c>
      <c r="G116" s="2">
        <v>0</v>
      </c>
      <c r="H116" s="2">
        <v>0</v>
      </c>
      <c r="I116" s="1">
        <v>0</v>
      </c>
      <c r="J116" s="3" t="s">
        <v>19</v>
      </c>
      <c r="K116" s="2" t="str">
        <f>J116*36219.00</f>
        <v>0</v>
      </c>
      <c r="L116" s="5"/>
    </row>
    <row r="117" spans="1:12" outlineLevel="5">
      <c r="A117" s="1"/>
      <c r="B117" s="1">
        <v>958761</v>
      </c>
      <c r="C117" s="1" t="s">
        <v>371</v>
      </c>
      <c r="D117" s="1">
        <v>11013</v>
      </c>
      <c r="E117" s="2" t="s">
        <v>372</v>
      </c>
      <c r="F117" s="2" t="s">
        <v>373</v>
      </c>
      <c r="G117" s="2">
        <v>0</v>
      </c>
      <c r="H117" s="2">
        <v>0</v>
      </c>
      <c r="I117" s="1">
        <v>0</v>
      </c>
      <c r="J117" s="3" t="s">
        <v>19</v>
      </c>
      <c r="K117" s="2" t="str">
        <f>J117*38361.00</f>
        <v>0</v>
      </c>
      <c r="L117" s="5"/>
    </row>
    <row r="118" spans="1:12" outlineLevel="5">
      <c r="A118" s="1"/>
      <c r="B118" s="1">
        <v>958762</v>
      </c>
      <c r="C118" s="1" t="s">
        <v>374</v>
      </c>
      <c r="D118" s="1">
        <v>60423</v>
      </c>
      <c r="E118" s="2" t="s">
        <v>375</v>
      </c>
      <c r="F118" s="2" t="s">
        <v>376</v>
      </c>
      <c r="G118" s="2">
        <v>0</v>
      </c>
      <c r="H118" s="2">
        <v>0</v>
      </c>
      <c r="I118" s="1">
        <v>0</v>
      </c>
      <c r="J118" s="3" t="s">
        <v>19</v>
      </c>
      <c r="K118" s="2" t="str">
        <f>J118*39301.00</f>
        <v>0</v>
      </c>
      <c r="L118" s="5"/>
    </row>
    <row r="119" spans="1:12" outlineLevel="5">
      <c r="A119" s="1"/>
      <c r="B119" s="1">
        <v>958763</v>
      </c>
      <c r="C119" s="1" t="s">
        <v>377</v>
      </c>
      <c r="D119" s="1">
        <v>37684</v>
      </c>
      <c r="E119" s="2" t="s">
        <v>378</v>
      </c>
      <c r="F119" s="2" t="s">
        <v>379</v>
      </c>
      <c r="G119" s="2">
        <v>0</v>
      </c>
      <c r="H119" s="2">
        <v>0</v>
      </c>
      <c r="I119" s="1">
        <v>0</v>
      </c>
      <c r="J119" s="3" t="s">
        <v>19</v>
      </c>
      <c r="K119" s="2" t="str">
        <f>J119*46171.00</f>
        <v>0</v>
      </c>
      <c r="L119" s="5"/>
    </row>
    <row r="120" spans="1:12" outlineLevel="5">
      <c r="A120" s="1"/>
      <c r="B120" s="1">
        <v>958764</v>
      </c>
      <c r="C120" s="1" t="s">
        <v>380</v>
      </c>
      <c r="D120" s="1">
        <v>31701</v>
      </c>
      <c r="E120" s="2" t="s">
        <v>381</v>
      </c>
      <c r="F120" s="2" t="s">
        <v>382</v>
      </c>
      <c r="G120" s="2">
        <v>0</v>
      </c>
      <c r="H120" s="2">
        <v>0</v>
      </c>
      <c r="I120" s="1">
        <v>0</v>
      </c>
      <c r="J120" s="3" t="s">
        <v>19</v>
      </c>
      <c r="K120" s="2" t="str">
        <f>J120*52686.00</f>
        <v>0</v>
      </c>
      <c r="L120" s="5"/>
    </row>
    <row r="121" spans="1:12" outlineLevel="5">
      <c r="A121" s="1"/>
      <c r="B121" s="1">
        <v>958765</v>
      </c>
      <c r="C121" s="1" t="s">
        <v>383</v>
      </c>
      <c r="D121" s="1">
        <v>59929</v>
      </c>
      <c r="E121" s="2" t="s">
        <v>384</v>
      </c>
      <c r="F121" s="2" t="s">
        <v>385</v>
      </c>
      <c r="G121" s="2">
        <v>0</v>
      </c>
      <c r="H121" s="2">
        <v>0</v>
      </c>
      <c r="I121" s="1">
        <v>0</v>
      </c>
      <c r="J121" s="3" t="s">
        <v>19</v>
      </c>
      <c r="K121" s="2" t="str">
        <f>J121*49149.00</f>
        <v>0</v>
      </c>
      <c r="L121" s="5"/>
    </row>
    <row r="122" spans="1:12" outlineLevel="5">
      <c r="A122" s="1"/>
      <c r="B122" s="1">
        <v>958766</v>
      </c>
      <c r="C122" s="1" t="s">
        <v>386</v>
      </c>
      <c r="D122" s="1">
        <v>14018</v>
      </c>
      <c r="E122" s="2" t="s">
        <v>387</v>
      </c>
      <c r="F122" s="2" t="s">
        <v>388</v>
      </c>
      <c r="G122" s="2">
        <v>0</v>
      </c>
      <c r="H122" s="2">
        <v>0</v>
      </c>
      <c r="I122" s="1">
        <v>0</v>
      </c>
      <c r="J122" s="3" t="s">
        <v>19</v>
      </c>
      <c r="K122" s="2" t="str">
        <f>J122*55603.00</f>
        <v>0</v>
      </c>
      <c r="L122" s="5"/>
    </row>
    <row r="123" spans="1:12" outlineLevel="5">
      <c r="A123" s="1"/>
      <c r="B123" s="1">
        <v>958767</v>
      </c>
      <c r="C123" s="1" t="s">
        <v>389</v>
      </c>
      <c r="D123" s="1">
        <v>29166</v>
      </c>
      <c r="E123" s="2" t="s">
        <v>390</v>
      </c>
      <c r="F123" s="2" t="s">
        <v>391</v>
      </c>
      <c r="G123" s="2">
        <v>0</v>
      </c>
      <c r="H123" s="2">
        <v>0</v>
      </c>
      <c r="I123" s="1">
        <v>0</v>
      </c>
      <c r="J123" s="3" t="s">
        <v>19</v>
      </c>
      <c r="K123" s="2" t="str">
        <f>J123*70307.00</f>
        <v>0</v>
      </c>
      <c r="L123" s="5"/>
    </row>
    <row r="124" spans="1:12" outlineLevel="2">
      <c r="A124" s="8" t="s">
        <v>392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5"/>
    </row>
    <row r="125" spans="1:12" outlineLevel="3">
      <c r="A125" s="9" t="s">
        <v>393</v>
      </c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5"/>
    </row>
    <row r="126" spans="1:12" customHeight="1" ht="105" outlineLevel="5">
      <c r="A126" s="1"/>
      <c r="B126" s="1">
        <v>837111</v>
      </c>
      <c r="C126" s="1" t="s">
        <v>394</v>
      </c>
      <c r="D126" s="1" t="s">
        <v>395</v>
      </c>
      <c r="E126" s="2" t="s">
        <v>396</v>
      </c>
      <c r="F126" s="2" t="s">
        <v>397</v>
      </c>
      <c r="G126" s="2">
        <v>1</v>
      </c>
      <c r="H126" s="2">
        <v>0</v>
      </c>
      <c r="I126" s="1">
        <v>0</v>
      </c>
      <c r="J126" s="3" t="s">
        <v>19</v>
      </c>
      <c r="K126" s="2" t="str">
        <f>J126*7257.39</f>
        <v>0</v>
      </c>
      <c r="L126" s="5"/>
    </row>
    <row r="127" spans="1:12" customHeight="1" ht="105" outlineLevel="5">
      <c r="A127" s="1"/>
      <c r="B127" s="1">
        <v>837112</v>
      </c>
      <c r="C127" s="1" t="s">
        <v>398</v>
      </c>
      <c r="D127" s="1" t="s">
        <v>399</v>
      </c>
      <c r="E127" s="2" t="s">
        <v>396</v>
      </c>
      <c r="F127" s="2" t="s">
        <v>400</v>
      </c>
      <c r="G127" s="2">
        <v>1</v>
      </c>
      <c r="H127" s="2">
        <v>0</v>
      </c>
      <c r="I127" s="1">
        <v>5</v>
      </c>
      <c r="J127" s="3" t="s">
        <v>19</v>
      </c>
      <c r="K127" s="2" t="str">
        <f>J127*7254.45</f>
        <v>0</v>
      </c>
      <c r="L127" s="5"/>
    </row>
    <row r="128" spans="1:12" customHeight="1" ht="105" outlineLevel="5">
      <c r="A128" s="1"/>
      <c r="B128" s="1">
        <v>837113</v>
      </c>
      <c r="C128" s="1" t="s">
        <v>401</v>
      </c>
      <c r="D128" s="1" t="s">
        <v>402</v>
      </c>
      <c r="E128" s="2" t="s">
        <v>396</v>
      </c>
      <c r="F128" s="2" t="s">
        <v>403</v>
      </c>
      <c r="G128" s="2">
        <v>3</v>
      </c>
      <c r="H128" s="2">
        <v>0</v>
      </c>
      <c r="I128" s="1">
        <v>0</v>
      </c>
      <c r="J128" s="3" t="s">
        <v>19</v>
      </c>
      <c r="K128" s="2" t="str">
        <f>J128*8356.95</f>
        <v>0</v>
      </c>
      <c r="L128" s="5"/>
    </row>
    <row r="129" spans="1:12" customHeight="1" ht="105" outlineLevel="5">
      <c r="A129" s="1"/>
      <c r="B129" s="1">
        <v>954805</v>
      </c>
      <c r="C129" s="1" t="s">
        <v>404</v>
      </c>
      <c r="D129" s="1" t="s">
        <v>405</v>
      </c>
      <c r="E129" s="2" t="s">
        <v>406</v>
      </c>
      <c r="F129" s="2" t="s">
        <v>407</v>
      </c>
      <c r="G129" s="2">
        <v>5</v>
      </c>
      <c r="H129" s="2">
        <v>0</v>
      </c>
      <c r="I129" s="1">
        <v>0</v>
      </c>
      <c r="J129" s="3" t="s">
        <v>19</v>
      </c>
      <c r="K129" s="2" t="str">
        <f>J129*8927.31</f>
        <v>0</v>
      </c>
      <c r="L129" s="5"/>
    </row>
    <row r="130" spans="1:12" customHeight="1" ht="105" outlineLevel="5">
      <c r="A130" s="1"/>
      <c r="B130" s="1">
        <v>954806</v>
      </c>
      <c r="C130" s="1" t="s">
        <v>408</v>
      </c>
      <c r="D130" s="1" t="s">
        <v>409</v>
      </c>
      <c r="E130" s="2" t="s">
        <v>410</v>
      </c>
      <c r="F130" s="2" t="s">
        <v>411</v>
      </c>
      <c r="G130" s="2">
        <v>6</v>
      </c>
      <c r="H130" s="2">
        <v>0</v>
      </c>
      <c r="I130" s="1">
        <v>0</v>
      </c>
      <c r="J130" s="3" t="s">
        <v>19</v>
      </c>
      <c r="K130" s="2" t="str">
        <f>J130*9255.12</f>
        <v>0</v>
      </c>
      <c r="L130" s="5"/>
    </row>
    <row r="131" spans="1:12" customHeight="1" ht="105" outlineLevel="5">
      <c r="A131" s="1"/>
      <c r="B131" s="1">
        <v>954807</v>
      </c>
      <c r="C131" s="1" t="s">
        <v>412</v>
      </c>
      <c r="D131" s="1" t="s">
        <v>413</v>
      </c>
      <c r="E131" s="2" t="s">
        <v>410</v>
      </c>
      <c r="F131" s="2" t="s">
        <v>414</v>
      </c>
      <c r="G131" s="2">
        <v>5</v>
      </c>
      <c r="H131" s="2">
        <v>0</v>
      </c>
      <c r="I131" s="1">
        <v>0</v>
      </c>
      <c r="J131" s="3" t="s">
        <v>19</v>
      </c>
      <c r="K131" s="2" t="str">
        <f>J131*9427.11</f>
        <v>0</v>
      </c>
      <c r="L131" s="5"/>
    </row>
    <row r="132" spans="1:12" customHeight="1" ht="105" outlineLevel="5">
      <c r="A132" s="1"/>
      <c r="B132" s="1">
        <v>954808</v>
      </c>
      <c r="C132" s="1" t="s">
        <v>415</v>
      </c>
      <c r="D132" s="1" t="s">
        <v>416</v>
      </c>
      <c r="E132" s="2" t="s">
        <v>410</v>
      </c>
      <c r="F132" s="2" t="s">
        <v>414</v>
      </c>
      <c r="G132" s="2">
        <v>8</v>
      </c>
      <c r="H132" s="2">
        <v>0</v>
      </c>
      <c r="I132" s="1">
        <v>0</v>
      </c>
      <c r="J132" s="3" t="s">
        <v>19</v>
      </c>
      <c r="K132" s="2" t="str">
        <f>J132*9427.11</f>
        <v>0</v>
      </c>
      <c r="L132" s="5"/>
    </row>
    <row r="133" spans="1:12" outlineLevel="3">
      <c r="A133" s="9" t="s">
        <v>417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5"/>
    </row>
    <row r="134" spans="1:12" customHeight="1" ht="105" outlineLevel="5">
      <c r="A134" s="1"/>
      <c r="B134" s="1">
        <v>882944</v>
      </c>
      <c r="C134" s="1" t="s">
        <v>418</v>
      </c>
      <c r="D134" s="1"/>
      <c r="E134" s="2" t="s">
        <v>419</v>
      </c>
      <c r="F134" s="2" t="s">
        <v>420</v>
      </c>
      <c r="G134" s="2">
        <v>5</v>
      </c>
      <c r="H134" s="2">
        <v>0</v>
      </c>
      <c r="I134" s="1">
        <v>0</v>
      </c>
      <c r="J134" s="3" t="s">
        <v>19</v>
      </c>
      <c r="K134" s="2" t="str">
        <f>J134*7825.94</f>
        <v>0</v>
      </c>
      <c r="L134" s="5"/>
    </row>
    <row r="135" spans="1:12" customHeight="1" ht="105" outlineLevel="5">
      <c r="A135" s="1"/>
      <c r="B135" s="1">
        <v>882945</v>
      </c>
      <c r="C135" s="1" t="s">
        <v>421</v>
      </c>
      <c r="D135" s="1"/>
      <c r="E135" s="2" t="s">
        <v>422</v>
      </c>
      <c r="F135" s="2" t="s">
        <v>423</v>
      </c>
      <c r="G135" s="2">
        <v>2</v>
      </c>
      <c r="H135" s="2">
        <v>0</v>
      </c>
      <c r="I135" s="1">
        <v>0</v>
      </c>
      <c r="J135" s="3" t="s">
        <v>19</v>
      </c>
      <c r="K135" s="2" t="str">
        <f>J135*8070.59</f>
        <v>0</v>
      </c>
      <c r="L135" s="5"/>
    </row>
    <row r="136" spans="1:12" customHeight="1" ht="105" outlineLevel="5">
      <c r="A136" s="1"/>
      <c r="B136" s="1">
        <v>882946</v>
      </c>
      <c r="C136" s="1" t="s">
        <v>424</v>
      </c>
      <c r="D136" s="1"/>
      <c r="E136" s="2" t="s">
        <v>425</v>
      </c>
      <c r="F136" s="2" t="s">
        <v>426</v>
      </c>
      <c r="G136" s="2">
        <v>5</v>
      </c>
      <c r="H136" s="2">
        <v>0</v>
      </c>
      <c r="I136" s="1">
        <v>0</v>
      </c>
      <c r="J136" s="3" t="s">
        <v>19</v>
      </c>
      <c r="K136" s="2" t="str">
        <f>J136*7989.20</f>
        <v>0</v>
      </c>
      <c r="L136" s="5"/>
    </row>
    <row r="137" spans="1:12" customHeight="1" ht="105" outlineLevel="5">
      <c r="A137" s="1"/>
      <c r="B137" s="1">
        <v>882947</v>
      </c>
      <c r="C137" s="1" t="s">
        <v>427</v>
      </c>
      <c r="D137" s="1"/>
      <c r="E137" s="2" t="s">
        <v>428</v>
      </c>
      <c r="F137" s="2" t="s">
        <v>429</v>
      </c>
      <c r="G137" s="2">
        <v>10</v>
      </c>
      <c r="H137" s="2">
        <v>0</v>
      </c>
      <c r="I137" s="1">
        <v>0</v>
      </c>
      <c r="J137" s="3" t="s">
        <v>19</v>
      </c>
      <c r="K137" s="2" t="str">
        <f>J137*8315.02</f>
        <v>0</v>
      </c>
      <c r="L137" s="5"/>
    </row>
    <row r="138" spans="1:12" customHeight="1" ht="105" outlineLevel="5">
      <c r="A138" s="1"/>
      <c r="B138" s="1">
        <v>882948</v>
      </c>
      <c r="C138" s="1" t="s">
        <v>430</v>
      </c>
      <c r="D138" s="1"/>
      <c r="E138" s="2" t="s">
        <v>431</v>
      </c>
      <c r="F138" s="2" t="s">
        <v>432</v>
      </c>
      <c r="G138" s="2">
        <v>4</v>
      </c>
      <c r="H138" s="2">
        <v>0</v>
      </c>
      <c r="I138" s="1">
        <v>0</v>
      </c>
      <c r="J138" s="3" t="s">
        <v>19</v>
      </c>
      <c r="K138" s="2" t="str">
        <f>J138*12391.36</f>
        <v>0</v>
      </c>
      <c r="L138" s="5"/>
    </row>
    <row r="139" spans="1:12" customHeight="1" ht="105" outlineLevel="5">
      <c r="A139" s="1"/>
      <c r="B139" s="1">
        <v>882949</v>
      </c>
      <c r="C139" s="1" t="s">
        <v>433</v>
      </c>
      <c r="D139" s="1"/>
      <c r="E139" s="2" t="s">
        <v>434</v>
      </c>
      <c r="F139" s="2" t="s">
        <v>429</v>
      </c>
      <c r="G139" s="2">
        <v>4</v>
      </c>
      <c r="H139" s="2">
        <v>0</v>
      </c>
      <c r="I139" s="1">
        <v>0</v>
      </c>
      <c r="J139" s="3" t="s">
        <v>19</v>
      </c>
      <c r="K139" s="2" t="str">
        <f>J139*8315.02</f>
        <v>0</v>
      </c>
      <c r="L139" s="5"/>
    </row>
    <row r="140" spans="1:12" customHeight="1" ht="105" outlineLevel="5">
      <c r="A140" s="1"/>
      <c r="B140" s="1">
        <v>882950</v>
      </c>
      <c r="C140" s="1" t="s">
        <v>435</v>
      </c>
      <c r="D140" s="1"/>
      <c r="E140" s="2" t="s">
        <v>436</v>
      </c>
      <c r="F140" s="2" t="s">
        <v>437</v>
      </c>
      <c r="G140" s="2">
        <v>7</v>
      </c>
      <c r="H140" s="2">
        <v>0</v>
      </c>
      <c r="I140" s="1">
        <v>0</v>
      </c>
      <c r="J140" s="3" t="s">
        <v>19</v>
      </c>
      <c r="K140" s="2" t="str">
        <f>J140*8641.30</f>
        <v>0</v>
      </c>
      <c r="L140" s="5"/>
    </row>
    <row r="141" spans="1:12" customHeight="1" ht="105" outlineLevel="5">
      <c r="A141" s="1"/>
      <c r="B141" s="1">
        <v>882951</v>
      </c>
      <c r="C141" s="1" t="s">
        <v>438</v>
      </c>
      <c r="D141" s="1"/>
      <c r="E141" s="2" t="s">
        <v>439</v>
      </c>
      <c r="F141" s="2" t="s">
        <v>440</v>
      </c>
      <c r="G141" s="2">
        <v>6</v>
      </c>
      <c r="H141" s="2">
        <v>0</v>
      </c>
      <c r="I141" s="1">
        <v>0</v>
      </c>
      <c r="J141" s="3" t="s">
        <v>19</v>
      </c>
      <c r="K141" s="2" t="str">
        <f>J141*13288.12</f>
        <v>0</v>
      </c>
      <c r="L141" s="5"/>
    </row>
    <row r="142" spans="1:12" outlineLevel="3">
      <c r="A142" s="9" t="s">
        <v>441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5"/>
    </row>
    <row r="143" spans="1:12" customHeight="1" ht="105" outlineLevel="5">
      <c r="A143" s="1"/>
      <c r="B143" s="1">
        <v>956636</v>
      </c>
      <c r="C143" s="1" t="s">
        <v>442</v>
      </c>
      <c r="D143" s="1" t="s">
        <v>443</v>
      </c>
      <c r="E143" s="2" t="s">
        <v>444</v>
      </c>
      <c r="F143" s="2" t="s">
        <v>445</v>
      </c>
      <c r="G143" s="2">
        <v>4</v>
      </c>
      <c r="H143" s="2">
        <v>0</v>
      </c>
      <c r="I143" s="1">
        <v>0</v>
      </c>
      <c r="J143" s="3" t="s">
        <v>19</v>
      </c>
      <c r="K143" s="2" t="str">
        <f>J143*12322.54</f>
        <v>0</v>
      </c>
      <c r="L143" s="5"/>
    </row>
    <row r="144" spans="1:12" customHeight="1" ht="105" outlineLevel="5">
      <c r="A144" s="1"/>
      <c r="B144" s="1">
        <v>956637</v>
      </c>
      <c r="C144" s="1" t="s">
        <v>446</v>
      </c>
      <c r="D144" s="1" t="s">
        <v>447</v>
      </c>
      <c r="E144" s="2" t="s">
        <v>444</v>
      </c>
      <c r="F144" s="2" t="s">
        <v>448</v>
      </c>
      <c r="G144" s="2">
        <v>4</v>
      </c>
      <c r="H144" s="2">
        <v>0</v>
      </c>
      <c r="I144" s="1">
        <v>0</v>
      </c>
      <c r="J144" s="3" t="s">
        <v>19</v>
      </c>
      <c r="K144" s="2" t="str">
        <f>J144*13150.90</f>
        <v>0</v>
      </c>
      <c r="L144" s="5"/>
    </row>
    <row r="145" spans="1:12" customHeight="1" ht="105" outlineLevel="5">
      <c r="A145" s="1"/>
      <c r="B145" s="1">
        <v>956638</v>
      </c>
      <c r="C145" s="1" t="s">
        <v>449</v>
      </c>
      <c r="D145" s="1" t="s">
        <v>450</v>
      </c>
      <c r="E145" s="2" t="s">
        <v>444</v>
      </c>
      <c r="F145" s="2" t="s">
        <v>451</v>
      </c>
      <c r="G145" s="2">
        <v>4</v>
      </c>
      <c r="H145" s="2">
        <v>0</v>
      </c>
      <c r="I145" s="1">
        <v>0</v>
      </c>
      <c r="J145" s="3" t="s">
        <v>19</v>
      </c>
      <c r="K145" s="2" t="str">
        <f>J145*12945.37</f>
        <v>0</v>
      </c>
      <c r="L145" s="5"/>
    </row>
    <row r="146" spans="1:12" outlineLevel="3">
      <c r="A146" s="9" t="s">
        <v>452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5"/>
    </row>
    <row r="147" spans="1:12" outlineLevel="5">
      <c r="A147" s="1"/>
      <c r="B147" s="1">
        <v>958713</v>
      </c>
      <c r="C147" s="1" t="s">
        <v>453</v>
      </c>
      <c r="D147" s="1">
        <v>65286</v>
      </c>
      <c r="E147" s="2" t="s">
        <v>454</v>
      </c>
      <c r="F147" s="2" t="s">
        <v>455</v>
      </c>
      <c r="G147" s="2">
        <v>0</v>
      </c>
      <c r="H147" s="2">
        <v>0</v>
      </c>
      <c r="I147" s="1">
        <v>0</v>
      </c>
      <c r="J147" s="3" t="s">
        <v>19</v>
      </c>
      <c r="K147" s="2" t="str">
        <f>J147*8914.00</f>
        <v>0</v>
      </c>
      <c r="L147" s="5"/>
    </row>
    <row r="148" spans="1:12" outlineLevel="5">
      <c r="A148" s="1"/>
      <c r="B148" s="1">
        <v>958714</v>
      </c>
      <c r="C148" s="1" t="s">
        <v>456</v>
      </c>
      <c r="D148" s="1">
        <v>89188</v>
      </c>
      <c r="E148" s="2" t="s">
        <v>457</v>
      </c>
      <c r="F148" s="2" t="s">
        <v>455</v>
      </c>
      <c r="G148" s="2">
        <v>0</v>
      </c>
      <c r="H148" s="2">
        <v>0</v>
      </c>
      <c r="I148" s="1">
        <v>0</v>
      </c>
      <c r="J148" s="3" t="s">
        <v>19</v>
      </c>
      <c r="K148" s="2" t="str">
        <f>J148*8914.00</f>
        <v>0</v>
      </c>
      <c r="L148" s="5"/>
    </row>
    <row r="149" spans="1:12" outlineLevel="5">
      <c r="A149" s="1"/>
      <c r="B149" s="1">
        <v>958715</v>
      </c>
      <c r="C149" s="1" t="s">
        <v>458</v>
      </c>
      <c r="D149" s="1">
        <v>24834</v>
      </c>
      <c r="E149" s="2" t="s">
        <v>459</v>
      </c>
      <c r="F149" s="2" t="s">
        <v>460</v>
      </c>
      <c r="G149" s="2">
        <v>0</v>
      </c>
      <c r="H149" s="2">
        <v>0</v>
      </c>
      <c r="I149" s="1">
        <v>0</v>
      </c>
      <c r="J149" s="3" t="s">
        <v>19</v>
      </c>
      <c r="K149" s="2" t="str">
        <f>J149*8939.00</f>
        <v>0</v>
      </c>
      <c r="L149" s="5"/>
    </row>
    <row r="150" spans="1:12" outlineLevel="5">
      <c r="A150" s="1"/>
      <c r="B150" s="1">
        <v>958716</v>
      </c>
      <c r="C150" s="1" t="s">
        <v>461</v>
      </c>
      <c r="D150" s="1">
        <v>71370</v>
      </c>
      <c r="E150" s="2" t="s">
        <v>462</v>
      </c>
      <c r="F150" s="2" t="s">
        <v>463</v>
      </c>
      <c r="G150" s="2">
        <v>0</v>
      </c>
      <c r="H150" s="2">
        <v>0</v>
      </c>
      <c r="I150" s="1">
        <v>0</v>
      </c>
      <c r="J150" s="3" t="s">
        <v>19</v>
      </c>
      <c r="K150" s="2" t="str">
        <f>J150*9805.00</f>
        <v>0</v>
      </c>
      <c r="L150" s="5"/>
    </row>
    <row r="151" spans="1:12" outlineLevel="5">
      <c r="A151" s="1"/>
      <c r="B151" s="1">
        <v>958717</v>
      </c>
      <c r="C151" s="1" t="s">
        <v>464</v>
      </c>
      <c r="D151" s="1">
        <v>57827</v>
      </c>
      <c r="E151" s="2" t="s">
        <v>465</v>
      </c>
      <c r="F151" s="2" t="s">
        <v>466</v>
      </c>
      <c r="G151" s="2">
        <v>0</v>
      </c>
      <c r="H151" s="2">
        <v>0</v>
      </c>
      <c r="I151" s="1">
        <v>0</v>
      </c>
      <c r="J151" s="3" t="s">
        <v>19</v>
      </c>
      <c r="K151" s="2" t="str">
        <f>J151*20350.00</f>
        <v>0</v>
      </c>
      <c r="L151" s="5"/>
    </row>
    <row r="152" spans="1:12" outlineLevel="5">
      <c r="A152" s="1"/>
      <c r="B152" s="1">
        <v>958718</v>
      </c>
      <c r="C152" s="1" t="s">
        <v>467</v>
      </c>
      <c r="D152" s="1">
        <v>46637</v>
      </c>
      <c r="E152" s="2" t="s">
        <v>468</v>
      </c>
      <c r="F152" s="2" t="s">
        <v>469</v>
      </c>
      <c r="G152" s="2">
        <v>0</v>
      </c>
      <c r="H152" s="2">
        <v>0</v>
      </c>
      <c r="I152" s="1">
        <v>0</v>
      </c>
      <c r="J152" s="3" t="s">
        <v>19</v>
      </c>
      <c r="K152" s="2" t="str">
        <f>J152*8676.00</f>
        <v>0</v>
      </c>
      <c r="L152" s="5"/>
    </row>
    <row r="153" spans="1:12" outlineLevel="5">
      <c r="A153" s="1"/>
      <c r="B153" s="1">
        <v>958719</v>
      </c>
      <c r="C153" s="1" t="s">
        <v>470</v>
      </c>
      <c r="D153" s="1">
        <v>12215</v>
      </c>
      <c r="E153" s="2" t="s">
        <v>471</v>
      </c>
      <c r="F153" s="2" t="s">
        <v>472</v>
      </c>
      <c r="G153" s="2">
        <v>0</v>
      </c>
      <c r="H153" s="2">
        <v>0</v>
      </c>
      <c r="I153" s="1">
        <v>0</v>
      </c>
      <c r="J153" s="3" t="s">
        <v>19</v>
      </c>
      <c r="K153" s="2" t="str">
        <f>J153*9207.00</f>
        <v>0</v>
      </c>
      <c r="L153" s="5"/>
    </row>
    <row r="154" spans="1:12" outlineLevel="5">
      <c r="A154" s="1"/>
      <c r="B154" s="1">
        <v>958720</v>
      </c>
      <c r="C154" s="1" t="s">
        <v>473</v>
      </c>
      <c r="D154" s="1">
        <v>37208</v>
      </c>
      <c r="E154" s="2" t="s">
        <v>474</v>
      </c>
      <c r="F154" s="2" t="s">
        <v>466</v>
      </c>
      <c r="G154" s="2">
        <v>0</v>
      </c>
      <c r="H154" s="2">
        <v>0</v>
      </c>
      <c r="I154" s="1">
        <v>0</v>
      </c>
      <c r="J154" s="3" t="s">
        <v>19</v>
      </c>
      <c r="K154" s="2" t="str">
        <f>J154*20350.00</f>
        <v>0</v>
      </c>
      <c r="L154" s="5"/>
    </row>
    <row r="155" spans="1:12" outlineLevel="1">
      <c r="A155" s="7" t="s">
        <v>475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5"/>
    </row>
    <row r="156" spans="1:12" outlineLevel="2">
      <c r="A156" s="8" t="s">
        <v>476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5"/>
    </row>
    <row r="157" spans="1:12" customHeight="1" ht="105" outlineLevel="4">
      <c r="A157" s="1"/>
      <c r="B157" s="1">
        <v>890091</v>
      </c>
      <c r="C157" s="1" t="s">
        <v>477</v>
      </c>
      <c r="D157" s="1" t="s">
        <v>478</v>
      </c>
      <c r="E157" s="2" t="s">
        <v>479</v>
      </c>
      <c r="F157" s="2" t="s">
        <v>480</v>
      </c>
      <c r="G157" s="2">
        <v>1</v>
      </c>
      <c r="H157" s="2" t="s">
        <v>36</v>
      </c>
      <c r="I157" s="1">
        <v>0</v>
      </c>
      <c r="J157" s="3" t="s">
        <v>19</v>
      </c>
      <c r="K157" s="2" t="str">
        <f>J157*3020.00</f>
        <v>0</v>
      </c>
      <c r="L157" s="5"/>
    </row>
    <row r="158" spans="1:12" customHeight="1" ht="105" outlineLevel="4">
      <c r="A158" s="1"/>
      <c r="B158" s="1">
        <v>890092</v>
      </c>
      <c r="C158" s="1" t="s">
        <v>481</v>
      </c>
      <c r="D158" s="1" t="s">
        <v>482</v>
      </c>
      <c r="E158" s="2" t="s">
        <v>483</v>
      </c>
      <c r="F158" s="2" t="s">
        <v>484</v>
      </c>
      <c r="G158" s="2">
        <v>3</v>
      </c>
      <c r="H158" s="2" t="s">
        <v>485</v>
      </c>
      <c r="I158" s="1">
        <v>0</v>
      </c>
      <c r="J158" s="3" t="s">
        <v>19</v>
      </c>
      <c r="K158" s="2" t="str">
        <f>J158*3098.00</f>
        <v>0</v>
      </c>
      <c r="L158" s="5"/>
    </row>
    <row r="159" spans="1:12" customHeight="1" ht="105" outlineLevel="4">
      <c r="A159" s="1"/>
      <c r="B159" s="1">
        <v>822251</v>
      </c>
      <c r="C159" s="1" t="s">
        <v>486</v>
      </c>
      <c r="D159" s="1" t="s">
        <v>487</v>
      </c>
      <c r="E159" s="2" t="s">
        <v>488</v>
      </c>
      <c r="F159" s="2" t="s">
        <v>489</v>
      </c>
      <c r="G159" s="2">
        <v>4</v>
      </c>
      <c r="H159" s="2" t="s">
        <v>36</v>
      </c>
      <c r="I159" s="1">
        <v>0</v>
      </c>
      <c r="J159" s="3" t="s">
        <v>19</v>
      </c>
      <c r="K159" s="2" t="str">
        <f>J159*2828.00</f>
        <v>0</v>
      </c>
      <c r="L159" s="5"/>
    </row>
    <row r="160" spans="1:12" customHeight="1" ht="105" outlineLevel="4">
      <c r="A160" s="1"/>
      <c r="B160" s="1">
        <v>822252</v>
      </c>
      <c r="C160" s="1" t="s">
        <v>490</v>
      </c>
      <c r="D160" s="1" t="s">
        <v>491</v>
      </c>
      <c r="E160" s="2" t="s">
        <v>492</v>
      </c>
      <c r="F160" s="2" t="s">
        <v>493</v>
      </c>
      <c r="G160" s="2" t="s">
        <v>36</v>
      </c>
      <c r="H160" s="2" t="s">
        <v>41</v>
      </c>
      <c r="I160" s="1">
        <v>0</v>
      </c>
      <c r="J160" s="3" t="s">
        <v>19</v>
      </c>
      <c r="K160" s="2" t="str">
        <f>J160*654.00</f>
        <v>0</v>
      </c>
      <c r="L160" s="5"/>
    </row>
    <row r="161" spans="1:12" customHeight="1" ht="105" outlineLevel="4">
      <c r="A161" s="1"/>
      <c r="B161" s="1">
        <v>822253</v>
      </c>
      <c r="C161" s="1" t="s">
        <v>494</v>
      </c>
      <c r="D161" s="1" t="s">
        <v>495</v>
      </c>
      <c r="E161" s="2" t="s">
        <v>496</v>
      </c>
      <c r="F161" s="2" t="s">
        <v>497</v>
      </c>
      <c r="G161" s="2" t="s">
        <v>23</v>
      </c>
      <c r="H161" s="2" t="s">
        <v>18</v>
      </c>
      <c r="I161" s="1">
        <v>0</v>
      </c>
      <c r="J161" s="3" t="s">
        <v>19</v>
      </c>
      <c r="K161" s="2" t="str">
        <f>J161*697.00</f>
        <v>0</v>
      </c>
      <c r="L161" s="5"/>
    </row>
    <row r="162" spans="1:12" customHeight="1" ht="105" outlineLevel="4">
      <c r="A162" s="1"/>
      <c r="B162" s="1">
        <v>825485</v>
      </c>
      <c r="C162" s="1" t="s">
        <v>498</v>
      </c>
      <c r="D162" s="1" t="s">
        <v>499</v>
      </c>
      <c r="E162" s="2" t="s">
        <v>500</v>
      </c>
      <c r="F162" s="2" t="s">
        <v>501</v>
      </c>
      <c r="G162" s="2">
        <v>3</v>
      </c>
      <c r="H162" s="2" t="s">
        <v>36</v>
      </c>
      <c r="I162" s="1">
        <v>0</v>
      </c>
      <c r="J162" s="3" t="s">
        <v>19</v>
      </c>
      <c r="K162" s="2" t="str">
        <f>J162*2555.00</f>
        <v>0</v>
      </c>
      <c r="L162" s="5"/>
    </row>
    <row r="163" spans="1:12" outlineLevel="2">
      <c r="A163" s="8" t="s">
        <v>502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5"/>
    </row>
    <row r="164" spans="1:12" customHeight="1" ht="105" outlineLevel="4">
      <c r="A164" s="1"/>
      <c r="B164" s="1">
        <v>822262</v>
      </c>
      <c r="C164" s="1" t="s">
        <v>503</v>
      </c>
      <c r="D164" s="1"/>
      <c r="E164" s="2" t="s">
        <v>504</v>
      </c>
      <c r="F164" s="2" t="s">
        <v>505</v>
      </c>
      <c r="G164" s="2">
        <v>0</v>
      </c>
      <c r="H164" s="2">
        <v>0</v>
      </c>
      <c r="I164" s="1">
        <v>0</v>
      </c>
      <c r="J164" s="3" t="s">
        <v>19</v>
      </c>
      <c r="K164" s="2" t="str">
        <f>J164*845.41</f>
        <v>0</v>
      </c>
      <c r="L164" s="5"/>
    </row>
    <row r="165" spans="1:12" customHeight="1" ht="105" outlineLevel="4">
      <c r="A165" s="1"/>
      <c r="B165" s="1">
        <v>822263</v>
      </c>
      <c r="C165" s="1" t="s">
        <v>506</v>
      </c>
      <c r="D165" s="1"/>
      <c r="E165" s="2" t="s">
        <v>507</v>
      </c>
      <c r="F165" s="2" t="s">
        <v>508</v>
      </c>
      <c r="G165" s="2">
        <v>3</v>
      </c>
      <c r="H165" s="2">
        <v>0</v>
      </c>
      <c r="I165" s="1">
        <v>0</v>
      </c>
      <c r="J165" s="3" t="s">
        <v>19</v>
      </c>
      <c r="K165" s="2" t="str">
        <f>J165*1529.83</f>
        <v>0</v>
      </c>
      <c r="L165" s="5"/>
    </row>
    <row r="166" spans="1:12" customHeight="1" ht="105" outlineLevel="4">
      <c r="A166" s="1"/>
      <c r="B166" s="1">
        <v>826217</v>
      </c>
      <c r="C166" s="1" t="s">
        <v>509</v>
      </c>
      <c r="D166" s="1"/>
      <c r="E166" s="2" t="s">
        <v>510</v>
      </c>
      <c r="F166" s="2" t="s">
        <v>511</v>
      </c>
      <c r="G166" s="2">
        <v>0</v>
      </c>
      <c r="H166" s="2">
        <v>0</v>
      </c>
      <c r="I166" s="1">
        <v>0</v>
      </c>
      <c r="J166" s="3" t="s">
        <v>19</v>
      </c>
      <c r="K166" s="2" t="str">
        <f>J166*1264.29</f>
        <v>0</v>
      </c>
      <c r="L166" s="5"/>
    </row>
    <row r="167" spans="1:12" customHeight="1" ht="105" outlineLevel="4">
      <c r="A167" s="1"/>
      <c r="B167" s="1">
        <v>826218</v>
      </c>
      <c r="C167" s="1" t="s">
        <v>512</v>
      </c>
      <c r="D167" s="1"/>
      <c r="E167" s="2" t="s">
        <v>513</v>
      </c>
      <c r="F167" s="2" t="s">
        <v>514</v>
      </c>
      <c r="G167" s="2">
        <v>0</v>
      </c>
      <c r="H167" s="2">
        <v>0</v>
      </c>
      <c r="I167" s="1">
        <v>0</v>
      </c>
      <c r="J167" s="3" t="s">
        <v>19</v>
      </c>
      <c r="K167" s="2" t="str">
        <f>J167*1276.36</f>
        <v>0</v>
      </c>
      <c r="L167" s="5"/>
    </row>
    <row r="168" spans="1:12" customHeight="1" ht="105" outlineLevel="4">
      <c r="A168" s="1"/>
      <c r="B168" s="1">
        <v>826219</v>
      </c>
      <c r="C168" s="1" t="s">
        <v>515</v>
      </c>
      <c r="D168" s="1"/>
      <c r="E168" s="2" t="s">
        <v>516</v>
      </c>
      <c r="F168" s="2" t="s">
        <v>517</v>
      </c>
      <c r="G168" s="2">
        <v>0</v>
      </c>
      <c r="H168" s="2">
        <v>0</v>
      </c>
      <c r="I168" s="1">
        <v>0</v>
      </c>
      <c r="J168" s="3" t="s">
        <v>19</v>
      </c>
      <c r="K168" s="2" t="str">
        <f>J168*1780.24</f>
        <v>0</v>
      </c>
      <c r="L168" s="5"/>
    </row>
    <row r="169" spans="1:12" customHeight="1" ht="105" outlineLevel="4">
      <c r="A169" s="1"/>
      <c r="B169" s="1">
        <v>826220</v>
      </c>
      <c r="C169" s="1" t="s">
        <v>518</v>
      </c>
      <c r="D169" s="1"/>
      <c r="E169" s="2" t="s">
        <v>519</v>
      </c>
      <c r="F169" s="2" t="s">
        <v>520</v>
      </c>
      <c r="G169" s="2">
        <v>0</v>
      </c>
      <c r="H169" s="2">
        <v>0</v>
      </c>
      <c r="I169" s="1">
        <v>0</v>
      </c>
      <c r="J169" s="3" t="s">
        <v>19</v>
      </c>
      <c r="K169" s="2" t="str">
        <f>J169*1118.94</f>
        <v>0</v>
      </c>
      <c r="L169" s="5"/>
    </row>
    <row r="170" spans="1:12" customHeight="1" ht="105" outlineLevel="4">
      <c r="A170" s="1"/>
      <c r="B170" s="1">
        <v>826221</v>
      </c>
      <c r="C170" s="1" t="s">
        <v>521</v>
      </c>
      <c r="D170" s="1"/>
      <c r="E170" s="2" t="s">
        <v>522</v>
      </c>
      <c r="F170" s="2" t="s">
        <v>523</v>
      </c>
      <c r="G170" s="2">
        <v>0</v>
      </c>
      <c r="H170" s="2">
        <v>0</v>
      </c>
      <c r="I170" s="1">
        <v>0</v>
      </c>
      <c r="J170" s="3" t="s">
        <v>19</v>
      </c>
      <c r="K170" s="2" t="str">
        <f>J170*0.00</f>
        <v>0</v>
      </c>
      <c r="L170" s="5"/>
    </row>
    <row r="171" spans="1:12" customHeight="1" ht="105" outlineLevel="4">
      <c r="A171" s="1"/>
      <c r="B171" s="1">
        <v>826222</v>
      </c>
      <c r="C171" s="1" t="s">
        <v>524</v>
      </c>
      <c r="D171" s="1"/>
      <c r="E171" s="2" t="s">
        <v>525</v>
      </c>
      <c r="F171" s="2" t="s">
        <v>526</v>
      </c>
      <c r="G171" s="2">
        <v>0</v>
      </c>
      <c r="H171" s="2">
        <v>0</v>
      </c>
      <c r="I171" s="1">
        <v>0</v>
      </c>
      <c r="J171" s="3" t="s">
        <v>19</v>
      </c>
      <c r="K171" s="2" t="str">
        <f>J171*1234.54</f>
        <v>0</v>
      </c>
      <c r="L171" s="5"/>
    </row>
    <row r="172" spans="1:12" customHeight="1" ht="105" outlineLevel="4">
      <c r="A172" s="1"/>
      <c r="B172" s="1">
        <v>826223</v>
      </c>
      <c r="C172" s="1" t="s">
        <v>527</v>
      </c>
      <c r="D172" s="1"/>
      <c r="E172" s="2" t="s">
        <v>528</v>
      </c>
      <c r="F172" s="2" t="s">
        <v>529</v>
      </c>
      <c r="G172" s="2">
        <v>0</v>
      </c>
      <c r="H172" s="2">
        <v>0</v>
      </c>
      <c r="I172" s="1">
        <v>0</v>
      </c>
      <c r="J172" s="3" t="s">
        <v>19</v>
      </c>
      <c r="K172" s="2" t="str">
        <f>J172*1109.42</f>
        <v>0</v>
      </c>
      <c r="L172" s="5"/>
    </row>
    <row r="173" spans="1:12" customHeight="1" ht="105" outlineLevel="4">
      <c r="A173" s="1"/>
      <c r="B173" s="1">
        <v>826224</v>
      </c>
      <c r="C173" s="1" t="s">
        <v>530</v>
      </c>
      <c r="D173" s="1"/>
      <c r="E173" s="2" t="s">
        <v>531</v>
      </c>
      <c r="F173" s="2" t="s">
        <v>532</v>
      </c>
      <c r="G173" s="2">
        <v>0</v>
      </c>
      <c r="H173" s="2">
        <v>0</v>
      </c>
      <c r="I173" s="1">
        <v>0</v>
      </c>
      <c r="J173" s="3" t="s">
        <v>19</v>
      </c>
      <c r="K173" s="2" t="str">
        <f>J173*918.51</f>
        <v>0</v>
      </c>
      <c r="L173" s="5"/>
    </row>
    <row r="174" spans="1:12" customHeight="1" ht="105" outlineLevel="4">
      <c r="A174" s="1"/>
      <c r="B174" s="1">
        <v>826225</v>
      </c>
      <c r="C174" s="1" t="s">
        <v>533</v>
      </c>
      <c r="D174" s="1"/>
      <c r="E174" s="2" t="s">
        <v>534</v>
      </c>
      <c r="F174" s="2" t="s">
        <v>535</v>
      </c>
      <c r="G174" s="2">
        <v>0</v>
      </c>
      <c r="H174" s="2">
        <v>0</v>
      </c>
      <c r="I174" s="1">
        <v>0</v>
      </c>
      <c r="J174" s="3" t="s">
        <v>19</v>
      </c>
      <c r="K174" s="2" t="str">
        <f>J174*1017.28</f>
        <v>0</v>
      </c>
      <c r="L174" s="5"/>
    </row>
    <row r="175" spans="1:12" customHeight="1" ht="105" outlineLevel="4">
      <c r="A175" s="1"/>
      <c r="B175" s="1">
        <v>826226</v>
      </c>
      <c r="C175" s="1" t="s">
        <v>536</v>
      </c>
      <c r="D175" s="1"/>
      <c r="E175" s="2" t="s">
        <v>537</v>
      </c>
      <c r="F175" s="2" t="s">
        <v>538</v>
      </c>
      <c r="G175" s="2">
        <v>0</v>
      </c>
      <c r="H175" s="2">
        <v>0</v>
      </c>
      <c r="I175" s="1">
        <v>0</v>
      </c>
      <c r="J175" s="3" t="s">
        <v>19</v>
      </c>
      <c r="K175" s="2" t="str">
        <f>J175*1417.46</f>
        <v>0</v>
      </c>
      <c r="L175" s="5"/>
    </row>
    <row r="176" spans="1:12" customHeight="1" ht="105" outlineLevel="4">
      <c r="A176" s="1"/>
      <c r="B176" s="1">
        <v>826227</v>
      </c>
      <c r="C176" s="1" t="s">
        <v>539</v>
      </c>
      <c r="D176" s="1"/>
      <c r="E176" s="2" t="s">
        <v>540</v>
      </c>
      <c r="F176" s="2" t="s">
        <v>541</v>
      </c>
      <c r="G176" s="2">
        <v>0</v>
      </c>
      <c r="H176" s="2">
        <v>0</v>
      </c>
      <c r="I176" s="1">
        <v>0</v>
      </c>
      <c r="J176" s="3" t="s">
        <v>19</v>
      </c>
      <c r="K176" s="2" t="str">
        <f>J176*6650.74</f>
        <v>0</v>
      </c>
      <c r="L176" s="5"/>
    </row>
    <row r="177" spans="1:12" customHeight="1" ht="105" outlineLevel="4">
      <c r="A177" s="1"/>
      <c r="B177" s="1">
        <v>826228</v>
      </c>
      <c r="C177" s="1" t="s">
        <v>542</v>
      </c>
      <c r="D177" s="1"/>
      <c r="E177" s="2" t="s">
        <v>543</v>
      </c>
      <c r="F177" s="2" t="s">
        <v>544</v>
      </c>
      <c r="G177" s="2">
        <v>0</v>
      </c>
      <c r="H177" s="2">
        <v>0</v>
      </c>
      <c r="I177" s="1">
        <v>0</v>
      </c>
      <c r="J177" s="3" t="s">
        <v>19</v>
      </c>
      <c r="K177" s="2" t="str">
        <f>J177*4651.18</f>
        <v>0</v>
      </c>
      <c r="L177" s="5"/>
    </row>
    <row r="178" spans="1:12" customHeight="1" ht="105" outlineLevel="4">
      <c r="A178" s="1"/>
      <c r="B178" s="1">
        <v>826229</v>
      </c>
      <c r="C178" s="1" t="s">
        <v>545</v>
      </c>
      <c r="D178" s="1"/>
      <c r="E178" s="2" t="s">
        <v>546</v>
      </c>
      <c r="F178" s="2" t="s">
        <v>547</v>
      </c>
      <c r="G178" s="2">
        <v>0</v>
      </c>
      <c r="H178" s="2">
        <v>0</v>
      </c>
      <c r="I178" s="1">
        <v>0</v>
      </c>
      <c r="J178" s="3" t="s">
        <v>19</v>
      </c>
      <c r="K178" s="2" t="str">
        <f>J178*4137.12</f>
        <v>0</v>
      </c>
      <c r="L178" s="5"/>
    </row>
    <row r="179" spans="1:12" customHeight="1" ht="105" outlineLevel="4">
      <c r="A179" s="1"/>
      <c r="B179" s="1">
        <v>826230</v>
      </c>
      <c r="C179" s="1" t="s">
        <v>548</v>
      </c>
      <c r="D179" s="1"/>
      <c r="E179" s="2" t="s">
        <v>549</v>
      </c>
      <c r="F179" s="2" t="s">
        <v>550</v>
      </c>
      <c r="G179" s="2">
        <v>0</v>
      </c>
      <c r="H179" s="2">
        <v>0</v>
      </c>
      <c r="I179" s="1">
        <v>0</v>
      </c>
      <c r="J179" s="3" t="s">
        <v>19</v>
      </c>
      <c r="K179" s="2" t="str">
        <f>J179*1067.77</f>
        <v>0</v>
      </c>
      <c r="L179" s="5"/>
    </row>
    <row r="180" spans="1:12" customHeight="1" ht="105" outlineLevel="4">
      <c r="A180" s="1"/>
      <c r="B180" s="1">
        <v>826231</v>
      </c>
      <c r="C180" s="1" t="s">
        <v>551</v>
      </c>
      <c r="D180" s="1"/>
      <c r="E180" s="2" t="s">
        <v>552</v>
      </c>
      <c r="F180" s="2" t="s">
        <v>553</v>
      </c>
      <c r="G180" s="2">
        <v>0</v>
      </c>
      <c r="H180" s="2">
        <v>0</v>
      </c>
      <c r="I180" s="1">
        <v>0</v>
      </c>
      <c r="J180" s="3" t="s">
        <v>19</v>
      </c>
      <c r="K180" s="2" t="str">
        <f>J180*3381.30</f>
        <v>0</v>
      </c>
      <c r="L180" s="5"/>
    </row>
    <row r="181" spans="1:12" customHeight="1" ht="105" outlineLevel="4">
      <c r="A181" s="1"/>
      <c r="B181" s="1">
        <v>826232</v>
      </c>
      <c r="C181" s="1" t="s">
        <v>554</v>
      </c>
      <c r="D181" s="1"/>
      <c r="E181" s="2" t="s">
        <v>555</v>
      </c>
      <c r="F181" s="2" t="s">
        <v>556</v>
      </c>
      <c r="G181" s="2">
        <v>0</v>
      </c>
      <c r="H181" s="2">
        <v>0</v>
      </c>
      <c r="I181" s="1">
        <v>0</v>
      </c>
      <c r="J181" s="3" t="s">
        <v>19</v>
      </c>
      <c r="K181" s="2" t="str">
        <f>J181*1957.72</f>
        <v>0</v>
      </c>
      <c r="L181" s="5"/>
    </row>
    <row r="182" spans="1:12" outlineLevel="2">
      <c r="A182" s="8" t="s">
        <v>557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5"/>
    </row>
    <row r="183" spans="1:12" outlineLevel="3">
      <c r="A183" s="9" t="s">
        <v>558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5"/>
    </row>
    <row r="184" spans="1:12" customHeight="1" ht="105" outlineLevel="5">
      <c r="A184" s="1"/>
      <c r="B184" s="1">
        <v>822255</v>
      </c>
      <c r="C184" s="1" t="s">
        <v>559</v>
      </c>
      <c r="D184" s="1" t="s">
        <v>560</v>
      </c>
      <c r="E184" s="2" t="s">
        <v>561</v>
      </c>
      <c r="F184" s="2" t="s">
        <v>562</v>
      </c>
      <c r="G184" s="2">
        <v>7</v>
      </c>
      <c r="H184" s="2">
        <v>0</v>
      </c>
      <c r="I184" s="1">
        <v>0</v>
      </c>
      <c r="J184" s="3" t="s">
        <v>19</v>
      </c>
      <c r="K184" s="2" t="str">
        <f>J184*2162.37</f>
        <v>0</v>
      </c>
      <c r="L184" s="5"/>
    </row>
    <row r="185" spans="1:12" customHeight="1" ht="105" outlineLevel="5">
      <c r="A185" s="1"/>
      <c r="B185" s="1">
        <v>822256</v>
      </c>
      <c r="C185" s="1" t="s">
        <v>563</v>
      </c>
      <c r="D185" s="1" t="s">
        <v>564</v>
      </c>
      <c r="E185" s="2" t="s">
        <v>565</v>
      </c>
      <c r="F185" s="2" t="s">
        <v>566</v>
      </c>
      <c r="G185" s="2">
        <v>3</v>
      </c>
      <c r="H185" s="2">
        <v>0</v>
      </c>
      <c r="I185" s="1">
        <v>0</v>
      </c>
      <c r="J185" s="3" t="s">
        <v>19</v>
      </c>
      <c r="K185" s="2" t="str">
        <f>J185*1880.13</f>
        <v>0</v>
      </c>
      <c r="L185" s="5"/>
    </row>
    <row r="186" spans="1:12" customHeight="1" ht="105" outlineLevel="5">
      <c r="A186" s="1"/>
      <c r="B186" s="1">
        <v>822261</v>
      </c>
      <c r="C186" s="1" t="s">
        <v>567</v>
      </c>
      <c r="D186" s="1" t="s">
        <v>568</v>
      </c>
      <c r="E186" s="2" t="s">
        <v>569</v>
      </c>
      <c r="F186" s="2" t="s">
        <v>570</v>
      </c>
      <c r="G186" s="2">
        <v>3</v>
      </c>
      <c r="H186" s="2">
        <v>0</v>
      </c>
      <c r="I186" s="1">
        <v>0</v>
      </c>
      <c r="J186" s="3" t="s">
        <v>19</v>
      </c>
      <c r="K186" s="2" t="str">
        <f>J186*2000.67</f>
        <v>0</v>
      </c>
      <c r="L186" s="5"/>
    </row>
    <row r="187" spans="1:12" customHeight="1" ht="105" outlineLevel="5">
      <c r="A187" s="1"/>
      <c r="B187" s="1">
        <v>825019</v>
      </c>
      <c r="C187" s="1" t="s">
        <v>571</v>
      </c>
      <c r="D187" s="1" t="s">
        <v>572</v>
      </c>
      <c r="E187" s="2" t="s">
        <v>573</v>
      </c>
      <c r="F187" s="2" t="s">
        <v>574</v>
      </c>
      <c r="G187" s="2">
        <v>5</v>
      </c>
      <c r="H187" s="2">
        <v>0</v>
      </c>
      <c r="I187" s="1">
        <v>0</v>
      </c>
      <c r="J187" s="3" t="s">
        <v>19</v>
      </c>
      <c r="K187" s="2" t="str">
        <f>J187*2213.82</f>
        <v>0</v>
      </c>
      <c r="L187" s="5"/>
    </row>
    <row r="188" spans="1:12" outlineLevel="3">
      <c r="A188" s="9" t="s">
        <v>575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5"/>
    </row>
    <row r="189" spans="1:12" customHeight="1" ht="105" outlineLevel="5">
      <c r="A189" s="1"/>
      <c r="B189" s="1">
        <v>879962</v>
      </c>
      <c r="C189" s="1" t="s">
        <v>576</v>
      </c>
      <c r="D189" s="1" t="s">
        <v>577</v>
      </c>
      <c r="E189" s="2" t="s">
        <v>578</v>
      </c>
      <c r="F189" s="2" t="s">
        <v>579</v>
      </c>
      <c r="G189" s="2">
        <v>3</v>
      </c>
      <c r="H189" s="2">
        <v>0</v>
      </c>
      <c r="I189" s="1">
        <v>0</v>
      </c>
      <c r="J189" s="3" t="s">
        <v>19</v>
      </c>
      <c r="K189" s="2" t="str">
        <f>J189*3777.90</f>
        <v>0</v>
      </c>
      <c r="L189" s="5"/>
    </row>
    <row r="190" spans="1:12" customHeight="1" ht="105" outlineLevel="5">
      <c r="A190" s="1"/>
      <c r="B190" s="1">
        <v>882873</v>
      </c>
      <c r="C190" s="1" t="s">
        <v>580</v>
      </c>
      <c r="D190" s="1" t="s">
        <v>581</v>
      </c>
      <c r="E190" s="2" t="s">
        <v>582</v>
      </c>
      <c r="F190" s="2" t="s">
        <v>583</v>
      </c>
      <c r="G190" s="2" t="s">
        <v>23</v>
      </c>
      <c r="H190" s="2">
        <v>0</v>
      </c>
      <c r="I190" s="1">
        <v>0</v>
      </c>
      <c r="J190" s="3" t="s">
        <v>19</v>
      </c>
      <c r="K190" s="2" t="str">
        <f>J190*2922.36</f>
        <v>0</v>
      </c>
      <c r="L190" s="5"/>
    </row>
    <row r="191" spans="1:12" customHeight="1" ht="105" outlineLevel="5">
      <c r="A191" s="1"/>
      <c r="B191" s="1">
        <v>882874</v>
      </c>
      <c r="C191" s="1" t="s">
        <v>584</v>
      </c>
      <c r="D191" s="1" t="s">
        <v>585</v>
      </c>
      <c r="E191" s="2" t="s">
        <v>586</v>
      </c>
      <c r="F191" s="2" t="s">
        <v>583</v>
      </c>
      <c r="G191" s="2" t="s">
        <v>485</v>
      </c>
      <c r="H191" s="2">
        <v>0</v>
      </c>
      <c r="I191" s="1">
        <v>0</v>
      </c>
      <c r="J191" s="3" t="s">
        <v>19</v>
      </c>
      <c r="K191" s="2" t="str">
        <f>J191*2922.36</f>
        <v>0</v>
      </c>
      <c r="L191" s="5"/>
    </row>
    <row r="192" spans="1:12" customHeight="1" ht="105" outlineLevel="5">
      <c r="A192" s="1"/>
      <c r="B192" s="1">
        <v>882096</v>
      </c>
      <c r="C192" s="1" t="s">
        <v>587</v>
      </c>
      <c r="D192" s="1" t="s">
        <v>588</v>
      </c>
      <c r="E192" s="2" t="s">
        <v>589</v>
      </c>
      <c r="F192" s="2" t="s">
        <v>590</v>
      </c>
      <c r="G192" s="2">
        <v>4</v>
      </c>
      <c r="H192" s="2">
        <v>0</v>
      </c>
      <c r="I192" s="1">
        <v>0</v>
      </c>
      <c r="J192" s="3" t="s">
        <v>19</v>
      </c>
      <c r="K192" s="2" t="str">
        <f>J192*665.91</f>
        <v>0</v>
      </c>
      <c r="L192" s="5"/>
    </row>
    <row r="193" spans="1:12" outlineLevel="3">
      <c r="A193" s="9" t="s">
        <v>591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5"/>
    </row>
    <row r="194" spans="1:12" customHeight="1" ht="105" outlineLevel="5">
      <c r="A194" s="1"/>
      <c r="B194" s="1">
        <v>822257</v>
      </c>
      <c r="C194" s="1" t="s">
        <v>592</v>
      </c>
      <c r="D194" s="1" t="s">
        <v>593</v>
      </c>
      <c r="E194" s="2" t="s">
        <v>594</v>
      </c>
      <c r="F194" s="2" t="s">
        <v>595</v>
      </c>
      <c r="G194" s="2">
        <v>0</v>
      </c>
      <c r="H194" s="2">
        <v>0</v>
      </c>
      <c r="I194" s="1">
        <v>0</v>
      </c>
      <c r="J194" s="3" t="s">
        <v>19</v>
      </c>
      <c r="K194" s="2" t="str">
        <f>J194*711.48</f>
        <v>0</v>
      </c>
      <c r="L194" s="5"/>
    </row>
    <row r="195" spans="1:12" outlineLevel="3">
      <c r="A195" s="9" t="s">
        <v>596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5"/>
    </row>
    <row r="196" spans="1:12" customHeight="1" ht="105" outlineLevel="5">
      <c r="A196" s="1"/>
      <c r="B196" s="1">
        <v>822254</v>
      </c>
      <c r="C196" s="1" t="s">
        <v>597</v>
      </c>
      <c r="D196" s="1" t="s">
        <v>598</v>
      </c>
      <c r="E196" s="2" t="s">
        <v>599</v>
      </c>
      <c r="F196" s="2" t="s">
        <v>600</v>
      </c>
      <c r="G196" s="2" t="s">
        <v>485</v>
      </c>
      <c r="H196" s="2">
        <v>0</v>
      </c>
      <c r="I196" s="1">
        <v>0</v>
      </c>
      <c r="J196" s="3" t="s">
        <v>19</v>
      </c>
      <c r="K196" s="2" t="str">
        <f>J196*377.79</f>
        <v>0</v>
      </c>
      <c r="L196" s="5"/>
    </row>
    <row r="197" spans="1:12" customHeight="1" ht="105" outlineLevel="5">
      <c r="A197" s="1"/>
      <c r="B197" s="1">
        <v>822258</v>
      </c>
      <c r="C197" s="1" t="s">
        <v>601</v>
      </c>
      <c r="D197" s="1" t="s">
        <v>602</v>
      </c>
      <c r="E197" s="2" t="s">
        <v>603</v>
      </c>
      <c r="F197" s="2" t="s">
        <v>604</v>
      </c>
      <c r="G197" s="2" t="s">
        <v>23</v>
      </c>
      <c r="H197" s="2">
        <v>0</v>
      </c>
      <c r="I197" s="1">
        <v>0</v>
      </c>
      <c r="J197" s="3" t="s">
        <v>19</v>
      </c>
      <c r="K197" s="2" t="str">
        <f>J197*515.97</f>
        <v>0</v>
      </c>
      <c r="L197" s="5"/>
    </row>
    <row r="198" spans="1:12" customHeight="1" ht="105" outlineLevel="5">
      <c r="A198" s="1"/>
      <c r="B198" s="1">
        <v>822259</v>
      </c>
      <c r="C198" s="1" t="s">
        <v>605</v>
      </c>
      <c r="D198" s="1" t="s">
        <v>606</v>
      </c>
      <c r="E198" s="2" t="s">
        <v>607</v>
      </c>
      <c r="F198" s="2" t="s">
        <v>608</v>
      </c>
      <c r="G198" s="2">
        <v>0</v>
      </c>
      <c r="H198" s="2">
        <v>0</v>
      </c>
      <c r="I198" s="1">
        <v>0</v>
      </c>
      <c r="J198" s="3" t="s">
        <v>19</v>
      </c>
      <c r="K198" s="2" t="str">
        <f>J198*460.11</f>
        <v>0</v>
      </c>
      <c r="L198" s="5"/>
    </row>
    <row r="199" spans="1:12" customHeight="1" ht="105" outlineLevel="5">
      <c r="A199" s="1"/>
      <c r="B199" s="1">
        <v>822260</v>
      </c>
      <c r="C199" s="1" t="s">
        <v>609</v>
      </c>
      <c r="D199" s="1" t="s">
        <v>610</v>
      </c>
      <c r="E199" s="2" t="s">
        <v>611</v>
      </c>
      <c r="F199" s="2" t="s">
        <v>612</v>
      </c>
      <c r="G199" s="2">
        <v>2</v>
      </c>
      <c r="H199" s="2">
        <v>0</v>
      </c>
      <c r="I199" s="1">
        <v>0</v>
      </c>
      <c r="J199" s="3" t="s">
        <v>19</v>
      </c>
      <c r="K199" s="2" t="str">
        <f>J199*820.26</f>
        <v>0</v>
      </c>
      <c r="L199" s="5"/>
    </row>
    <row r="200" spans="1:12" customHeight="1" ht="105" outlineLevel="5">
      <c r="A200" s="1"/>
      <c r="B200" s="1">
        <v>825408</v>
      </c>
      <c r="C200" s="1" t="s">
        <v>613</v>
      </c>
      <c r="D200" s="1" t="s">
        <v>614</v>
      </c>
      <c r="E200" s="2" t="s">
        <v>615</v>
      </c>
      <c r="F200" s="2" t="s">
        <v>616</v>
      </c>
      <c r="G200" s="2">
        <v>0</v>
      </c>
      <c r="H200" s="2">
        <v>0</v>
      </c>
      <c r="I200" s="1">
        <v>0</v>
      </c>
      <c r="J200" s="3" t="s">
        <v>19</v>
      </c>
      <c r="K200" s="2" t="str">
        <f>J200*463.05</f>
        <v>0</v>
      </c>
      <c r="L200" s="5"/>
    </row>
    <row r="201" spans="1:12" outlineLevel="2">
      <c r="A201" s="8" t="s">
        <v>617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5"/>
    </row>
    <row r="202" spans="1:12" outlineLevel="3">
      <c r="A202" s="9" t="s">
        <v>558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5"/>
    </row>
    <row r="203" spans="1:12" customHeight="1" ht="105" outlineLevel="5">
      <c r="A203" s="1"/>
      <c r="B203" s="1">
        <v>833412</v>
      </c>
      <c r="C203" s="1" t="s">
        <v>618</v>
      </c>
      <c r="D203" s="1" t="s">
        <v>619</v>
      </c>
      <c r="E203" s="2" t="s">
        <v>620</v>
      </c>
      <c r="F203" s="2" t="s">
        <v>621</v>
      </c>
      <c r="G203" s="2">
        <v>8</v>
      </c>
      <c r="H203" s="2">
        <v>0</v>
      </c>
      <c r="I203" s="1">
        <v>0</v>
      </c>
      <c r="J203" s="3" t="s">
        <v>19</v>
      </c>
      <c r="K203" s="2" t="str">
        <f>J203*2562.15</f>
        <v>0</v>
      </c>
      <c r="L203" s="5"/>
    </row>
    <row r="204" spans="1:12" customHeight="1" ht="105" outlineLevel="5">
      <c r="A204" s="1"/>
      <c r="B204" s="1">
        <v>833413</v>
      </c>
      <c r="C204" s="1" t="s">
        <v>622</v>
      </c>
      <c r="D204" s="1" t="s">
        <v>623</v>
      </c>
      <c r="E204" s="2" t="s">
        <v>624</v>
      </c>
      <c r="F204" s="2" t="s">
        <v>625</v>
      </c>
      <c r="G204" s="2">
        <v>10</v>
      </c>
      <c r="H204" s="2">
        <v>0</v>
      </c>
      <c r="I204" s="1">
        <v>0</v>
      </c>
      <c r="J204" s="3" t="s">
        <v>19</v>
      </c>
      <c r="K204" s="2" t="str">
        <f>J204*2838.41</f>
        <v>0</v>
      </c>
      <c r="L204" s="5"/>
    </row>
    <row r="205" spans="1:12" customHeight="1" ht="105" outlineLevel="5">
      <c r="A205" s="1"/>
      <c r="B205" s="1">
        <v>833414</v>
      </c>
      <c r="C205" s="1" t="s">
        <v>626</v>
      </c>
      <c r="D205" s="1" t="s">
        <v>627</v>
      </c>
      <c r="E205" s="2" t="s">
        <v>628</v>
      </c>
      <c r="F205" s="2" t="s">
        <v>629</v>
      </c>
      <c r="G205" s="2">
        <v>10</v>
      </c>
      <c r="H205" s="2">
        <v>0</v>
      </c>
      <c r="I205" s="1">
        <v>0</v>
      </c>
      <c r="J205" s="3" t="s">
        <v>19</v>
      </c>
      <c r="K205" s="2" t="str">
        <f>J205*2848.56</f>
        <v>0</v>
      </c>
      <c r="L205" s="5"/>
    </row>
    <row r="206" spans="1:12" customHeight="1" ht="105" outlineLevel="5">
      <c r="A206" s="1"/>
      <c r="B206" s="1">
        <v>833416</v>
      </c>
      <c r="C206" s="1" t="s">
        <v>630</v>
      </c>
      <c r="D206" s="1" t="s">
        <v>631</v>
      </c>
      <c r="E206" s="2" t="s">
        <v>632</v>
      </c>
      <c r="F206" s="2" t="s">
        <v>633</v>
      </c>
      <c r="G206" s="2" t="s">
        <v>23</v>
      </c>
      <c r="H206" s="2">
        <v>0</v>
      </c>
      <c r="I206" s="1">
        <v>0</v>
      </c>
      <c r="J206" s="3" t="s">
        <v>19</v>
      </c>
      <c r="K206" s="2" t="str">
        <f>J206*3164.40</f>
        <v>0</v>
      </c>
      <c r="L206" s="5"/>
    </row>
    <row r="207" spans="1:12" customHeight="1" ht="105" outlineLevel="5">
      <c r="A207" s="1"/>
      <c r="B207" s="1">
        <v>833417</v>
      </c>
      <c r="C207" s="1" t="s">
        <v>634</v>
      </c>
      <c r="D207" s="1" t="s">
        <v>635</v>
      </c>
      <c r="E207" s="2" t="s">
        <v>636</v>
      </c>
      <c r="F207" s="2" t="s">
        <v>637</v>
      </c>
      <c r="G207" s="2">
        <v>5</v>
      </c>
      <c r="H207" s="2">
        <v>0</v>
      </c>
      <c r="I207" s="1">
        <v>0</v>
      </c>
      <c r="J207" s="3" t="s">
        <v>19</v>
      </c>
      <c r="K207" s="2" t="str">
        <f>J207*3303.41</f>
        <v>0</v>
      </c>
      <c r="L207" s="5"/>
    </row>
    <row r="208" spans="1:12" customHeight="1" ht="105" outlineLevel="5">
      <c r="A208" s="1"/>
      <c r="B208" s="1">
        <v>874015</v>
      </c>
      <c r="C208" s="1" t="s">
        <v>638</v>
      </c>
      <c r="D208" s="1" t="s">
        <v>639</v>
      </c>
      <c r="E208" s="2" t="s">
        <v>640</v>
      </c>
      <c r="F208" s="2" t="s">
        <v>641</v>
      </c>
      <c r="G208" s="2">
        <v>7</v>
      </c>
      <c r="H208" s="2">
        <v>0</v>
      </c>
      <c r="I208" s="1">
        <v>0</v>
      </c>
      <c r="J208" s="3" t="s">
        <v>19</v>
      </c>
      <c r="K208" s="2" t="str">
        <f>J208*2735.00</f>
        <v>0</v>
      </c>
      <c r="L208" s="5"/>
    </row>
    <row r="209" spans="1:12" customHeight="1" ht="105" outlineLevel="5">
      <c r="A209" s="1"/>
      <c r="B209" s="1">
        <v>874016</v>
      </c>
      <c r="C209" s="1" t="s">
        <v>642</v>
      </c>
      <c r="D209" s="1" t="s">
        <v>643</v>
      </c>
      <c r="E209" s="2" t="s">
        <v>644</v>
      </c>
      <c r="F209" s="2" t="s">
        <v>645</v>
      </c>
      <c r="G209" s="2">
        <v>10</v>
      </c>
      <c r="H209" s="2">
        <v>0</v>
      </c>
      <c r="I209" s="1">
        <v>0</v>
      </c>
      <c r="J209" s="3" t="s">
        <v>19</v>
      </c>
      <c r="K209" s="2" t="str">
        <f>J209*2805.33</f>
        <v>0</v>
      </c>
      <c r="L209" s="5"/>
    </row>
    <row r="210" spans="1:12" outlineLevel="5">
      <c r="A210" s="1"/>
      <c r="B210" s="1">
        <v>956579</v>
      </c>
      <c r="C210" s="1" t="s">
        <v>646</v>
      </c>
      <c r="D210" s="1" t="s">
        <v>647</v>
      </c>
      <c r="E210" s="2" t="s">
        <v>648</v>
      </c>
      <c r="F210" s="2" t="s">
        <v>649</v>
      </c>
      <c r="G210" s="2">
        <v>6</v>
      </c>
      <c r="H210" s="2">
        <v>0</v>
      </c>
      <c r="I210" s="1">
        <v>0</v>
      </c>
      <c r="J210" s="3" t="s">
        <v>19</v>
      </c>
      <c r="K210" s="2" t="str">
        <f>J210*3411.81</f>
        <v>0</v>
      </c>
      <c r="L210" s="5"/>
    </row>
    <row r="211" spans="1:12" outlineLevel="5">
      <c r="A211" s="1"/>
      <c r="B211" s="1">
        <v>956640</v>
      </c>
      <c r="C211" s="1" t="s">
        <v>650</v>
      </c>
      <c r="D211" s="1" t="s">
        <v>651</v>
      </c>
      <c r="E211" s="2" t="s">
        <v>652</v>
      </c>
      <c r="F211" s="2" t="s">
        <v>653</v>
      </c>
      <c r="G211" s="2">
        <v>0</v>
      </c>
      <c r="H211" s="2">
        <v>0</v>
      </c>
      <c r="I211" s="1">
        <v>0</v>
      </c>
      <c r="J211" s="3" t="s">
        <v>19</v>
      </c>
      <c r="K211" s="2" t="str">
        <f>J211*2886.42</f>
        <v>0</v>
      </c>
      <c r="L211" s="5"/>
    </row>
    <row r="212" spans="1:12" outlineLevel="3">
      <c r="A212" s="9" t="s">
        <v>575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5"/>
    </row>
    <row r="213" spans="1:12" customHeight="1" ht="105" outlineLevel="5">
      <c r="A213" s="1"/>
      <c r="B213" s="1">
        <v>874017</v>
      </c>
      <c r="C213" s="1" t="s">
        <v>654</v>
      </c>
      <c r="D213" s="1" t="s">
        <v>655</v>
      </c>
      <c r="E213" s="2" t="s">
        <v>656</v>
      </c>
      <c r="F213" s="2" t="s">
        <v>657</v>
      </c>
      <c r="G213" s="2">
        <v>0</v>
      </c>
      <c r="H213" s="2">
        <v>0</v>
      </c>
      <c r="I213" s="1">
        <v>0</v>
      </c>
      <c r="J213" s="3" t="s">
        <v>19</v>
      </c>
      <c r="K213" s="2" t="str">
        <f>J213*3650.87</f>
        <v>0</v>
      </c>
      <c r="L213" s="5"/>
    </row>
    <row r="214" spans="1:12" customHeight="1" ht="105" outlineLevel="5">
      <c r="A214" s="1"/>
      <c r="B214" s="1">
        <v>883386</v>
      </c>
      <c r="C214" s="1" t="s">
        <v>658</v>
      </c>
      <c r="D214" s="1" t="s">
        <v>659</v>
      </c>
      <c r="E214" s="2" t="s">
        <v>660</v>
      </c>
      <c r="F214" s="2" t="s">
        <v>661</v>
      </c>
      <c r="G214" s="2">
        <v>10</v>
      </c>
      <c r="H214" s="2">
        <v>0</v>
      </c>
      <c r="I214" s="1">
        <v>0</v>
      </c>
      <c r="J214" s="3" t="s">
        <v>19</v>
      </c>
      <c r="K214" s="2" t="str">
        <f>J214*3191.06</f>
        <v>0</v>
      </c>
      <c r="L214" s="5"/>
    </row>
    <row r="215" spans="1:12" customHeight="1" ht="105" outlineLevel="5">
      <c r="A215" s="1"/>
      <c r="B215" s="1">
        <v>956584</v>
      </c>
      <c r="C215" s="1" t="s">
        <v>662</v>
      </c>
      <c r="D215" s="1" t="s">
        <v>663</v>
      </c>
      <c r="E215" s="2" t="s">
        <v>664</v>
      </c>
      <c r="F215" s="2" t="s">
        <v>665</v>
      </c>
      <c r="G215" s="2" t="s">
        <v>23</v>
      </c>
      <c r="H215" s="2">
        <v>0</v>
      </c>
      <c r="I215" s="1">
        <v>0</v>
      </c>
      <c r="J215" s="3" t="s">
        <v>19</v>
      </c>
      <c r="K215" s="2" t="str">
        <f>J215*4958.96</f>
        <v>0</v>
      </c>
      <c r="L215" s="5"/>
    </row>
    <row r="216" spans="1:12" customHeight="1" ht="105" outlineLevel="5">
      <c r="A216" s="1"/>
      <c r="B216" s="1">
        <v>956641</v>
      </c>
      <c r="C216" s="1" t="s">
        <v>666</v>
      </c>
      <c r="D216" s="1" t="s">
        <v>667</v>
      </c>
      <c r="E216" s="2" t="s">
        <v>668</v>
      </c>
      <c r="F216" s="2" t="s">
        <v>669</v>
      </c>
      <c r="G216" s="2" t="s">
        <v>23</v>
      </c>
      <c r="H216" s="2">
        <v>0</v>
      </c>
      <c r="I216" s="1">
        <v>0</v>
      </c>
      <c r="J216" s="3" t="s">
        <v>19</v>
      </c>
      <c r="K216" s="2" t="str">
        <f>J216*3502.56</f>
        <v>0</v>
      </c>
      <c r="L216" s="5"/>
    </row>
    <row r="217" spans="1:12" outlineLevel="5">
      <c r="A217" s="1"/>
      <c r="B217" s="1">
        <v>956642</v>
      </c>
      <c r="C217" s="1" t="s">
        <v>670</v>
      </c>
      <c r="D217" s="1" t="s">
        <v>671</v>
      </c>
      <c r="E217" s="2" t="s">
        <v>672</v>
      </c>
      <c r="F217" s="2"/>
      <c r="G217" s="2">
        <v>6</v>
      </c>
      <c r="H217" s="2">
        <v>0</v>
      </c>
      <c r="I217" s="1">
        <v>0</v>
      </c>
      <c r="J217" s="3" t="s">
        <v>19</v>
      </c>
      <c r="K217" s="2" t="str">
        <f>J217*0</f>
        <v>0</v>
      </c>
      <c r="L217" s="5"/>
    </row>
    <row r="218" spans="1:12" outlineLevel="3">
      <c r="A218" s="9" t="s">
        <v>596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5"/>
    </row>
    <row r="219" spans="1:12" customHeight="1" ht="105" outlineLevel="5">
      <c r="A219" s="1"/>
      <c r="B219" s="1">
        <v>833419</v>
      </c>
      <c r="C219" s="1" t="s">
        <v>673</v>
      </c>
      <c r="D219" s="1" t="s">
        <v>674</v>
      </c>
      <c r="E219" s="2" t="s">
        <v>675</v>
      </c>
      <c r="F219" s="2" t="s">
        <v>676</v>
      </c>
      <c r="G219" s="2" t="s">
        <v>23</v>
      </c>
      <c r="H219" s="2">
        <v>0</v>
      </c>
      <c r="I219" s="1">
        <v>0</v>
      </c>
      <c r="J219" s="3" t="s">
        <v>19</v>
      </c>
      <c r="K219" s="2" t="str">
        <f>J219*441.64</f>
        <v>0</v>
      </c>
      <c r="L219" s="5"/>
    </row>
    <row r="220" spans="1:12" customHeight="1" ht="105" outlineLevel="5">
      <c r="A220" s="1"/>
      <c r="B220" s="1">
        <v>833420</v>
      </c>
      <c r="C220" s="1" t="s">
        <v>677</v>
      </c>
      <c r="D220" s="1" t="s">
        <v>678</v>
      </c>
      <c r="E220" s="2" t="s">
        <v>679</v>
      </c>
      <c r="F220" s="2" t="s">
        <v>680</v>
      </c>
      <c r="G220" s="2">
        <v>0</v>
      </c>
      <c r="H220" s="2">
        <v>0</v>
      </c>
      <c r="I220" s="1">
        <v>0</v>
      </c>
      <c r="J220" s="3" t="s">
        <v>19</v>
      </c>
      <c r="K220" s="2" t="str">
        <f>J220*412.20</f>
        <v>0</v>
      </c>
      <c r="L220" s="5"/>
    </row>
    <row r="221" spans="1:12" customHeight="1" ht="105" outlineLevel="5">
      <c r="A221" s="1"/>
      <c r="B221" s="1">
        <v>833422</v>
      </c>
      <c r="C221" s="1" t="s">
        <v>681</v>
      </c>
      <c r="D221" s="1" t="s">
        <v>682</v>
      </c>
      <c r="E221" s="2" t="s">
        <v>683</v>
      </c>
      <c r="F221" s="2" t="s">
        <v>684</v>
      </c>
      <c r="G221" s="2" t="s">
        <v>23</v>
      </c>
      <c r="H221" s="2">
        <v>0</v>
      </c>
      <c r="I221" s="1">
        <v>0</v>
      </c>
      <c r="J221" s="3" t="s">
        <v>19</v>
      </c>
      <c r="K221" s="2" t="str">
        <f>J221*520.29</f>
        <v>0</v>
      </c>
      <c r="L221" s="5"/>
    </row>
    <row r="222" spans="1:12" customHeight="1" ht="105" outlineLevel="5">
      <c r="A222" s="1"/>
      <c r="B222" s="1">
        <v>833423</v>
      </c>
      <c r="C222" s="1" t="s">
        <v>685</v>
      </c>
      <c r="D222" s="1" t="s">
        <v>686</v>
      </c>
      <c r="E222" s="2" t="s">
        <v>687</v>
      </c>
      <c r="F222" s="2" t="s">
        <v>688</v>
      </c>
      <c r="G222" s="2" t="s">
        <v>23</v>
      </c>
      <c r="H222" s="2">
        <v>0</v>
      </c>
      <c r="I222" s="1">
        <v>0</v>
      </c>
      <c r="J222" s="3" t="s">
        <v>19</v>
      </c>
      <c r="K222" s="2" t="str">
        <f>J222*585.78</f>
        <v>0</v>
      </c>
      <c r="L222" s="5"/>
    </row>
    <row r="223" spans="1:12" customHeight="1" ht="105" outlineLevel="5">
      <c r="A223" s="1"/>
      <c r="B223" s="1">
        <v>874018</v>
      </c>
      <c r="C223" s="1" t="s">
        <v>689</v>
      </c>
      <c r="D223" s="1" t="s">
        <v>690</v>
      </c>
      <c r="E223" s="2" t="s">
        <v>691</v>
      </c>
      <c r="F223" s="2" t="s">
        <v>692</v>
      </c>
      <c r="G223" s="2" t="s">
        <v>36</v>
      </c>
      <c r="H223" s="2">
        <v>0</v>
      </c>
      <c r="I223" s="1">
        <v>0</v>
      </c>
      <c r="J223" s="3" t="s">
        <v>19</v>
      </c>
      <c r="K223" s="2" t="str">
        <f>J223*601.12</f>
        <v>0</v>
      </c>
      <c r="L223" s="5"/>
    </row>
    <row r="224" spans="1:12" customHeight="1" ht="105" outlineLevel="5">
      <c r="A224" s="1"/>
      <c r="B224" s="1">
        <v>882313</v>
      </c>
      <c r="C224" s="1" t="s">
        <v>693</v>
      </c>
      <c r="D224" s="1" t="s">
        <v>694</v>
      </c>
      <c r="E224" s="2" t="s">
        <v>695</v>
      </c>
      <c r="F224" s="2" t="s">
        <v>696</v>
      </c>
      <c r="G224" s="2">
        <v>9</v>
      </c>
      <c r="H224" s="2">
        <v>0</v>
      </c>
      <c r="I224" s="1">
        <v>0</v>
      </c>
      <c r="J224" s="3" t="s">
        <v>19</v>
      </c>
      <c r="K224" s="2" t="str">
        <f>J224*386.97</f>
        <v>0</v>
      </c>
      <c r="L224" s="5"/>
    </row>
    <row r="225" spans="1:12" customHeight="1" ht="105" outlineLevel="5">
      <c r="A225" s="1"/>
      <c r="B225" s="1">
        <v>882314</v>
      </c>
      <c r="C225" s="1" t="s">
        <v>697</v>
      </c>
      <c r="D225" s="1" t="s">
        <v>698</v>
      </c>
      <c r="E225" s="2" t="s">
        <v>699</v>
      </c>
      <c r="F225" s="2" t="s">
        <v>696</v>
      </c>
      <c r="G225" s="2">
        <v>8</v>
      </c>
      <c r="H225" s="2">
        <v>0</v>
      </c>
      <c r="I225" s="1">
        <v>0</v>
      </c>
      <c r="J225" s="3" t="s">
        <v>19</v>
      </c>
      <c r="K225" s="2" t="str">
        <f>J225*386.97</f>
        <v>0</v>
      </c>
      <c r="L225" s="5"/>
    </row>
    <row r="226" spans="1:12" customHeight="1" ht="105" outlineLevel="5">
      <c r="A226" s="1"/>
      <c r="B226" s="1">
        <v>883387</v>
      </c>
      <c r="C226" s="1" t="s">
        <v>700</v>
      </c>
      <c r="D226" s="1" t="s">
        <v>701</v>
      </c>
      <c r="E226" s="2" t="s">
        <v>702</v>
      </c>
      <c r="F226" s="2" t="s">
        <v>703</v>
      </c>
      <c r="G226" s="2" t="s">
        <v>23</v>
      </c>
      <c r="H226" s="2">
        <v>0</v>
      </c>
      <c r="I226" s="1">
        <v>0</v>
      </c>
      <c r="J226" s="3" t="s">
        <v>19</v>
      </c>
      <c r="K226" s="2" t="str">
        <f>J226*811.74</f>
        <v>0</v>
      </c>
      <c r="L226" s="5"/>
    </row>
    <row r="227" spans="1:12" customHeight="1" ht="105" outlineLevel="5">
      <c r="A227" s="1"/>
      <c r="B227" s="1">
        <v>956643</v>
      </c>
      <c r="C227" s="1" t="s">
        <v>704</v>
      </c>
      <c r="D227" s="1" t="s">
        <v>705</v>
      </c>
      <c r="E227" s="2" t="s">
        <v>706</v>
      </c>
      <c r="F227" s="2" t="s">
        <v>696</v>
      </c>
      <c r="G227" s="2">
        <v>5</v>
      </c>
      <c r="H227" s="2">
        <v>0</v>
      </c>
      <c r="I227" s="1">
        <v>0</v>
      </c>
      <c r="J227" s="3" t="s">
        <v>19</v>
      </c>
      <c r="K227" s="2" t="str">
        <f>J227*386.97</f>
        <v>0</v>
      </c>
      <c r="L227" s="5"/>
    </row>
    <row r="228" spans="1:12" outlineLevel="5">
      <c r="A228" s="1"/>
      <c r="B228" s="1">
        <v>956644</v>
      </c>
      <c r="C228" s="1" t="s">
        <v>707</v>
      </c>
      <c r="D228" s="1" t="s">
        <v>708</v>
      </c>
      <c r="E228" s="2" t="s">
        <v>709</v>
      </c>
      <c r="F228" s="2" t="s">
        <v>688</v>
      </c>
      <c r="G228" s="2" t="s">
        <v>485</v>
      </c>
      <c r="H228" s="2">
        <v>0</v>
      </c>
      <c r="I228" s="1">
        <v>0</v>
      </c>
      <c r="J228" s="3" t="s">
        <v>19</v>
      </c>
      <c r="K228" s="2" t="str">
        <f>J228*585.78</f>
        <v>0</v>
      </c>
      <c r="L228" s="5"/>
    </row>
    <row r="229" spans="1:12" outlineLevel="3">
      <c r="A229" s="9" t="s">
        <v>710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5"/>
    </row>
    <row r="230" spans="1:12" customHeight="1" ht="105" outlineLevel="5">
      <c r="A230" s="1"/>
      <c r="B230" s="1">
        <v>885131</v>
      </c>
      <c r="C230" s="1" t="s">
        <v>711</v>
      </c>
      <c r="D230" s="1" t="s">
        <v>712</v>
      </c>
      <c r="E230" s="2" t="s">
        <v>713</v>
      </c>
      <c r="F230" s="2" t="s">
        <v>714</v>
      </c>
      <c r="G230" s="2">
        <v>10</v>
      </c>
      <c r="H230" s="2">
        <v>0</v>
      </c>
      <c r="I230" s="1">
        <v>0</v>
      </c>
      <c r="J230" s="3" t="s">
        <v>19</v>
      </c>
      <c r="K230" s="2" t="str">
        <f>J230*9515.03</f>
        <v>0</v>
      </c>
      <c r="L230" s="5"/>
    </row>
    <row r="231" spans="1:12" customHeight="1" ht="105" outlineLevel="5">
      <c r="A231" s="1"/>
      <c r="B231" s="1">
        <v>885240</v>
      </c>
      <c r="C231" s="1" t="s">
        <v>715</v>
      </c>
      <c r="D231" s="1" t="s">
        <v>716</v>
      </c>
      <c r="E231" s="2" t="s">
        <v>717</v>
      </c>
      <c r="F231" s="2" t="s">
        <v>718</v>
      </c>
      <c r="G231" s="2" t="s">
        <v>23</v>
      </c>
      <c r="H231" s="2">
        <v>0</v>
      </c>
      <c r="I231" s="1">
        <v>0</v>
      </c>
      <c r="J231" s="3" t="s">
        <v>19</v>
      </c>
      <c r="K231" s="2" t="str">
        <f>J231*11245.03</f>
        <v>0</v>
      </c>
      <c r="L231" s="5"/>
    </row>
    <row r="232" spans="1:12" outlineLevel="5">
      <c r="A232" s="1"/>
      <c r="B232" s="1">
        <v>954236</v>
      </c>
      <c r="C232" s="1" t="s">
        <v>719</v>
      </c>
      <c r="D232" s="1" t="s">
        <v>720</v>
      </c>
      <c r="E232" s="2" t="s">
        <v>721</v>
      </c>
      <c r="F232" s="2" t="s">
        <v>714</v>
      </c>
      <c r="G232" s="2" t="s">
        <v>23</v>
      </c>
      <c r="H232" s="2">
        <v>0</v>
      </c>
      <c r="I232" s="1">
        <v>0</v>
      </c>
      <c r="J232" s="3" t="s">
        <v>19</v>
      </c>
      <c r="K232" s="2" t="str">
        <f>J232*9515.03</f>
        <v>0</v>
      </c>
      <c r="L232" s="5"/>
    </row>
    <row r="233" spans="1:12" outlineLevel="2">
      <c r="A233" s="8" t="s">
        <v>722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5"/>
    </row>
    <row r="234" spans="1:12" outlineLevel="3">
      <c r="A234" s="9" t="s">
        <v>723</v>
      </c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5"/>
    </row>
    <row r="235" spans="1:12" outlineLevel="5">
      <c r="A235" s="1"/>
      <c r="B235" s="1">
        <v>959264</v>
      </c>
      <c r="C235" s="1" t="s">
        <v>724</v>
      </c>
      <c r="D235" s="1">
        <v>12166</v>
      </c>
      <c r="E235" s="2" t="s">
        <v>725</v>
      </c>
      <c r="F235" s="2" t="s">
        <v>726</v>
      </c>
      <c r="G235" s="2">
        <v>0</v>
      </c>
      <c r="H235" s="2">
        <v>0</v>
      </c>
      <c r="I235" s="1">
        <v>0</v>
      </c>
      <c r="J235" s="3" t="s">
        <v>19</v>
      </c>
      <c r="K235" s="2" t="str">
        <f>J235*5226.00</f>
        <v>0</v>
      </c>
      <c r="L235" s="5"/>
    </row>
    <row r="236" spans="1:12" outlineLevel="5">
      <c r="A236" s="1"/>
      <c r="B236" s="1">
        <v>959265</v>
      </c>
      <c r="C236" s="1" t="s">
        <v>727</v>
      </c>
      <c r="D236" s="1">
        <v>17748</v>
      </c>
      <c r="E236" s="2" t="s">
        <v>728</v>
      </c>
      <c r="F236" s="2" t="s">
        <v>729</v>
      </c>
      <c r="G236" s="2">
        <v>0</v>
      </c>
      <c r="H236" s="2">
        <v>0</v>
      </c>
      <c r="I236" s="1">
        <v>0</v>
      </c>
      <c r="J236" s="3" t="s">
        <v>19</v>
      </c>
      <c r="K236" s="2" t="str">
        <f>J236*1919.00</f>
        <v>0</v>
      </c>
      <c r="L236" s="5"/>
    </row>
    <row r="237" spans="1:12" outlineLevel="5">
      <c r="A237" s="1"/>
      <c r="B237" s="1">
        <v>959266</v>
      </c>
      <c r="C237" s="1" t="s">
        <v>730</v>
      </c>
      <c r="D237" s="1">
        <v>77004</v>
      </c>
      <c r="E237" s="2" t="s">
        <v>731</v>
      </c>
      <c r="F237" s="2" t="s">
        <v>732</v>
      </c>
      <c r="G237" s="2">
        <v>0</v>
      </c>
      <c r="H237" s="2">
        <v>0</v>
      </c>
      <c r="I237" s="1">
        <v>0</v>
      </c>
      <c r="J237" s="3" t="s">
        <v>19</v>
      </c>
      <c r="K237" s="2" t="str">
        <f>J237*3147.00</f>
        <v>0</v>
      </c>
      <c r="L237" s="5"/>
    </row>
    <row r="238" spans="1:12" outlineLevel="5">
      <c r="A238" s="1"/>
      <c r="B238" s="1">
        <v>959267</v>
      </c>
      <c r="C238" s="1" t="s">
        <v>733</v>
      </c>
      <c r="D238" s="1">
        <v>50387</v>
      </c>
      <c r="E238" s="2" t="s">
        <v>734</v>
      </c>
      <c r="F238" s="2" t="s">
        <v>732</v>
      </c>
      <c r="G238" s="2">
        <v>0</v>
      </c>
      <c r="H238" s="2">
        <v>0</v>
      </c>
      <c r="I238" s="1">
        <v>0</v>
      </c>
      <c r="J238" s="3" t="s">
        <v>19</v>
      </c>
      <c r="K238" s="2" t="str">
        <f>J238*3147.00</f>
        <v>0</v>
      </c>
      <c r="L238" s="5"/>
    </row>
    <row r="239" spans="1:12" outlineLevel="5">
      <c r="A239" s="1"/>
      <c r="B239" s="1">
        <v>959268</v>
      </c>
      <c r="C239" s="1" t="s">
        <v>735</v>
      </c>
      <c r="D239" s="1">
        <v>69619</v>
      </c>
      <c r="E239" s="2" t="s">
        <v>736</v>
      </c>
      <c r="F239" s="2" t="s">
        <v>732</v>
      </c>
      <c r="G239" s="2">
        <v>0</v>
      </c>
      <c r="H239" s="2">
        <v>0</v>
      </c>
      <c r="I239" s="1">
        <v>0</v>
      </c>
      <c r="J239" s="3" t="s">
        <v>19</v>
      </c>
      <c r="K239" s="2" t="str">
        <f>J239*3147.00</f>
        <v>0</v>
      </c>
      <c r="L239" s="5"/>
    </row>
    <row r="240" spans="1:12" outlineLevel="5">
      <c r="A240" s="1"/>
      <c r="B240" s="1">
        <v>959269</v>
      </c>
      <c r="C240" s="1" t="s">
        <v>737</v>
      </c>
      <c r="D240" s="1">
        <v>52966</v>
      </c>
      <c r="E240" s="2" t="s">
        <v>738</v>
      </c>
      <c r="F240" s="2" t="s">
        <v>732</v>
      </c>
      <c r="G240" s="2">
        <v>0</v>
      </c>
      <c r="H240" s="2">
        <v>0</v>
      </c>
      <c r="I240" s="1">
        <v>0</v>
      </c>
      <c r="J240" s="3" t="s">
        <v>19</v>
      </c>
      <c r="K240" s="2" t="str">
        <f>J240*3147.00</f>
        <v>0</v>
      </c>
      <c r="L240" s="5"/>
    </row>
    <row r="241" spans="1:12" outlineLevel="5">
      <c r="A241" s="1"/>
      <c r="B241" s="1">
        <v>959270</v>
      </c>
      <c r="C241" s="1" t="s">
        <v>739</v>
      </c>
      <c r="D241" s="1">
        <v>75236</v>
      </c>
      <c r="E241" s="2" t="s">
        <v>740</v>
      </c>
      <c r="F241" s="2" t="s">
        <v>732</v>
      </c>
      <c r="G241" s="2">
        <v>0</v>
      </c>
      <c r="H241" s="2">
        <v>0</v>
      </c>
      <c r="I241" s="1">
        <v>0</v>
      </c>
      <c r="J241" s="3" t="s">
        <v>19</v>
      </c>
      <c r="K241" s="2" t="str">
        <f>J241*3147.00</f>
        <v>0</v>
      </c>
      <c r="L241" s="5"/>
    </row>
    <row r="242" spans="1:12" outlineLevel="5">
      <c r="A242" s="1"/>
      <c r="B242" s="1">
        <v>959271</v>
      </c>
      <c r="C242" s="1" t="s">
        <v>741</v>
      </c>
      <c r="D242" s="1">
        <v>79745</v>
      </c>
      <c r="E242" s="2" t="s">
        <v>742</v>
      </c>
      <c r="F242" s="2" t="s">
        <v>743</v>
      </c>
      <c r="G242" s="2">
        <v>0</v>
      </c>
      <c r="H242" s="2">
        <v>0</v>
      </c>
      <c r="I242" s="1">
        <v>0</v>
      </c>
      <c r="J242" s="3" t="s">
        <v>19</v>
      </c>
      <c r="K242" s="2" t="str">
        <f>J242*3393.00</f>
        <v>0</v>
      </c>
      <c r="L242" s="5"/>
    </row>
    <row r="243" spans="1:12" outlineLevel="5">
      <c r="A243" s="1"/>
      <c r="B243" s="1">
        <v>959272</v>
      </c>
      <c r="C243" s="1" t="s">
        <v>744</v>
      </c>
      <c r="D243" s="1">
        <v>70276</v>
      </c>
      <c r="E243" s="2" t="s">
        <v>745</v>
      </c>
      <c r="F243" s="2" t="s">
        <v>746</v>
      </c>
      <c r="G243" s="2">
        <v>0</v>
      </c>
      <c r="H243" s="2">
        <v>0</v>
      </c>
      <c r="I243" s="1">
        <v>0</v>
      </c>
      <c r="J243" s="3" t="s">
        <v>19</v>
      </c>
      <c r="K243" s="2" t="str">
        <f>J243*6370.00</f>
        <v>0</v>
      </c>
      <c r="L243" s="5"/>
    </row>
    <row r="244" spans="1:12" outlineLevel="5">
      <c r="A244" s="1"/>
      <c r="B244" s="1">
        <v>959273</v>
      </c>
      <c r="C244" s="1" t="s">
        <v>747</v>
      </c>
      <c r="D244" s="1">
        <v>14652</v>
      </c>
      <c r="E244" s="2" t="s">
        <v>748</v>
      </c>
      <c r="F244" s="2" t="s">
        <v>749</v>
      </c>
      <c r="G244" s="2">
        <v>0</v>
      </c>
      <c r="H244" s="2">
        <v>0</v>
      </c>
      <c r="I244" s="1">
        <v>0</v>
      </c>
      <c r="J244" s="3" t="s">
        <v>19</v>
      </c>
      <c r="K244" s="2" t="str">
        <f>J244*3464.00</f>
        <v>0</v>
      </c>
      <c r="L244" s="5"/>
    </row>
    <row r="245" spans="1:12" outlineLevel="5">
      <c r="A245" s="1"/>
      <c r="B245" s="1">
        <v>959274</v>
      </c>
      <c r="C245" s="1" t="s">
        <v>750</v>
      </c>
      <c r="D245" s="1">
        <v>41166</v>
      </c>
      <c r="E245" s="2" t="s">
        <v>751</v>
      </c>
      <c r="F245" s="2" t="s">
        <v>752</v>
      </c>
      <c r="G245" s="2">
        <v>0</v>
      </c>
      <c r="H245" s="2">
        <v>0</v>
      </c>
      <c r="I245" s="1">
        <v>0</v>
      </c>
      <c r="J245" s="3" t="s">
        <v>19</v>
      </c>
      <c r="K245" s="2" t="str">
        <f>J245*4005.00</f>
        <v>0</v>
      </c>
      <c r="L245" s="5"/>
    </row>
    <row r="246" spans="1:12" outlineLevel="5">
      <c r="A246" s="1"/>
      <c r="B246" s="1">
        <v>959275</v>
      </c>
      <c r="C246" s="1" t="s">
        <v>753</v>
      </c>
      <c r="D246" s="1">
        <v>73463</v>
      </c>
      <c r="E246" s="2" t="s">
        <v>754</v>
      </c>
      <c r="F246" s="2" t="s">
        <v>755</v>
      </c>
      <c r="G246" s="2">
        <v>0</v>
      </c>
      <c r="H246" s="2">
        <v>0</v>
      </c>
      <c r="I246" s="1">
        <v>0</v>
      </c>
      <c r="J246" s="3" t="s">
        <v>19</v>
      </c>
      <c r="K246" s="2" t="str">
        <f>J246*3463.00</f>
        <v>0</v>
      </c>
      <c r="L246" s="5"/>
    </row>
    <row r="247" spans="1:12" outlineLevel="5">
      <c r="A247" s="1"/>
      <c r="B247" s="1">
        <v>959276</v>
      </c>
      <c r="C247" s="1" t="s">
        <v>756</v>
      </c>
      <c r="D247" s="1">
        <v>13545</v>
      </c>
      <c r="E247" s="2" t="s">
        <v>757</v>
      </c>
      <c r="F247" s="2" t="s">
        <v>752</v>
      </c>
      <c r="G247" s="2">
        <v>0</v>
      </c>
      <c r="H247" s="2">
        <v>0</v>
      </c>
      <c r="I247" s="1">
        <v>0</v>
      </c>
      <c r="J247" s="3" t="s">
        <v>19</v>
      </c>
      <c r="K247" s="2" t="str">
        <f>J247*4005.00</f>
        <v>0</v>
      </c>
      <c r="L247" s="5"/>
    </row>
    <row r="248" spans="1:12" outlineLevel="3">
      <c r="A248" s="9" t="s">
        <v>758</v>
      </c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5"/>
    </row>
    <row r="249" spans="1:12" outlineLevel="5">
      <c r="A249" s="1"/>
      <c r="B249" s="1">
        <v>959286</v>
      </c>
      <c r="C249" s="1" t="s">
        <v>759</v>
      </c>
      <c r="D249" s="1">
        <v>67972</v>
      </c>
      <c r="E249" s="2" t="s">
        <v>760</v>
      </c>
      <c r="F249" s="2" t="s">
        <v>761</v>
      </c>
      <c r="G249" s="2">
        <v>0</v>
      </c>
      <c r="H249" s="2">
        <v>0</v>
      </c>
      <c r="I249" s="1">
        <v>0</v>
      </c>
      <c r="J249" s="3" t="s">
        <v>19</v>
      </c>
      <c r="K249" s="2" t="str">
        <f>J249*44351.00</f>
        <v>0</v>
      </c>
      <c r="L249" s="5"/>
    </row>
    <row r="250" spans="1:12" outlineLevel="5">
      <c r="A250" s="1"/>
      <c r="B250" s="1">
        <v>959287</v>
      </c>
      <c r="C250" s="1" t="s">
        <v>762</v>
      </c>
      <c r="D250" s="1">
        <v>17148</v>
      </c>
      <c r="E250" s="2" t="s">
        <v>763</v>
      </c>
      <c r="F250" s="2" t="s">
        <v>764</v>
      </c>
      <c r="G250" s="2">
        <v>0</v>
      </c>
      <c r="H250" s="2">
        <v>0</v>
      </c>
      <c r="I250" s="1">
        <v>0</v>
      </c>
      <c r="J250" s="3" t="s">
        <v>19</v>
      </c>
      <c r="K250" s="2" t="str">
        <f>J250*15945.00</f>
        <v>0</v>
      </c>
      <c r="L250" s="5"/>
    </row>
    <row r="251" spans="1:12" outlineLevel="5">
      <c r="A251" s="1"/>
      <c r="B251" s="1">
        <v>959288</v>
      </c>
      <c r="C251" s="1" t="s">
        <v>765</v>
      </c>
      <c r="D251" s="1">
        <v>14607</v>
      </c>
      <c r="E251" s="2" t="s">
        <v>766</v>
      </c>
      <c r="F251" s="2" t="s">
        <v>767</v>
      </c>
      <c r="G251" s="2">
        <v>0</v>
      </c>
      <c r="H251" s="2">
        <v>0</v>
      </c>
      <c r="I251" s="1">
        <v>0</v>
      </c>
      <c r="J251" s="3" t="s">
        <v>19</v>
      </c>
      <c r="K251" s="2" t="str">
        <f>J251*19420.00</f>
        <v>0</v>
      </c>
      <c r="L251" s="5"/>
    </row>
    <row r="252" spans="1:12" outlineLevel="5">
      <c r="A252" s="1"/>
      <c r="B252" s="1">
        <v>959289</v>
      </c>
      <c r="C252" s="1" t="s">
        <v>768</v>
      </c>
      <c r="D252" s="1">
        <v>37577</v>
      </c>
      <c r="E252" s="2" t="s">
        <v>769</v>
      </c>
      <c r="F252" s="2" t="s">
        <v>770</v>
      </c>
      <c r="G252" s="2">
        <v>0</v>
      </c>
      <c r="H252" s="2">
        <v>0</v>
      </c>
      <c r="I252" s="1">
        <v>0</v>
      </c>
      <c r="J252" s="3" t="s">
        <v>19</v>
      </c>
      <c r="K252" s="2" t="str">
        <f>J252*26260.00</f>
        <v>0</v>
      </c>
      <c r="L252" s="5"/>
    </row>
    <row r="253" spans="1:12" outlineLevel="5">
      <c r="A253" s="1"/>
      <c r="B253" s="1">
        <v>959290</v>
      </c>
      <c r="C253" s="1" t="s">
        <v>771</v>
      </c>
      <c r="D253" s="1">
        <v>24600</v>
      </c>
      <c r="E253" s="2" t="s">
        <v>772</v>
      </c>
      <c r="F253" s="2" t="s">
        <v>773</v>
      </c>
      <c r="G253" s="2">
        <v>0</v>
      </c>
      <c r="H253" s="2">
        <v>0</v>
      </c>
      <c r="I253" s="1">
        <v>0</v>
      </c>
      <c r="J253" s="3" t="s">
        <v>19</v>
      </c>
      <c r="K253" s="2" t="str">
        <f>J253*16557.00</f>
        <v>0</v>
      </c>
      <c r="L253" s="5"/>
    </row>
    <row r="254" spans="1:12" outlineLevel="5">
      <c r="A254" s="1"/>
      <c r="B254" s="1">
        <v>959291</v>
      </c>
      <c r="C254" s="1" t="s">
        <v>774</v>
      </c>
      <c r="D254" s="1">
        <v>87098</v>
      </c>
      <c r="E254" s="2" t="s">
        <v>775</v>
      </c>
      <c r="F254" s="2" t="s">
        <v>776</v>
      </c>
      <c r="G254" s="2">
        <v>0</v>
      </c>
      <c r="H254" s="2">
        <v>0</v>
      </c>
      <c r="I254" s="1">
        <v>0</v>
      </c>
      <c r="J254" s="3" t="s">
        <v>19</v>
      </c>
      <c r="K254" s="2" t="str">
        <f>J254*17849.00</f>
        <v>0</v>
      </c>
      <c r="L254" s="5"/>
    </row>
    <row r="255" spans="1:12" outlineLevel="5">
      <c r="A255" s="1"/>
      <c r="B255" s="1">
        <v>959292</v>
      </c>
      <c r="C255" s="1" t="s">
        <v>777</v>
      </c>
      <c r="D255" s="1">
        <v>80231</v>
      </c>
      <c r="E255" s="2" t="s">
        <v>778</v>
      </c>
      <c r="F255" s="2" t="s">
        <v>779</v>
      </c>
      <c r="G255" s="2">
        <v>0</v>
      </c>
      <c r="H255" s="2">
        <v>0</v>
      </c>
      <c r="I255" s="1">
        <v>0</v>
      </c>
      <c r="J255" s="3" t="s">
        <v>19</v>
      </c>
      <c r="K255" s="2" t="str">
        <f>J255*3458.00</f>
        <v>0</v>
      </c>
      <c r="L255" s="5"/>
    </row>
    <row r="256" spans="1:12" outlineLevel="5">
      <c r="A256" s="1"/>
      <c r="B256" s="1">
        <v>959293</v>
      </c>
      <c r="C256" s="1" t="s">
        <v>780</v>
      </c>
      <c r="D256" s="1">
        <v>77107</v>
      </c>
      <c r="E256" s="2" t="s">
        <v>781</v>
      </c>
      <c r="F256" s="2" t="s">
        <v>782</v>
      </c>
      <c r="G256" s="2">
        <v>0</v>
      </c>
      <c r="H256" s="2">
        <v>0</v>
      </c>
      <c r="I256" s="1">
        <v>0</v>
      </c>
      <c r="J256" s="3" t="s">
        <v>19</v>
      </c>
      <c r="K256" s="2" t="str">
        <f>J256*3562.00</f>
        <v>0</v>
      </c>
      <c r="L256" s="5"/>
    </row>
    <row r="257" spans="1:12" outlineLevel="3">
      <c r="A257" s="9" t="s">
        <v>596</v>
      </c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5"/>
    </row>
    <row r="258" spans="1:12" outlineLevel="5">
      <c r="A258" s="1"/>
      <c r="B258" s="1">
        <v>959280</v>
      </c>
      <c r="C258" s="1" t="s">
        <v>783</v>
      </c>
      <c r="D258" s="1">
        <v>34872</v>
      </c>
      <c r="E258" s="2" t="s">
        <v>784</v>
      </c>
      <c r="F258" s="2" t="s">
        <v>785</v>
      </c>
      <c r="G258" s="2">
        <v>0</v>
      </c>
      <c r="H258" s="2">
        <v>0</v>
      </c>
      <c r="I258" s="1">
        <v>0</v>
      </c>
      <c r="J258" s="3" t="s">
        <v>19</v>
      </c>
      <c r="K258" s="2" t="str">
        <f>J258*734.30</f>
        <v>0</v>
      </c>
      <c r="L258" s="5"/>
    </row>
    <row r="259" spans="1:12" outlineLevel="5">
      <c r="A259" s="1"/>
      <c r="B259" s="1">
        <v>959281</v>
      </c>
      <c r="C259" s="1" t="s">
        <v>786</v>
      </c>
      <c r="D259" s="1">
        <v>78907</v>
      </c>
      <c r="E259" s="2" t="s">
        <v>787</v>
      </c>
      <c r="F259" s="2" t="s">
        <v>788</v>
      </c>
      <c r="G259" s="2">
        <v>0</v>
      </c>
      <c r="H259" s="2">
        <v>0</v>
      </c>
      <c r="I259" s="1">
        <v>0</v>
      </c>
      <c r="J259" s="3" t="s">
        <v>19</v>
      </c>
      <c r="K259" s="2" t="str">
        <f>J259*636.80</f>
        <v>0</v>
      </c>
      <c r="L259" s="5"/>
    </row>
    <row r="260" spans="1:12" outlineLevel="5">
      <c r="A260" s="1"/>
      <c r="B260" s="1">
        <v>959282</v>
      </c>
      <c r="C260" s="1" t="s">
        <v>789</v>
      </c>
      <c r="D260" s="1">
        <v>40367</v>
      </c>
      <c r="E260" s="2" t="s">
        <v>790</v>
      </c>
      <c r="F260" s="2" t="s">
        <v>791</v>
      </c>
      <c r="G260" s="2">
        <v>0</v>
      </c>
      <c r="H260" s="2">
        <v>0</v>
      </c>
      <c r="I260" s="1">
        <v>0</v>
      </c>
      <c r="J260" s="3" t="s">
        <v>19</v>
      </c>
      <c r="K260" s="2" t="str">
        <f>J260*639.10</f>
        <v>0</v>
      </c>
      <c r="L260" s="5"/>
    </row>
    <row r="261" spans="1:12" outlineLevel="5">
      <c r="A261" s="1"/>
      <c r="B261" s="1">
        <v>959283</v>
      </c>
      <c r="C261" s="1" t="s">
        <v>792</v>
      </c>
      <c r="D261" s="1">
        <v>10988</v>
      </c>
      <c r="E261" s="2" t="s">
        <v>793</v>
      </c>
      <c r="F261" s="2" t="s">
        <v>493</v>
      </c>
      <c r="G261" s="2">
        <v>0</v>
      </c>
      <c r="H261" s="2">
        <v>0</v>
      </c>
      <c r="I261" s="1">
        <v>0</v>
      </c>
      <c r="J261" s="3" t="s">
        <v>19</v>
      </c>
      <c r="K261" s="2" t="str">
        <f>J261*654.00</f>
        <v>0</v>
      </c>
      <c r="L261" s="5"/>
    </row>
    <row r="262" spans="1:12" outlineLevel="5">
      <c r="A262" s="1"/>
      <c r="B262" s="1">
        <v>959284</v>
      </c>
      <c r="C262" s="1" t="s">
        <v>794</v>
      </c>
      <c r="D262" s="1">
        <v>21682</v>
      </c>
      <c r="E262" s="2" t="s">
        <v>795</v>
      </c>
      <c r="F262" s="2" t="s">
        <v>796</v>
      </c>
      <c r="G262" s="2">
        <v>0</v>
      </c>
      <c r="H262" s="2">
        <v>0</v>
      </c>
      <c r="I262" s="1">
        <v>0</v>
      </c>
      <c r="J262" s="3" t="s">
        <v>19</v>
      </c>
      <c r="K262" s="2" t="str">
        <f>J262*694.40</f>
        <v>0</v>
      </c>
      <c r="L262" s="5"/>
    </row>
    <row r="263" spans="1:12" outlineLevel="5">
      <c r="A263" s="1"/>
      <c r="B263" s="1">
        <v>959285</v>
      </c>
      <c r="C263" s="1" t="s">
        <v>797</v>
      </c>
      <c r="D263" s="1">
        <v>54654</v>
      </c>
      <c r="E263" s="2" t="s">
        <v>798</v>
      </c>
      <c r="F263" s="2" t="s">
        <v>799</v>
      </c>
      <c r="G263" s="2">
        <v>0</v>
      </c>
      <c r="H263" s="2">
        <v>0</v>
      </c>
      <c r="I263" s="1">
        <v>0</v>
      </c>
      <c r="J263" s="3" t="s">
        <v>19</v>
      </c>
      <c r="K263" s="2" t="str">
        <f>J263*970.80</f>
        <v>0</v>
      </c>
      <c r="L263" s="5"/>
    </row>
    <row r="264" spans="1:12" outlineLevel="3">
      <c r="A264" s="9" t="s">
        <v>710</v>
      </c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5"/>
    </row>
    <row r="265" spans="1:12" outlineLevel="5">
      <c r="A265" s="1"/>
      <c r="B265" s="1">
        <v>959277</v>
      </c>
      <c r="C265" s="1" t="s">
        <v>800</v>
      </c>
      <c r="D265" s="1">
        <v>53181</v>
      </c>
      <c r="E265" s="2" t="s">
        <v>801</v>
      </c>
      <c r="F265" s="2" t="s">
        <v>802</v>
      </c>
      <c r="G265" s="2">
        <v>0</v>
      </c>
      <c r="H265" s="2">
        <v>0</v>
      </c>
      <c r="I265" s="1">
        <v>0</v>
      </c>
      <c r="J265" s="3" t="s">
        <v>19</v>
      </c>
      <c r="K265" s="2" t="str">
        <f>J265*35059.00</f>
        <v>0</v>
      </c>
      <c r="L265" s="5"/>
    </row>
    <row r="266" spans="1:12" outlineLevel="5">
      <c r="A266" s="1"/>
      <c r="B266" s="1">
        <v>959278</v>
      </c>
      <c r="C266" s="1" t="s">
        <v>803</v>
      </c>
      <c r="D266" s="1">
        <v>54682</v>
      </c>
      <c r="E266" s="2" t="s">
        <v>804</v>
      </c>
      <c r="F266" s="2" t="s">
        <v>805</v>
      </c>
      <c r="G266" s="2">
        <v>0</v>
      </c>
      <c r="H266" s="2">
        <v>0</v>
      </c>
      <c r="I266" s="1">
        <v>0</v>
      </c>
      <c r="J266" s="3" t="s">
        <v>19</v>
      </c>
      <c r="K266" s="2" t="str">
        <f>J266*16662.00</f>
        <v>0</v>
      </c>
      <c r="L266" s="5"/>
    </row>
    <row r="267" spans="1:12" outlineLevel="5">
      <c r="A267" s="1"/>
      <c r="B267" s="1">
        <v>959279</v>
      </c>
      <c r="C267" s="1" t="s">
        <v>806</v>
      </c>
      <c r="D267" s="1">
        <v>38819</v>
      </c>
      <c r="E267" s="2" t="s">
        <v>807</v>
      </c>
      <c r="F267" s="2" t="s">
        <v>808</v>
      </c>
      <c r="G267" s="2">
        <v>0</v>
      </c>
      <c r="H267" s="2">
        <v>0</v>
      </c>
      <c r="I267" s="1">
        <v>0</v>
      </c>
      <c r="J267" s="3" t="s">
        <v>19</v>
      </c>
      <c r="K267" s="2" t="str">
        <f>J267*17667.00</f>
        <v>0</v>
      </c>
      <c r="L267" s="5"/>
    </row>
    <row r="268" spans="1:12" outlineLevel="3">
      <c r="A268" s="9" t="s">
        <v>591</v>
      </c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5"/>
    </row>
    <row r="269" spans="1:12" outlineLevel="5">
      <c r="A269" s="1"/>
      <c r="B269" s="1">
        <v>959577</v>
      </c>
      <c r="C269" s="1" t="s">
        <v>809</v>
      </c>
      <c r="D269" s="1">
        <v>70521</v>
      </c>
      <c r="E269" s="2" t="s">
        <v>810</v>
      </c>
      <c r="F269" s="2" t="s">
        <v>811</v>
      </c>
      <c r="G269" s="2">
        <v>0</v>
      </c>
      <c r="H269" s="2">
        <v>0</v>
      </c>
      <c r="I269" s="1">
        <v>0</v>
      </c>
      <c r="J269" s="3" t="s">
        <v>19</v>
      </c>
      <c r="K269" s="2" t="str">
        <f>J269*996.30</f>
        <v>0</v>
      </c>
      <c r="L269" s="5"/>
    </row>
    <row r="270" spans="1:12" outlineLevel="5">
      <c r="A270" s="1"/>
      <c r="B270" s="1">
        <v>959578</v>
      </c>
      <c r="C270" s="1" t="s">
        <v>812</v>
      </c>
      <c r="D270" s="1">
        <v>16473</v>
      </c>
      <c r="E270" s="2" t="s">
        <v>813</v>
      </c>
      <c r="F270" s="2" t="s">
        <v>814</v>
      </c>
      <c r="G270" s="2">
        <v>0</v>
      </c>
      <c r="H270" s="2">
        <v>0</v>
      </c>
      <c r="I270" s="1">
        <v>0</v>
      </c>
      <c r="J270" s="3" t="s">
        <v>19</v>
      </c>
      <c r="K270" s="2" t="str">
        <f>J270*904.90</f>
        <v>0</v>
      </c>
      <c r="L270" s="5"/>
    </row>
    <row r="271" spans="1:12" outlineLevel="5">
      <c r="A271" s="1"/>
      <c r="B271" s="1">
        <v>959579</v>
      </c>
      <c r="C271" s="1" t="s">
        <v>815</v>
      </c>
      <c r="D271" s="1">
        <v>17795</v>
      </c>
      <c r="E271" s="2" t="s">
        <v>816</v>
      </c>
      <c r="F271" s="2" t="s">
        <v>811</v>
      </c>
      <c r="G271" s="2">
        <v>0</v>
      </c>
      <c r="H271" s="2">
        <v>0</v>
      </c>
      <c r="I271" s="1">
        <v>0</v>
      </c>
      <c r="J271" s="3" t="s">
        <v>19</v>
      </c>
      <c r="K271" s="2" t="str">
        <f>J271*996.30</f>
        <v>0</v>
      </c>
      <c r="L271" s="5"/>
    </row>
    <row r="272" spans="1:12" outlineLevel="5">
      <c r="A272" s="1"/>
      <c r="B272" s="1">
        <v>959581</v>
      </c>
      <c r="C272" s="1" t="s">
        <v>817</v>
      </c>
      <c r="D272" s="1">
        <v>74528</v>
      </c>
      <c r="E272" s="2" t="s">
        <v>818</v>
      </c>
      <c r="F272" s="2" t="s">
        <v>819</v>
      </c>
      <c r="G272" s="2">
        <v>0</v>
      </c>
      <c r="H272" s="2">
        <v>0</v>
      </c>
      <c r="I272" s="1">
        <v>0</v>
      </c>
      <c r="J272" s="3" t="s">
        <v>19</v>
      </c>
      <c r="K272" s="2" t="str">
        <f>J272*890.20</f>
        <v>0</v>
      </c>
      <c r="L272" s="5"/>
    </row>
    <row r="273" spans="1:12" outlineLevel="5">
      <c r="A273" s="1"/>
      <c r="B273" s="1">
        <v>959582</v>
      </c>
      <c r="C273" s="1" t="s">
        <v>820</v>
      </c>
      <c r="D273" s="1">
        <v>22520</v>
      </c>
      <c r="E273" s="2" t="s">
        <v>821</v>
      </c>
      <c r="F273" s="2" t="s">
        <v>822</v>
      </c>
      <c r="G273" s="2">
        <v>0</v>
      </c>
      <c r="H273" s="2">
        <v>0</v>
      </c>
      <c r="I273" s="1">
        <v>0</v>
      </c>
      <c r="J273" s="3" t="s">
        <v>19</v>
      </c>
      <c r="K273" s="2" t="str">
        <f>J273*1198.00</f>
        <v>0</v>
      </c>
      <c r="L273" s="5"/>
    </row>
    <row r="274" spans="1:12" outlineLevel="1">
      <c r="A274" s="7" t="s">
        <v>823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5"/>
    </row>
    <row r="275" spans="1:12" outlineLevel="2">
      <c r="A275" s="8" t="s">
        <v>824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5"/>
    </row>
    <row r="276" spans="1:12" customHeight="1" ht="105" outlineLevel="4">
      <c r="A276" s="1"/>
      <c r="B276" s="1">
        <v>833404</v>
      </c>
      <c r="C276" s="1" t="s">
        <v>825</v>
      </c>
      <c r="D276" s="1" t="s">
        <v>826</v>
      </c>
      <c r="E276" s="2" t="s">
        <v>827</v>
      </c>
      <c r="F276" s="2" t="s">
        <v>828</v>
      </c>
      <c r="G276" s="2" t="s">
        <v>23</v>
      </c>
      <c r="H276" s="2">
        <v>0</v>
      </c>
      <c r="I276" s="1">
        <v>0</v>
      </c>
      <c r="J276" s="3" t="s">
        <v>19</v>
      </c>
      <c r="K276" s="2" t="str">
        <f>J276*2325.13</f>
        <v>0</v>
      </c>
      <c r="L276" s="5"/>
    </row>
    <row r="277" spans="1:12" customHeight="1" ht="105" outlineLevel="4">
      <c r="A277" s="1"/>
      <c r="B277" s="1">
        <v>833405</v>
      </c>
      <c r="C277" s="1" t="s">
        <v>829</v>
      </c>
      <c r="D277" s="1" t="s">
        <v>830</v>
      </c>
      <c r="E277" s="2" t="s">
        <v>831</v>
      </c>
      <c r="F277" s="2" t="s">
        <v>832</v>
      </c>
      <c r="G277" s="2" t="s">
        <v>23</v>
      </c>
      <c r="H277" s="2">
        <v>0</v>
      </c>
      <c r="I277" s="1">
        <v>0</v>
      </c>
      <c r="J277" s="3" t="s">
        <v>19</v>
      </c>
      <c r="K277" s="2" t="str">
        <f>J277*2631.42</f>
        <v>0</v>
      </c>
      <c r="L277" s="5"/>
    </row>
    <row r="278" spans="1:12" customHeight="1" ht="105" outlineLevel="4">
      <c r="A278" s="1"/>
      <c r="B278" s="1">
        <v>833406</v>
      </c>
      <c r="C278" s="1" t="s">
        <v>833</v>
      </c>
      <c r="D278" s="1" t="s">
        <v>834</v>
      </c>
      <c r="E278" s="2" t="s">
        <v>835</v>
      </c>
      <c r="F278" s="2" t="s">
        <v>836</v>
      </c>
      <c r="G278" s="2" t="s">
        <v>485</v>
      </c>
      <c r="H278" s="2">
        <v>0</v>
      </c>
      <c r="I278" s="1">
        <v>0</v>
      </c>
      <c r="J278" s="3" t="s">
        <v>19</v>
      </c>
      <c r="K278" s="2" t="str">
        <f>J278*2442.32</f>
        <v>0</v>
      </c>
      <c r="L278" s="5"/>
    </row>
    <row r="279" spans="1:12" customHeight="1" ht="105" outlineLevel="4">
      <c r="A279" s="1"/>
      <c r="B279" s="1">
        <v>833407</v>
      </c>
      <c r="C279" s="1" t="s">
        <v>837</v>
      </c>
      <c r="D279" s="1" t="s">
        <v>838</v>
      </c>
      <c r="E279" s="2" t="s">
        <v>839</v>
      </c>
      <c r="F279" s="2" t="s">
        <v>840</v>
      </c>
      <c r="G279" s="2" t="s">
        <v>23</v>
      </c>
      <c r="H279" s="2">
        <v>0</v>
      </c>
      <c r="I279" s="1">
        <v>0</v>
      </c>
      <c r="J279" s="3" t="s">
        <v>19</v>
      </c>
      <c r="K279" s="2" t="str">
        <f>J279*2712.35</f>
        <v>0</v>
      </c>
      <c r="L279" s="5"/>
    </row>
    <row r="280" spans="1:12" customHeight="1" ht="105" outlineLevel="4">
      <c r="A280" s="1"/>
      <c r="B280" s="1">
        <v>835193</v>
      </c>
      <c r="C280" s="1" t="s">
        <v>841</v>
      </c>
      <c r="D280" s="1" t="s">
        <v>842</v>
      </c>
      <c r="E280" s="2" t="s">
        <v>843</v>
      </c>
      <c r="F280" s="2" t="s">
        <v>844</v>
      </c>
      <c r="G280" s="2" t="s">
        <v>23</v>
      </c>
      <c r="H280" s="2">
        <v>0</v>
      </c>
      <c r="I280" s="1">
        <v>0</v>
      </c>
      <c r="J280" s="3" t="s">
        <v>19</v>
      </c>
      <c r="K280" s="2" t="str">
        <f>J280*3190.16</f>
        <v>0</v>
      </c>
      <c r="L280" s="5"/>
    </row>
    <row r="281" spans="1:12" customHeight="1" ht="105" outlineLevel="4">
      <c r="A281" s="1"/>
      <c r="B281" s="1">
        <v>835194</v>
      </c>
      <c r="C281" s="1" t="s">
        <v>845</v>
      </c>
      <c r="D281" s="1" t="s">
        <v>846</v>
      </c>
      <c r="E281" s="2" t="s">
        <v>847</v>
      </c>
      <c r="F281" s="2" t="s">
        <v>848</v>
      </c>
      <c r="G281" s="2">
        <v>2</v>
      </c>
      <c r="H281" s="2">
        <v>0</v>
      </c>
      <c r="I281" s="1">
        <v>0</v>
      </c>
      <c r="J281" s="3" t="s">
        <v>19</v>
      </c>
      <c r="K281" s="2" t="str">
        <f>J281*3235.94</f>
        <v>0</v>
      </c>
      <c r="L281" s="5"/>
    </row>
    <row r="282" spans="1:12" outlineLevel="2">
      <c r="A282" s="8" t="s">
        <v>849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5"/>
    </row>
    <row r="283" spans="1:12" customHeight="1" ht="105" outlineLevel="4">
      <c r="A283" s="1"/>
      <c r="B283" s="1">
        <v>873643</v>
      </c>
      <c r="C283" s="1" t="s">
        <v>850</v>
      </c>
      <c r="D283" s="1" t="s">
        <v>851</v>
      </c>
      <c r="E283" s="2" t="s">
        <v>852</v>
      </c>
      <c r="F283" s="2" t="s">
        <v>853</v>
      </c>
      <c r="G283" s="2">
        <v>5</v>
      </c>
      <c r="H283" s="2">
        <v>0</v>
      </c>
      <c r="I283" s="1">
        <v>0</v>
      </c>
      <c r="J283" s="3" t="s">
        <v>19</v>
      </c>
      <c r="K283" s="2" t="str">
        <f>J283*2462.27</f>
        <v>0</v>
      </c>
      <c r="L283" s="5"/>
    </row>
    <row r="284" spans="1:12" customHeight="1" ht="105" outlineLevel="4">
      <c r="A284" s="1"/>
      <c r="B284" s="1">
        <v>873644</v>
      </c>
      <c r="C284" s="1" t="s">
        <v>854</v>
      </c>
      <c r="D284" s="1" t="s">
        <v>855</v>
      </c>
      <c r="E284" s="2" t="s">
        <v>856</v>
      </c>
      <c r="F284" s="2" t="s">
        <v>857</v>
      </c>
      <c r="G284" s="2">
        <v>4</v>
      </c>
      <c r="H284" s="2">
        <v>0</v>
      </c>
      <c r="I284" s="1">
        <v>0</v>
      </c>
      <c r="J284" s="3" t="s">
        <v>19</v>
      </c>
      <c r="K284" s="2" t="str">
        <f>J284*2597.78</f>
        <v>0</v>
      </c>
      <c r="L284" s="5"/>
    </row>
    <row r="285" spans="1:12" customHeight="1" ht="105" outlineLevel="4">
      <c r="A285" s="1"/>
      <c r="B285" s="1">
        <v>873645</v>
      </c>
      <c r="C285" s="1" t="s">
        <v>858</v>
      </c>
      <c r="D285" s="1" t="s">
        <v>859</v>
      </c>
      <c r="E285" s="2" t="s">
        <v>860</v>
      </c>
      <c r="F285" s="2" t="s">
        <v>861</v>
      </c>
      <c r="G285" s="2">
        <v>4</v>
      </c>
      <c r="H285" s="2">
        <v>0</v>
      </c>
      <c r="I285" s="1">
        <v>0</v>
      </c>
      <c r="J285" s="3" t="s">
        <v>19</v>
      </c>
      <c r="K285" s="2" t="str">
        <f>J285*2577.20</f>
        <v>0</v>
      </c>
      <c r="L285" s="5"/>
    </row>
    <row r="286" spans="1:12" customHeight="1" ht="105" outlineLevel="4">
      <c r="A286" s="1"/>
      <c r="B286" s="1">
        <v>873646</v>
      </c>
      <c r="C286" s="1" t="s">
        <v>862</v>
      </c>
      <c r="D286" s="1" t="s">
        <v>863</v>
      </c>
      <c r="E286" s="2" t="s">
        <v>864</v>
      </c>
      <c r="F286" s="2" t="s">
        <v>865</v>
      </c>
      <c r="G286" s="2">
        <v>2</v>
      </c>
      <c r="H286" s="2">
        <v>0</v>
      </c>
      <c r="I286" s="1">
        <v>0</v>
      </c>
      <c r="J286" s="3" t="s">
        <v>19</v>
      </c>
      <c r="K286" s="2" t="str">
        <f>J286*3111.83</f>
        <v>0</v>
      </c>
      <c r="L286" s="5"/>
    </row>
    <row r="287" spans="1:12" customHeight="1" ht="105" outlineLevel="4">
      <c r="A287" s="1"/>
      <c r="B287" s="1">
        <v>873647</v>
      </c>
      <c r="C287" s="1" t="s">
        <v>866</v>
      </c>
      <c r="D287" s="1" t="s">
        <v>867</v>
      </c>
      <c r="E287" s="2" t="s">
        <v>868</v>
      </c>
      <c r="F287" s="2" t="s">
        <v>869</v>
      </c>
      <c r="G287" s="2">
        <v>4</v>
      </c>
      <c r="H287" s="2">
        <v>0</v>
      </c>
      <c r="I287" s="1">
        <v>0</v>
      </c>
      <c r="J287" s="3" t="s">
        <v>19</v>
      </c>
      <c r="K287" s="2" t="str">
        <f>J287*3790.53</f>
        <v>0</v>
      </c>
      <c r="L287" s="5"/>
    </row>
    <row r="288" spans="1:12" customHeight="1" ht="105" outlineLevel="4">
      <c r="A288" s="1"/>
      <c r="B288" s="1">
        <v>873649</v>
      </c>
      <c r="C288" s="1" t="s">
        <v>870</v>
      </c>
      <c r="D288" s="1" t="s">
        <v>871</v>
      </c>
      <c r="E288" s="2" t="s">
        <v>872</v>
      </c>
      <c r="F288" s="2" t="s">
        <v>873</v>
      </c>
      <c r="G288" s="2">
        <v>8</v>
      </c>
      <c r="H288" s="2">
        <v>0</v>
      </c>
      <c r="I288" s="1">
        <v>0</v>
      </c>
      <c r="J288" s="3" t="s">
        <v>19</v>
      </c>
      <c r="K288" s="2" t="str">
        <f>J288*2747.62</f>
        <v>0</v>
      </c>
      <c r="L288" s="5"/>
    </row>
    <row r="289" spans="1:12" customHeight="1" ht="105" outlineLevel="4">
      <c r="A289" s="1"/>
      <c r="B289" s="1">
        <v>873650</v>
      </c>
      <c r="C289" s="1" t="s">
        <v>874</v>
      </c>
      <c r="D289" s="1" t="s">
        <v>875</v>
      </c>
      <c r="E289" s="2" t="s">
        <v>876</v>
      </c>
      <c r="F289" s="2" t="s">
        <v>877</v>
      </c>
      <c r="G289" s="2">
        <v>4</v>
      </c>
      <c r="H289" s="2">
        <v>0</v>
      </c>
      <c r="I289" s="1">
        <v>0</v>
      </c>
      <c r="J289" s="3" t="s">
        <v>19</v>
      </c>
      <c r="K289" s="2" t="str">
        <f>J289*2908.80</f>
        <v>0</v>
      </c>
      <c r="L289" s="5"/>
    </row>
    <row r="290" spans="1:12" customHeight="1" ht="105" outlineLevel="4">
      <c r="A290" s="1"/>
      <c r="B290" s="1">
        <v>873651</v>
      </c>
      <c r="C290" s="1" t="s">
        <v>878</v>
      </c>
      <c r="D290" s="1" t="s">
        <v>879</v>
      </c>
      <c r="E290" s="2" t="s">
        <v>880</v>
      </c>
      <c r="F290" s="2" t="s">
        <v>881</v>
      </c>
      <c r="G290" s="2">
        <v>4</v>
      </c>
      <c r="H290" s="2">
        <v>0</v>
      </c>
      <c r="I290" s="1">
        <v>0</v>
      </c>
      <c r="J290" s="3" t="s">
        <v>19</v>
      </c>
      <c r="K290" s="2" t="str">
        <f>J290*3340.99</f>
        <v>0</v>
      </c>
      <c r="L290" s="5"/>
    </row>
    <row r="291" spans="1:12" customHeight="1" ht="105" outlineLevel="4">
      <c r="A291" s="1"/>
      <c r="B291" s="1">
        <v>873652</v>
      </c>
      <c r="C291" s="1" t="s">
        <v>882</v>
      </c>
      <c r="D291" s="1" t="s">
        <v>883</v>
      </c>
      <c r="E291" s="2" t="s">
        <v>884</v>
      </c>
      <c r="F291" s="2" t="s">
        <v>885</v>
      </c>
      <c r="G291" s="2">
        <v>2</v>
      </c>
      <c r="H291" s="2">
        <v>0</v>
      </c>
      <c r="I291" s="1">
        <v>0</v>
      </c>
      <c r="J291" s="3" t="s">
        <v>19</v>
      </c>
      <c r="K291" s="2" t="str">
        <f>J291*3909.15</f>
        <v>0</v>
      </c>
      <c r="L291" s="5"/>
    </row>
    <row r="292" spans="1:12" outlineLevel="2">
      <c r="A292" s="8" t="s">
        <v>886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5"/>
    </row>
    <row r="293" spans="1:12" outlineLevel="4">
      <c r="A293" s="1"/>
      <c r="B293" s="1">
        <v>956487</v>
      </c>
      <c r="C293" s="1" t="s">
        <v>887</v>
      </c>
      <c r="D293" s="1" t="s">
        <v>888</v>
      </c>
      <c r="E293" s="2" t="s">
        <v>889</v>
      </c>
      <c r="F293" s="2" t="s">
        <v>890</v>
      </c>
      <c r="G293" s="2">
        <v>0</v>
      </c>
      <c r="H293" s="2">
        <v>0</v>
      </c>
      <c r="I293" s="1">
        <v>0</v>
      </c>
      <c r="J293" s="3" t="s">
        <v>19</v>
      </c>
      <c r="K293" s="2" t="str">
        <f>J293*2507.82</f>
        <v>0</v>
      </c>
      <c r="L293" s="5"/>
    </row>
    <row r="294" spans="1:12" outlineLevel="4">
      <c r="A294" s="1"/>
      <c r="B294" s="1">
        <v>956488</v>
      </c>
      <c r="C294" s="1" t="s">
        <v>891</v>
      </c>
      <c r="D294" s="1" t="s">
        <v>892</v>
      </c>
      <c r="E294" s="2" t="s">
        <v>893</v>
      </c>
      <c r="F294" s="2" t="s">
        <v>894</v>
      </c>
      <c r="G294" s="2">
        <v>0</v>
      </c>
      <c r="H294" s="2">
        <v>0</v>
      </c>
      <c r="I294" s="1">
        <v>0</v>
      </c>
      <c r="J294" s="3" t="s">
        <v>19</v>
      </c>
      <c r="K294" s="2" t="str">
        <f>J294*2713.62</f>
        <v>0</v>
      </c>
      <c r="L294" s="5"/>
    </row>
    <row r="295" spans="1:12" outlineLevel="4">
      <c r="A295" s="1"/>
      <c r="B295" s="1">
        <v>956489</v>
      </c>
      <c r="C295" s="1" t="s">
        <v>895</v>
      </c>
      <c r="D295" s="1" t="s">
        <v>896</v>
      </c>
      <c r="E295" s="2" t="s">
        <v>897</v>
      </c>
      <c r="F295" s="2" t="s">
        <v>898</v>
      </c>
      <c r="G295" s="2">
        <v>4</v>
      </c>
      <c r="H295" s="2">
        <v>0</v>
      </c>
      <c r="I295" s="1">
        <v>0</v>
      </c>
      <c r="J295" s="3" t="s">
        <v>19</v>
      </c>
      <c r="K295" s="2" t="str">
        <f>J295*3070.83</f>
        <v>0</v>
      </c>
      <c r="L295" s="5"/>
    </row>
    <row r="296" spans="1:12" outlineLevel="4">
      <c r="A296" s="1"/>
      <c r="B296" s="1">
        <v>956490</v>
      </c>
      <c r="C296" s="1" t="s">
        <v>899</v>
      </c>
      <c r="D296" s="1" t="s">
        <v>900</v>
      </c>
      <c r="E296" s="2" t="s">
        <v>901</v>
      </c>
      <c r="F296" s="2" t="s">
        <v>902</v>
      </c>
      <c r="G296" s="2">
        <v>1</v>
      </c>
      <c r="H296" s="2">
        <v>0</v>
      </c>
      <c r="I296" s="1">
        <v>0</v>
      </c>
      <c r="J296" s="3" t="s">
        <v>19</v>
      </c>
      <c r="K296" s="2" t="str">
        <f>J296*2553.39</f>
        <v>0</v>
      </c>
      <c r="L296" s="5"/>
    </row>
    <row r="297" spans="1:12" outlineLevel="4">
      <c r="A297" s="1"/>
      <c r="B297" s="1">
        <v>956491</v>
      </c>
      <c r="C297" s="1" t="s">
        <v>903</v>
      </c>
      <c r="D297" s="1" t="s">
        <v>904</v>
      </c>
      <c r="E297" s="2" t="s">
        <v>905</v>
      </c>
      <c r="F297" s="2" t="s">
        <v>906</v>
      </c>
      <c r="G297" s="2">
        <v>6</v>
      </c>
      <c r="H297" s="2">
        <v>0</v>
      </c>
      <c r="I297" s="1">
        <v>0</v>
      </c>
      <c r="J297" s="3" t="s">
        <v>19</v>
      </c>
      <c r="K297" s="2" t="str">
        <f>J297*2753.31</f>
        <v>0</v>
      </c>
      <c r="L297" s="5"/>
    </row>
    <row r="298" spans="1:12" outlineLevel="4">
      <c r="A298" s="1"/>
      <c r="B298" s="1">
        <v>956492</v>
      </c>
      <c r="C298" s="1" t="s">
        <v>907</v>
      </c>
      <c r="D298" s="1" t="s">
        <v>908</v>
      </c>
      <c r="E298" s="2" t="s">
        <v>909</v>
      </c>
      <c r="F298" s="2" t="s">
        <v>910</v>
      </c>
      <c r="G298" s="2">
        <v>4</v>
      </c>
      <c r="H298" s="2">
        <v>0</v>
      </c>
      <c r="I298" s="1">
        <v>0</v>
      </c>
      <c r="J298" s="3" t="s">
        <v>19</v>
      </c>
      <c r="K298" s="2" t="str">
        <f>J298*3087.00</f>
        <v>0</v>
      </c>
      <c r="L298" s="5"/>
    </row>
    <row r="299" spans="1:12" outlineLevel="2">
      <c r="A299" s="8" t="s">
        <v>911</v>
      </c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5"/>
    </row>
    <row r="300" spans="1:12" outlineLevel="4">
      <c r="A300" s="1"/>
      <c r="B300" s="1">
        <v>958497</v>
      </c>
      <c r="C300" s="1" t="s">
        <v>912</v>
      </c>
      <c r="D300" s="1">
        <v>83922</v>
      </c>
      <c r="E300" s="2" t="s">
        <v>913</v>
      </c>
      <c r="F300" s="2" t="s">
        <v>914</v>
      </c>
      <c r="G300" s="2">
        <v>0</v>
      </c>
      <c r="H300" s="2">
        <v>0</v>
      </c>
      <c r="I300" s="1">
        <v>0</v>
      </c>
      <c r="J300" s="3" t="s">
        <v>19</v>
      </c>
      <c r="K300" s="2" t="str">
        <f>J300*5994.00</f>
        <v>0</v>
      </c>
      <c r="L300" s="5"/>
    </row>
    <row r="301" spans="1:12" outlineLevel="4">
      <c r="A301" s="1"/>
      <c r="B301" s="1">
        <v>958498</v>
      </c>
      <c r="C301" s="1" t="s">
        <v>915</v>
      </c>
      <c r="D301" s="1">
        <v>26042</v>
      </c>
      <c r="E301" s="2" t="s">
        <v>916</v>
      </c>
      <c r="F301" s="2" t="s">
        <v>917</v>
      </c>
      <c r="G301" s="2">
        <v>0</v>
      </c>
      <c r="H301" s="2">
        <v>0</v>
      </c>
      <c r="I301" s="1">
        <v>0</v>
      </c>
      <c r="J301" s="3" t="s">
        <v>19</v>
      </c>
      <c r="K301" s="2" t="str">
        <f>J301*4665.00</f>
        <v>0</v>
      </c>
      <c r="L301" s="5"/>
    </row>
    <row r="302" spans="1:12" outlineLevel="4">
      <c r="A302" s="1"/>
      <c r="B302" s="1">
        <v>958499</v>
      </c>
      <c r="C302" s="1" t="s">
        <v>918</v>
      </c>
      <c r="D302" s="1">
        <v>43785</v>
      </c>
      <c r="E302" s="2" t="s">
        <v>919</v>
      </c>
      <c r="F302" s="2" t="s">
        <v>920</v>
      </c>
      <c r="G302" s="2">
        <v>0</v>
      </c>
      <c r="H302" s="2">
        <v>0</v>
      </c>
      <c r="I302" s="1">
        <v>0</v>
      </c>
      <c r="J302" s="3" t="s">
        <v>19</v>
      </c>
      <c r="K302" s="2" t="str">
        <f>J302*6989.00</f>
        <v>0</v>
      </c>
      <c r="L302" s="5"/>
    </row>
    <row r="303" spans="1:12" outlineLevel="4">
      <c r="A303" s="1"/>
      <c r="B303" s="1">
        <v>958500</v>
      </c>
      <c r="C303" s="1" t="s">
        <v>921</v>
      </c>
      <c r="D303" s="1">
        <v>19503</v>
      </c>
      <c r="E303" s="2" t="s">
        <v>922</v>
      </c>
      <c r="F303" s="2" t="s">
        <v>923</v>
      </c>
      <c r="G303" s="2">
        <v>0</v>
      </c>
      <c r="H303" s="2">
        <v>0</v>
      </c>
      <c r="I303" s="1">
        <v>0</v>
      </c>
      <c r="J303" s="3" t="s">
        <v>19</v>
      </c>
      <c r="K303" s="2" t="str">
        <f>J303*8018.00</f>
        <v>0</v>
      </c>
      <c r="L303" s="5"/>
    </row>
    <row r="304" spans="1:12" outlineLevel="4">
      <c r="A304" s="1"/>
      <c r="B304" s="1">
        <v>958501</v>
      </c>
      <c r="C304" s="1" t="s">
        <v>924</v>
      </c>
      <c r="D304" s="1">
        <v>13099</v>
      </c>
      <c r="E304" s="2" t="s">
        <v>925</v>
      </c>
      <c r="F304" s="2" t="s">
        <v>926</v>
      </c>
      <c r="G304" s="2">
        <v>0</v>
      </c>
      <c r="H304" s="2">
        <v>0</v>
      </c>
      <c r="I304" s="1">
        <v>0</v>
      </c>
      <c r="J304" s="3" t="s">
        <v>19</v>
      </c>
      <c r="K304" s="2" t="str">
        <f>J304*5725.00</f>
        <v>0</v>
      </c>
      <c r="L304" s="5"/>
    </row>
    <row r="305" spans="1:12" outlineLevel="4">
      <c r="A305" s="1"/>
      <c r="B305" s="1">
        <v>958502</v>
      </c>
      <c r="C305" s="1" t="s">
        <v>927</v>
      </c>
      <c r="D305" s="1">
        <v>26903</v>
      </c>
      <c r="E305" s="2" t="s">
        <v>928</v>
      </c>
      <c r="F305" s="2" t="s">
        <v>929</v>
      </c>
      <c r="G305" s="2">
        <v>0</v>
      </c>
      <c r="H305" s="2">
        <v>0</v>
      </c>
      <c r="I305" s="1">
        <v>0</v>
      </c>
      <c r="J305" s="3" t="s">
        <v>19</v>
      </c>
      <c r="K305" s="2" t="str">
        <f>J305*6109.00</f>
        <v>0</v>
      </c>
      <c r="L305" s="5"/>
    </row>
    <row r="306" spans="1:12" outlineLevel="4">
      <c r="A306" s="1"/>
      <c r="B306" s="1">
        <v>958503</v>
      </c>
      <c r="C306" s="1" t="s">
        <v>930</v>
      </c>
      <c r="D306" s="1">
        <v>12649</v>
      </c>
      <c r="E306" s="2" t="s">
        <v>931</v>
      </c>
      <c r="F306" s="2" t="s">
        <v>932</v>
      </c>
      <c r="G306" s="2">
        <v>0</v>
      </c>
      <c r="H306" s="2">
        <v>0</v>
      </c>
      <c r="I306" s="1">
        <v>0</v>
      </c>
      <c r="J306" s="3" t="s">
        <v>19</v>
      </c>
      <c r="K306" s="2" t="str">
        <f>J306*6443.00</f>
        <v>0</v>
      </c>
      <c r="L306" s="5"/>
    </row>
    <row r="307" spans="1:12" outlineLevel="4">
      <c r="A307" s="1"/>
      <c r="B307" s="1">
        <v>958504</v>
      </c>
      <c r="C307" s="1" t="s">
        <v>933</v>
      </c>
      <c r="D307" s="1">
        <v>16500</v>
      </c>
      <c r="E307" s="2" t="s">
        <v>934</v>
      </c>
      <c r="F307" s="2" t="s">
        <v>935</v>
      </c>
      <c r="G307" s="2">
        <v>0</v>
      </c>
      <c r="H307" s="2">
        <v>0</v>
      </c>
      <c r="I307" s="1">
        <v>0</v>
      </c>
      <c r="J307" s="3" t="s">
        <v>19</v>
      </c>
      <c r="K307" s="2" t="str">
        <f>J307*7105.00</f>
        <v>0</v>
      </c>
      <c r="L307" s="5"/>
    </row>
    <row r="308" spans="1:12" outlineLevel="4">
      <c r="A308" s="1"/>
      <c r="B308" s="1">
        <v>958505</v>
      </c>
      <c r="C308" s="1" t="s">
        <v>936</v>
      </c>
      <c r="D308" s="1">
        <v>32576</v>
      </c>
      <c r="E308" s="2" t="s">
        <v>937</v>
      </c>
      <c r="F308" s="2" t="s">
        <v>938</v>
      </c>
      <c r="G308" s="2">
        <v>0</v>
      </c>
      <c r="H308" s="2">
        <v>0</v>
      </c>
      <c r="I308" s="1">
        <v>0</v>
      </c>
      <c r="J308" s="3" t="s">
        <v>19</v>
      </c>
      <c r="K308" s="2" t="str">
        <f>J308*8133.00</f>
        <v>0</v>
      </c>
      <c r="L308" s="5"/>
    </row>
    <row r="309" spans="1:12" outlineLevel="4">
      <c r="A309" s="1"/>
      <c r="B309" s="1">
        <v>958506</v>
      </c>
      <c r="C309" s="1" t="s">
        <v>939</v>
      </c>
      <c r="D309" s="1">
        <v>42076</v>
      </c>
      <c r="E309" s="2" t="s">
        <v>940</v>
      </c>
      <c r="F309" s="2" t="s">
        <v>941</v>
      </c>
      <c r="G309" s="2">
        <v>0</v>
      </c>
      <c r="H309" s="2">
        <v>0</v>
      </c>
      <c r="I309" s="1">
        <v>0</v>
      </c>
      <c r="J309" s="3" t="s">
        <v>19</v>
      </c>
      <c r="K309" s="2" t="str">
        <f>J309*4112.00</f>
        <v>0</v>
      </c>
      <c r="L309" s="5"/>
    </row>
    <row r="310" spans="1:12" outlineLevel="1">
      <c r="A310" s="7" t="s">
        <v>942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5"/>
    </row>
    <row r="311" spans="1:12" outlineLevel="2">
      <c r="A311" s="8" t="s">
        <v>943</v>
      </c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5"/>
    </row>
    <row r="312" spans="1:12" customHeight="1" ht="105" outlineLevel="4">
      <c r="A312" s="1"/>
      <c r="B312" s="1">
        <v>882097</v>
      </c>
      <c r="C312" s="1" t="s">
        <v>944</v>
      </c>
      <c r="D312" s="1" t="s">
        <v>945</v>
      </c>
      <c r="E312" s="2" t="s">
        <v>946</v>
      </c>
      <c r="F312" s="2" t="s">
        <v>947</v>
      </c>
      <c r="G312" s="2">
        <v>1</v>
      </c>
      <c r="H312" s="2">
        <v>0</v>
      </c>
      <c r="I312" s="1">
        <v>0</v>
      </c>
      <c r="J312" s="3" t="s">
        <v>19</v>
      </c>
      <c r="K312" s="2" t="str">
        <f>J312*4315.92</f>
        <v>0</v>
      </c>
      <c r="L312" s="5"/>
    </row>
    <row r="313" spans="1:12" customHeight="1" ht="105" outlineLevel="4">
      <c r="A313" s="1"/>
      <c r="B313" s="1">
        <v>879987</v>
      </c>
      <c r="C313" s="1" t="s">
        <v>948</v>
      </c>
      <c r="D313" s="1" t="s">
        <v>949</v>
      </c>
      <c r="E313" s="2" t="s">
        <v>950</v>
      </c>
      <c r="F313" s="2" t="s">
        <v>951</v>
      </c>
      <c r="G313" s="2" t="s">
        <v>485</v>
      </c>
      <c r="H313" s="2">
        <v>0</v>
      </c>
      <c r="I313" s="1">
        <v>0</v>
      </c>
      <c r="J313" s="3" t="s">
        <v>19</v>
      </c>
      <c r="K313" s="2" t="str">
        <f>J313*4294.72</f>
        <v>0</v>
      </c>
      <c r="L313" s="5"/>
    </row>
    <row r="314" spans="1:12" customHeight="1" ht="105" outlineLevel="4">
      <c r="A314" s="1"/>
      <c r="B314" s="1">
        <v>833378</v>
      </c>
      <c r="C314" s="1" t="s">
        <v>952</v>
      </c>
      <c r="D314" s="1" t="s">
        <v>953</v>
      </c>
      <c r="E314" s="2" t="s">
        <v>954</v>
      </c>
      <c r="F314" s="2" t="s">
        <v>955</v>
      </c>
      <c r="G314" s="2">
        <v>4</v>
      </c>
      <c r="H314" s="2">
        <v>0</v>
      </c>
      <c r="I314" s="1">
        <v>0</v>
      </c>
      <c r="J314" s="3" t="s">
        <v>19</v>
      </c>
      <c r="K314" s="2" t="str">
        <f>J314*8697.90</f>
        <v>0</v>
      </c>
      <c r="L314" s="5"/>
    </row>
    <row r="315" spans="1:12" customHeight="1" ht="105" outlineLevel="4">
      <c r="A315" s="1"/>
      <c r="B315" s="1">
        <v>833379</v>
      </c>
      <c r="C315" s="1" t="s">
        <v>956</v>
      </c>
      <c r="D315" s="1" t="s">
        <v>957</v>
      </c>
      <c r="E315" s="2" t="s">
        <v>958</v>
      </c>
      <c r="F315" s="2" t="s">
        <v>959</v>
      </c>
      <c r="G315" s="2">
        <v>4</v>
      </c>
      <c r="H315" s="2">
        <v>0</v>
      </c>
      <c r="I315" s="1">
        <v>0</v>
      </c>
      <c r="J315" s="3" t="s">
        <v>19</v>
      </c>
      <c r="K315" s="2" t="str">
        <f>J315*10603.41</f>
        <v>0</v>
      </c>
      <c r="L315" s="5"/>
    </row>
    <row r="316" spans="1:12" customHeight="1" ht="105" outlineLevel="4">
      <c r="A316" s="1"/>
      <c r="B316" s="1">
        <v>833380</v>
      </c>
      <c r="C316" s="1" t="s">
        <v>960</v>
      </c>
      <c r="D316" s="1" t="s">
        <v>961</v>
      </c>
      <c r="E316" s="2" t="s">
        <v>962</v>
      </c>
      <c r="F316" s="2" t="s">
        <v>963</v>
      </c>
      <c r="G316" s="2">
        <v>4</v>
      </c>
      <c r="H316" s="2">
        <v>0</v>
      </c>
      <c r="I316" s="1">
        <v>0</v>
      </c>
      <c r="J316" s="3" t="s">
        <v>19</v>
      </c>
      <c r="K316" s="2" t="str">
        <f>J316*12265.93</f>
        <v>0</v>
      </c>
      <c r="L316" s="5"/>
    </row>
    <row r="317" spans="1:12" customHeight="1" ht="105" outlineLevel="4">
      <c r="A317" s="1"/>
      <c r="B317" s="1">
        <v>833381</v>
      </c>
      <c r="C317" s="1" t="s">
        <v>964</v>
      </c>
      <c r="D317" s="1" t="s">
        <v>965</v>
      </c>
      <c r="E317" s="2" t="s">
        <v>966</v>
      </c>
      <c r="F317" s="2" t="s">
        <v>967</v>
      </c>
      <c r="G317" s="2">
        <v>3</v>
      </c>
      <c r="H317" s="2">
        <v>0</v>
      </c>
      <c r="I317" s="1">
        <v>0</v>
      </c>
      <c r="J317" s="3" t="s">
        <v>19</v>
      </c>
      <c r="K317" s="2" t="str">
        <f>J317*13954.53</f>
        <v>0</v>
      </c>
      <c r="L317" s="5"/>
    </row>
    <row r="318" spans="1:12" customHeight="1" ht="105" outlineLevel="4">
      <c r="A318" s="1"/>
      <c r="B318" s="1">
        <v>833382</v>
      </c>
      <c r="C318" s="1" t="s">
        <v>968</v>
      </c>
      <c r="D318" s="1" t="s">
        <v>969</v>
      </c>
      <c r="E318" s="2" t="s">
        <v>970</v>
      </c>
      <c r="F318" s="2" t="s">
        <v>971</v>
      </c>
      <c r="G318" s="2">
        <v>1</v>
      </c>
      <c r="H318" s="2">
        <v>0</v>
      </c>
      <c r="I318" s="1">
        <v>0</v>
      </c>
      <c r="J318" s="3" t="s">
        <v>19</v>
      </c>
      <c r="K318" s="2" t="str">
        <f>J318*16918.46</f>
        <v>0</v>
      </c>
      <c r="L318" s="5"/>
    </row>
    <row r="319" spans="1:12" customHeight="1" ht="105" outlineLevel="4">
      <c r="A319" s="1"/>
      <c r="B319" s="1">
        <v>833383</v>
      </c>
      <c r="C319" s="1" t="s">
        <v>972</v>
      </c>
      <c r="D319" s="1" t="s">
        <v>973</v>
      </c>
      <c r="E319" s="2" t="s">
        <v>974</v>
      </c>
      <c r="F319" s="2" t="s">
        <v>975</v>
      </c>
      <c r="G319" s="2">
        <v>2</v>
      </c>
      <c r="H319" s="2">
        <v>0</v>
      </c>
      <c r="I319" s="1">
        <v>0</v>
      </c>
      <c r="J319" s="3" t="s">
        <v>19</v>
      </c>
      <c r="K319" s="2" t="str">
        <f>J319*8842.75</f>
        <v>0</v>
      </c>
      <c r="L319" s="5"/>
    </row>
    <row r="320" spans="1:12" customHeight="1" ht="105" outlineLevel="4">
      <c r="A320" s="1"/>
      <c r="B320" s="1">
        <v>833384</v>
      </c>
      <c r="C320" s="1" t="s">
        <v>976</v>
      </c>
      <c r="D320" s="1" t="s">
        <v>977</v>
      </c>
      <c r="E320" s="2" t="s">
        <v>978</v>
      </c>
      <c r="F320" s="2" t="s">
        <v>979</v>
      </c>
      <c r="G320" s="2">
        <v>0</v>
      </c>
      <c r="H320" s="2">
        <v>0</v>
      </c>
      <c r="I320" s="1">
        <v>0</v>
      </c>
      <c r="J320" s="3" t="s">
        <v>19</v>
      </c>
      <c r="K320" s="2" t="str">
        <f>J320*4061.23</f>
        <v>0</v>
      </c>
      <c r="L320" s="5"/>
    </row>
    <row r="321" spans="1:12" customHeight="1" ht="105" outlineLevel="4">
      <c r="A321" s="1"/>
      <c r="B321" s="1">
        <v>833385</v>
      </c>
      <c r="C321" s="1" t="s">
        <v>980</v>
      </c>
      <c r="D321" s="1" t="s">
        <v>981</v>
      </c>
      <c r="E321" s="2" t="s">
        <v>982</v>
      </c>
      <c r="F321" s="2" t="s">
        <v>983</v>
      </c>
      <c r="G321" s="2">
        <v>0</v>
      </c>
      <c r="H321" s="2">
        <v>0</v>
      </c>
      <c r="I321" s="1">
        <v>0</v>
      </c>
      <c r="J321" s="3" t="s">
        <v>19</v>
      </c>
      <c r="K321" s="2" t="str">
        <f>J321*4295.42</f>
        <v>0</v>
      </c>
      <c r="L321" s="5"/>
    </row>
    <row r="322" spans="1:12" customHeight="1" ht="105" outlineLevel="4">
      <c r="A322" s="1"/>
      <c r="B322" s="1">
        <v>833386</v>
      </c>
      <c r="C322" s="1" t="s">
        <v>984</v>
      </c>
      <c r="D322" s="1" t="s">
        <v>985</v>
      </c>
      <c r="E322" s="2" t="s">
        <v>986</v>
      </c>
      <c r="F322" s="2" t="s">
        <v>987</v>
      </c>
      <c r="G322" s="2">
        <v>0</v>
      </c>
      <c r="H322" s="2">
        <v>0</v>
      </c>
      <c r="I322" s="1">
        <v>0</v>
      </c>
      <c r="J322" s="3" t="s">
        <v>19</v>
      </c>
      <c r="K322" s="2" t="str">
        <f>J322*4774.85</f>
        <v>0</v>
      </c>
      <c r="L322" s="5"/>
    </row>
    <row r="323" spans="1:12" customHeight="1" ht="105" outlineLevel="4">
      <c r="A323" s="1"/>
      <c r="B323" s="1">
        <v>833387</v>
      </c>
      <c r="C323" s="1" t="s">
        <v>988</v>
      </c>
      <c r="D323" s="1" t="s">
        <v>989</v>
      </c>
      <c r="E323" s="2" t="s">
        <v>990</v>
      </c>
      <c r="F323" s="2" t="s">
        <v>991</v>
      </c>
      <c r="G323" s="2">
        <v>4</v>
      </c>
      <c r="H323" s="2">
        <v>0</v>
      </c>
      <c r="I323" s="1">
        <v>0</v>
      </c>
      <c r="J323" s="3" t="s">
        <v>19</v>
      </c>
      <c r="K323" s="2" t="str">
        <f>J323*3834.36</f>
        <v>0</v>
      </c>
      <c r="L323" s="5"/>
    </row>
    <row r="324" spans="1:12" customHeight="1" ht="105" outlineLevel="4">
      <c r="A324" s="1"/>
      <c r="B324" s="1">
        <v>833388</v>
      </c>
      <c r="C324" s="1" t="s">
        <v>992</v>
      </c>
      <c r="D324" s="1" t="s">
        <v>993</v>
      </c>
      <c r="E324" s="2" t="s">
        <v>994</v>
      </c>
      <c r="F324" s="2" t="s">
        <v>995</v>
      </c>
      <c r="G324" s="2" t="s">
        <v>485</v>
      </c>
      <c r="H324" s="2">
        <v>0</v>
      </c>
      <c r="I324" s="1">
        <v>0</v>
      </c>
      <c r="J324" s="3" t="s">
        <v>19</v>
      </c>
      <c r="K324" s="2" t="str">
        <f>J324*4221.84</f>
        <v>0</v>
      </c>
      <c r="L324" s="5"/>
    </row>
    <row r="325" spans="1:12" customHeight="1" ht="105" outlineLevel="4">
      <c r="A325" s="1"/>
      <c r="B325" s="1">
        <v>833389</v>
      </c>
      <c r="C325" s="1" t="s">
        <v>996</v>
      </c>
      <c r="D325" s="1" t="s">
        <v>997</v>
      </c>
      <c r="E325" s="2" t="s">
        <v>998</v>
      </c>
      <c r="F325" s="2" t="s">
        <v>999</v>
      </c>
      <c r="G325" s="2">
        <v>5</v>
      </c>
      <c r="H325" s="2">
        <v>0</v>
      </c>
      <c r="I325" s="1">
        <v>0</v>
      </c>
      <c r="J325" s="3" t="s">
        <v>19</v>
      </c>
      <c r="K325" s="2" t="str">
        <f>J325*4519.69</f>
        <v>0</v>
      </c>
      <c r="L325" s="5"/>
    </row>
    <row r="326" spans="1:12" customHeight="1" ht="105" outlineLevel="4">
      <c r="A326" s="1"/>
      <c r="B326" s="1">
        <v>837269</v>
      </c>
      <c r="C326" s="1" t="s">
        <v>1000</v>
      </c>
      <c r="D326" s="1" t="s">
        <v>1001</v>
      </c>
      <c r="E326" s="2" t="s">
        <v>1002</v>
      </c>
      <c r="F326" s="2" t="s">
        <v>1003</v>
      </c>
      <c r="G326" s="2">
        <v>0</v>
      </c>
      <c r="H326" s="2">
        <v>0</v>
      </c>
      <c r="I326" s="1">
        <v>0</v>
      </c>
      <c r="J326" s="3" t="s">
        <v>19</v>
      </c>
      <c r="K326" s="2" t="str">
        <f>J326*8983.76</f>
        <v>0</v>
      </c>
      <c r="L326" s="5"/>
    </row>
    <row r="327" spans="1:12" customHeight="1" ht="105" outlineLevel="4">
      <c r="A327" s="1"/>
      <c r="B327" s="1">
        <v>839076</v>
      </c>
      <c r="C327" s="1" t="s">
        <v>1004</v>
      </c>
      <c r="D327" s="1" t="s">
        <v>1005</v>
      </c>
      <c r="E327" s="2" t="s">
        <v>1006</v>
      </c>
      <c r="F327" s="2" t="s">
        <v>1007</v>
      </c>
      <c r="G327" s="2">
        <v>2</v>
      </c>
      <c r="H327" s="2">
        <v>0</v>
      </c>
      <c r="I327" s="1">
        <v>0</v>
      </c>
      <c r="J327" s="3" t="s">
        <v>19</v>
      </c>
      <c r="K327" s="2" t="str">
        <f>J327*10710.26</f>
        <v>0</v>
      </c>
      <c r="L327" s="5"/>
    </row>
    <row r="328" spans="1:12" customHeight="1" ht="105" outlineLevel="4">
      <c r="A328" s="1"/>
      <c r="B328" s="1">
        <v>874005</v>
      </c>
      <c r="C328" s="1" t="s">
        <v>1008</v>
      </c>
      <c r="D328" s="1" t="s">
        <v>1009</v>
      </c>
      <c r="E328" s="2" t="s">
        <v>1010</v>
      </c>
      <c r="F328" s="2" t="s">
        <v>1011</v>
      </c>
      <c r="G328" s="2">
        <v>0</v>
      </c>
      <c r="H328" s="2">
        <v>0</v>
      </c>
      <c r="I328" s="1">
        <v>0</v>
      </c>
      <c r="J328" s="3" t="s">
        <v>19</v>
      </c>
      <c r="K328" s="2" t="str">
        <f>J328*4293.87</f>
        <v>0</v>
      </c>
      <c r="L328" s="5"/>
    </row>
    <row r="329" spans="1:12" customHeight="1" ht="105" outlineLevel="4">
      <c r="A329" s="1"/>
      <c r="B329" s="1">
        <v>874006</v>
      </c>
      <c r="C329" s="1" t="s">
        <v>1012</v>
      </c>
      <c r="D329" s="1" t="s">
        <v>1013</v>
      </c>
      <c r="E329" s="2" t="s">
        <v>1014</v>
      </c>
      <c r="F329" s="2" t="s">
        <v>1015</v>
      </c>
      <c r="G329" s="2">
        <v>3</v>
      </c>
      <c r="H329" s="2">
        <v>0</v>
      </c>
      <c r="I329" s="1">
        <v>0</v>
      </c>
      <c r="J329" s="3" t="s">
        <v>19</v>
      </c>
      <c r="K329" s="2" t="str">
        <f>J329*4172.11</f>
        <v>0</v>
      </c>
      <c r="L329" s="5"/>
    </row>
    <row r="330" spans="1:12" customHeight="1" ht="105" outlineLevel="4">
      <c r="A330" s="1"/>
      <c r="B330" s="1">
        <v>874007</v>
      </c>
      <c r="C330" s="1" t="s">
        <v>1016</v>
      </c>
      <c r="D330" s="1" t="s">
        <v>1017</v>
      </c>
      <c r="E330" s="2" t="s">
        <v>1018</v>
      </c>
      <c r="F330" s="2" t="s">
        <v>1019</v>
      </c>
      <c r="G330" s="2" t="s">
        <v>23</v>
      </c>
      <c r="H330" s="2">
        <v>0</v>
      </c>
      <c r="I330" s="1">
        <v>0</v>
      </c>
      <c r="J330" s="3" t="s">
        <v>19</v>
      </c>
      <c r="K330" s="2" t="str">
        <f>J330*4388.30</f>
        <v>0</v>
      </c>
      <c r="L330" s="5"/>
    </row>
    <row r="331" spans="1:12" customHeight="1" ht="105" outlineLevel="4">
      <c r="A331" s="1"/>
      <c r="B331" s="1">
        <v>874008</v>
      </c>
      <c r="C331" s="1" t="s">
        <v>1020</v>
      </c>
      <c r="D331" s="1" t="s">
        <v>1021</v>
      </c>
      <c r="E331" s="2" t="s">
        <v>1022</v>
      </c>
      <c r="F331" s="2" t="s">
        <v>1023</v>
      </c>
      <c r="G331" s="2">
        <v>0</v>
      </c>
      <c r="H331" s="2">
        <v>0</v>
      </c>
      <c r="I331" s="1">
        <v>0</v>
      </c>
      <c r="J331" s="3" t="s">
        <v>19</v>
      </c>
      <c r="K331" s="2" t="str">
        <f>J331*4831.77</f>
        <v>0</v>
      </c>
      <c r="L331" s="5"/>
    </row>
    <row r="332" spans="1:12" customHeight="1" ht="105" outlineLevel="4">
      <c r="A332" s="1"/>
      <c r="B332" s="1">
        <v>874009</v>
      </c>
      <c r="C332" s="1" t="s">
        <v>1024</v>
      </c>
      <c r="D332" s="1" t="s">
        <v>1025</v>
      </c>
      <c r="E332" s="2" t="s">
        <v>1026</v>
      </c>
      <c r="F332" s="2" t="s">
        <v>1027</v>
      </c>
      <c r="G332" s="2" t="s">
        <v>485</v>
      </c>
      <c r="H332" s="2">
        <v>0</v>
      </c>
      <c r="I332" s="1">
        <v>0</v>
      </c>
      <c r="J332" s="3" t="s">
        <v>19</v>
      </c>
      <c r="K332" s="2" t="str">
        <f>J332*5099.78</f>
        <v>0</v>
      </c>
      <c r="L332" s="5"/>
    </row>
    <row r="333" spans="1:12" customHeight="1" ht="105" outlineLevel="4">
      <c r="A333" s="1"/>
      <c r="B333" s="1">
        <v>874010</v>
      </c>
      <c r="C333" s="1" t="s">
        <v>1028</v>
      </c>
      <c r="D333" s="1" t="s">
        <v>1029</v>
      </c>
      <c r="E333" s="2" t="s">
        <v>1030</v>
      </c>
      <c r="F333" s="2" t="s">
        <v>1031</v>
      </c>
      <c r="G333" s="2">
        <v>9</v>
      </c>
      <c r="H333" s="2">
        <v>0</v>
      </c>
      <c r="I333" s="1">
        <v>0</v>
      </c>
      <c r="J333" s="3" t="s">
        <v>19</v>
      </c>
      <c r="K333" s="2" t="str">
        <f>J333*5214.27</f>
        <v>0</v>
      </c>
      <c r="L333" s="5"/>
    </row>
    <row r="334" spans="1:12" customHeight="1" ht="105" outlineLevel="4">
      <c r="A334" s="1"/>
      <c r="B334" s="1">
        <v>877763</v>
      </c>
      <c r="C334" s="1" t="s">
        <v>1032</v>
      </c>
      <c r="D334" s="1" t="s">
        <v>1033</v>
      </c>
      <c r="E334" s="2" t="s">
        <v>1034</v>
      </c>
      <c r="F334" s="2" t="s">
        <v>1035</v>
      </c>
      <c r="G334" s="2">
        <v>2</v>
      </c>
      <c r="H334" s="2">
        <v>0</v>
      </c>
      <c r="I334" s="1">
        <v>0</v>
      </c>
      <c r="J334" s="3" t="s">
        <v>19</v>
      </c>
      <c r="K334" s="2" t="str">
        <f>J334*11031.74</f>
        <v>0</v>
      </c>
      <c r="L334" s="5"/>
    </row>
    <row r="335" spans="1:12" customHeight="1" ht="105" outlineLevel="4">
      <c r="A335" s="1"/>
      <c r="B335" s="1">
        <v>882305</v>
      </c>
      <c r="C335" s="1" t="s">
        <v>1036</v>
      </c>
      <c r="D335" s="1" t="s">
        <v>1037</v>
      </c>
      <c r="E335" s="2" t="s">
        <v>1038</v>
      </c>
      <c r="F335" s="2" t="s">
        <v>1039</v>
      </c>
      <c r="G335" s="2">
        <v>1</v>
      </c>
      <c r="H335" s="2">
        <v>0</v>
      </c>
      <c r="I335" s="1">
        <v>0</v>
      </c>
      <c r="J335" s="3" t="s">
        <v>19</v>
      </c>
      <c r="K335" s="2" t="str">
        <f>J335*6516.23</f>
        <v>0</v>
      </c>
      <c r="L335" s="5"/>
    </row>
    <row r="336" spans="1:12" customHeight="1" ht="105" outlineLevel="4">
      <c r="A336" s="1"/>
      <c r="B336" s="1">
        <v>882306</v>
      </c>
      <c r="C336" s="1" t="s">
        <v>1040</v>
      </c>
      <c r="D336" s="1" t="s">
        <v>1041</v>
      </c>
      <c r="E336" s="2" t="s">
        <v>1042</v>
      </c>
      <c r="F336" s="2" t="s">
        <v>1043</v>
      </c>
      <c r="G336" s="2">
        <v>1</v>
      </c>
      <c r="H336" s="2">
        <v>0</v>
      </c>
      <c r="I336" s="1">
        <v>0</v>
      </c>
      <c r="J336" s="3" t="s">
        <v>19</v>
      </c>
      <c r="K336" s="2" t="str">
        <f>J336*7069.15</f>
        <v>0</v>
      </c>
      <c r="L336" s="5"/>
    </row>
    <row r="337" spans="1:12" customHeight="1" ht="105" outlineLevel="4">
      <c r="A337" s="1"/>
      <c r="B337" s="1">
        <v>882307</v>
      </c>
      <c r="C337" s="1" t="s">
        <v>1044</v>
      </c>
      <c r="D337" s="1" t="s">
        <v>1045</v>
      </c>
      <c r="E337" s="2" t="s">
        <v>1046</v>
      </c>
      <c r="F337" s="2" t="s">
        <v>1047</v>
      </c>
      <c r="G337" s="2">
        <v>2</v>
      </c>
      <c r="H337" s="2">
        <v>0</v>
      </c>
      <c r="I337" s="1">
        <v>0</v>
      </c>
      <c r="J337" s="3" t="s">
        <v>19</v>
      </c>
      <c r="K337" s="2" t="str">
        <f>J337*8274.50</f>
        <v>0</v>
      </c>
      <c r="L337" s="5"/>
    </row>
    <row r="338" spans="1:12" customHeight="1" ht="105" outlineLevel="4">
      <c r="A338" s="1"/>
      <c r="B338" s="1">
        <v>882308</v>
      </c>
      <c r="C338" s="1" t="s">
        <v>1048</v>
      </c>
      <c r="D338" s="1" t="s">
        <v>1049</v>
      </c>
      <c r="E338" s="2" t="s">
        <v>1050</v>
      </c>
      <c r="F338" s="2" t="s">
        <v>1051</v>
      </c>
      <c r="G338" s="2">
        <v>1</v>
      </c>
      <c r="H338" s="2">
        <v>0</v>
      </c>
      <c r="I338" s="1">
        <v>0</v>
      </c>
      <c r="J338" s="3" t="s">
        <v>19</v>
      </c>
      <c r="K338" s="2" t="str">
        <f>J338*9701.88</f>
        <v>0</v>
      </c>
      <c r="L338" s="5"/>
    </row>
    <row r="339" spans="1:12" outlineLevel="4">
      <c r="A339" s="1"/>
      <c r="B339" s="1">
        <v>956580</v>
      </c>
      <c r="C339" s="1" t="s">
        <v>1052</v>
      </c>
      <c r="D339" s="1" t="s">
        <v>1053</v>
      </c>
      <c r="E339" s="2" t="s">
        <v>1054</v>
      </c>
      <c r="F339" s="2" t="s">
        <v>1055</v>
      </c>
      <c r="G339" s="2">
        <v>0</v>
      </c>
      <c r="H339" s="2">
        <v>0</v>
      </c>
      <c r="I339" s="1">
        <v>0</v>
      </c>
      <c r="J339" s="3" t="s">
        <v>19</v>
      </c>
      <c r="K339" s="2" t="str">
        <f>J339*12910.54</f>
        <v>0</v>
      </c>
      <c r="L339" s="5"/>
    </row>
    <row r="340" spans="1:12" customHeight="1" ht="105" outlineLevel="4">
      <c r="A340" s="1"/>
      <c r="B340" s="1">
        <v>956620</v>
      </c>
      <c r="C340" s="1" t="s">
        <v>1056</v>
      </c>
      <c r="D340" s="1" t="s">
        <v>1057</v>
      </c>
      <c r="E340" s="2" t="s">
        <v>1058</v>
      </c>
      <c r="F340" s="2" t="s">
        <v>1059</v>
      </c>
      <c r="G340" s="2">
        <v>1</v>
      </c>
      <c r="H340" s="2">
        <v>0</v>
      </c>
      <c r="I340" s="1">
        <v>0</v>
      </c>
      <c r="J340" s="3" t="s">
        <v>19</v>
      </c>
      <c r="K340" s="2" t="str">
        <f>J340*19563.79</f>
        <v>0</v>
      </c>
      <c r="L340" s="5"/>
    </row>
    <row r="341" spans="1:12" outlineLevel="2">
      <c r="A341" s="8" t="s">
        <v>1060</v>
      </c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5"/>
    </row>
    <row r="342" spans="1:12" outlineLevel="4">
      <c r="A342" s="1"/>
      <c r="B342" s="1">
        <v>958768</v>
      </c>
      <c r="C342" s="1" t="s">
        <v>1061</v>
      </c>
      <c r="D342" s="1">
        <v>99749</v>
      </c>
      <c r="E342" s="2" t="s">
        <v>1062</v>
      </c>
      <c r="F342" s="2" t="s">
        <v>1063</v>
      </c>
      <c r="G342" s="2">
        <v>0</v>
      </c>
      <c r="H342" s="2">
        <v>0</v>
      </c>
      <c r="I342" s="1">
        <v>0</v>
      </c>
      <c r="J342" s="3" t="s">
        <v>19</v>
      </c>
      <c r="K342" s="2" t="str">
        <f>J342*7226.00</f>
        <v>0</v>
      </c>
      <c r="L342" s="5"/>
    </row>
    <row r="343" spans="1:12" outlineLevel="4">
      <c r="A343" s="1"/>
      <c r="B343" s="1">
        <v>958769</v>
      </c>
      <c r="C343" s="1" t="s">
        <v>1064</v>
      </c>
      <c r="D343" s="1">
        <v>11601</v>
      </c>
      <c r="E343" s="2" t="s">
        <v>1065</v>
      </c>
      <c r="F343" s="2" t="s">
        <v>1066</v>
      </c>
      <c r="G343" s="2">
        <v>0</v>
      </c>
      <c r="H343" s="2">
        <v>0</v>
      </c>
      <c r="I343" s="1">
        <v>0</v>
      </c>
      <c r="J343" s="3" t="s">
        <v>19</v>
      </c>
      <c r="K343" s="2" t="str">
        <f>J343*7369.00</f>
        <v>0</v>
      </c>
      <c r="L343" s="5"/>
    </row>
    <row r="344" spans="1:12" outlineLevel="4">
      <c r="A344" s="1"/>
      <c r="B344" s="1">
        <v>958770</v>
      </c>
      <c r="C344" s="1" t="s">
        <v>1067</v>
      </c>
      <c r="D344" s="1">
        <v>69295</v>
      </c>
      <c r="E344" s="2" t="s">
        <v>1068</v>
      </c>
      <c r="F344" s="2" t="s">
        <v>1069</v>
      </c>
      <c r="G344" s="2">
        <v>0</v>
      </c>
      <c r="H344" s="2">
        <v>0</v>
      </c>
      <c r="I344" s="1">
        <v>0</v>
      </c>
      <c r="J344" s="3" t="s">
        <v>19</v>
      </c>
      <c r="K344" s="2" t="str">
        <f>J344*7826.00</f>
        <v>0</v>
      </c>
      <c r="L344" s="5"/>
    </row>
    <row r="345" spans="1:12" outlineLevel="4">
      <c r="A345" s="1"/>
      <c r="B345" s="1">
        <v>958771</v>
      </c>
      <c r="C345" s="1" t="s">
        <v>1070</v>
      </c>
      <c r="D345" s="1">
        <v>98030</v>
      </c>
      <c r="E345" s="2" t="s">
        <v>1071</v>
      </c>
      <c r="F345" s="2" t="s">
        <v>1072</v>
      </c>
      <c r="G345" s="2">
        <v>0</v>
      </c>
      <c r="H345" s="2">
        <v>0</v>
      </c>
      <c r="I345" s="1">
        <v>0</v>
      </c>
      <c r="J345" s="3" t="s">
        <v>19</v>
      </c>
      <c r="K345" s="2" t="str">
        <f>J345*7992.00</f>
        <v>0</v>
      </c>
      <c r="L345" s="5"/>
    </row>
    <row r="346" spans="1:12" outlineLevel="4">
      <c r="A346" s="1"/>
      <c r="B346" s="1">
        <v>958772</v>
      </c>
      <c r="C346" s="1" t="s">
        <v>1073</v>
      </c>
      <c r="D346" s="1">
        <v>22148</v>
      </c>
      <c r="E346" s="2" t="s">
        <v>1074</v>
      </c>
      <c r="F346" s="2" t="s">
        <v>1075</v>
      </c>
      <c r="G346" s="2">
        <v>0</v>
      </c>
      <c r="H346" s="2">
        <v>0</v>
      </c>
      <c r="I346" s="1">
        <v>0</v>
      </c>
      <c r="J346" s="3" t="s">
        <v>19</v>
      </c>
      <c r="K346" s="2" t="str">
        <f>J346*8355.00</f>
        <v>0</v>
      </c>
      <c r="L346" s="5"/>
    </row>
    <row r="347" spans="1:12" outlineLevel="4">
      <c r="A347" s="1"/>
      <c r="B347" s="1">
        <v>958773</v>
      </c>
      <c r="C347" s="1" t="s">
        <v>1076</v>
      </c>
      <c r="D347" s="1">
        <v>59670</v>
      </c>
      <c r="E347" s="2" t="s">
        <v>1077</v>
      </c>
      <c r="F347" s="2" t="s">
        <v>1078</v>
      </c>
      <c r="G347" s="2">
        <v>0</v>
      </c>
      <c r="H347" s="2">
        <v>0</v>
      </c>
      <c r="I347" s="1">
        <v>0</v>
      </c>
      <c r="J347" s="3" t="s">
        <v>19</v>
      </c>
      <c r="K347" s="2" t="str">
        <f>J347*7076.00</f>
        <v>0</v>
      </c>
      <c r="L347" s="5"/>
    </row>
    <row r="348" spans="1:12" outlineLevel="4">
      <c r="A348" s="1"/>
      <c r="B348" s="1">
        <v>958774</v>
      </c>
      <c r="C348" s="1" t="s">
        <v>1079</v>
      </c>
      <c r="D348" s="1">
        <v>22300</v>
      </c>
      <c r="E348" s="2" t="s">
        <v>1080</v>
      </c>
      <c r="F348" s="2" t="s">
        <v>1081</v>
      </c>
      <c r="G348" s="2">
        <v>0</v>
      </c>
      <c r="H348" s="2">
        <v>0</v>
      </c>
      <c r="I348" s="1">
        <v>0</v>
      </c>
      <c r="J348" s="3" t="s">
        <v>19</v>
      </c>
      <c r="K348" s="2" t="str">
        <f>J348*8300.00</f>
        <v>0</v>
      </c>
      <c r="L348" s="5"/>
    </row>
    <row r="349" spans="1:12" outlineLevel="4">
      <c r="A349" s="1"/>
      <c r="B349" s="1">
        <v>958775</v>
      </c>
      <c r="C349" s="1" t="s">
        <v>1082</v>
      </c>
      <c r="D349" s="1">
        <v>42529</v>
      </c>
      <c r="E349" s="2" t="s">
        <v>1083</v>
      </c>
      <c r="F349" s="2" t="s">
        <v>1084</v>
      </c>
      <c r="G349" s="2">
        <v>0</v>
      </c>
      <c r="H349" s="2">
        <v>0</v>
      </c>
      <c r="I349" s="1">
        <v>0</v>
      </c>
      <c r="J349" s="3" t="s">
        <v>19</v>
      </c>
      <c r="K349" s="2" t="str">
        <f>J349*8898.00</f>
        <v>0</v>
      </c>
      <c r="L349" s="5"/>
    </row>
    <row r="350" spans="1:12" outlineLevel="4">
      <c r="A350" s="1"/>
      <c r="B350" s="1">
        <v>958776</v>
      </c>
      <c r="C350" s="1" t="s">
        <v>1085</v>
      </c>
      <c r="D350" s="1">
        <v>71075</v>
      </c>
      <c r="E350" s="2" t="s">
        <v>1086</v>
      </c>
      <c r="F350" s="2" t="s">
        <v>1087</v>
      </c>
      <c r="G350" s="2">
        <v>0</v>
      </c>
      <c r="H350" s="2">
        <v>0</v>
      </c>
      <c r="I350" s="1">
        <v>0</v>
      </c>
      <c r="J350" s="3" t="s">
        <v>19</v>
      </c>
      <c r="K350" s="2" t="str">
        <f>J350*10280.00</f>
        <v>0</v>
      </c>
      <c r="L350" s="5"/>
    </row>
    <row r="351" spans="1:12" outlineLevel="4">
      <c r="A351" s="1"/>
      <c r="B351" s="1">
        <v>958777</v>
      </c>
      <c r="C351" s="1" t="s">
        <v>1088</v>
      </c>
      <c r="D351" s="1">
        <v>33422</v>
      </c>
      <c r="E351" s="2" t="s">
        <v>1089</v>
      </c>
      <c r="F351" s="2" t="s">
        <v>1090</v>
      </c>
      <c r="G351" s="2">
        <v>0</v>
      </c>
      <c r="H351" s="2">
        <v>0</v>
      </c>
      <c r="I351" s="1">
        <v>0</v>
      </c>
      <c r="J351" s="3" t="s">
        <v>19</v>
      </c>
      <c r="K351" s="2" t="str">
        <f>J351*24100.00</f>
        <v>0</v>
      </c>
      <c r="L351" s="5"/>
    </row>
    <row r="352" spans="1:12" outlineLevel="4">
      <c r="A352" s="1"/>
      <c r="B352" s="1">
        <v>958778</v>
      </c>
      <c r="C352" s="1" t="s">
        <v>1091</v>
      </c>
      <c r="D352" s="1">
        <v>89415</v>
      </c>
      <c r="E352" s="2" t="s">
        <v>1092</v>
      </c>
      <c r="F352" s="2" t="s">
        <v>1093</v>
      </c>
      <c r="G352" s="2">
        <v>0</v>
      </c>
      <c r="H352" s="2">
        <v>0</v>
      </c>
      <c r="I352" s="1">
        <v>0</v>
      </c>
      <c r="J352" s="3" t="s">
        <v>19</v>
      </c>
      <c r="K352" s="2" t="str">
        <f>J352*29153.00</f>
        <v>0</v>
      </c>
      <c r="L352" s="5"/>
    </row>
    <row r="353" spans="1:12" outlineLevel="4">
      <c r="A353" s="1"/>
      <c r="B353" s="1">
        <v>958779</v>
      </c>
      <c r="C353" s="1" t="s">
        <v>1094</v>
      </c>
      <c r="D353" s="1">
        <v>62127</v>
      </c>
      <c r="E353" s="2" t="s">
        <v>1095</v>
      </c>
      <c r="F353" s="2" t="s">
        <v>1096</v>
      </c>
      <c r="G353" s="2">
        <v>0</v>
      </c>
      <c r="H353" s="2">
        <v>0</v>
      </c>
      <c r="I353" s="1">
        <v>0</v>
      </c>
      <c r="J353" s="3" t="s">
        <v>19</v>
      </c>
      <c r="K353" s="2" t="str">
        <f>J353*37514.00</f>
        <v>0</v>
      </c>
      <c r="L353" s="5"/>
    </row>
    <row r="354" spans="1:12" outlineLevel="4">
      <c r="A354" s="1"/>
      <c r="B354" s="1">
        <v>958780</v>
      </c>
      <c r="C354" s="1" t="s">
        <v>1097</v>
      </c>
      <c r="D354" s="1">
        <v>92986</v>
      </c>
      <c r="E354" s="2" t="s">
        <v>1098</v>
      </c>
      <c r="F354" s="2" t="s">
        <v>1099</v>
      </c>
      <c r="G354" s="2">
        <v>0</v>
      </c>
      <c r="H354" s="2">
        <v>0</v>
      </c>
      <c r="I354" s="1">
        <v>0</v>
      </c>
      <c r="J354" s="3" t="s">
        <v>19</v>
      </c>
      <c r="K354" s="2" t="str">
        <f>J354*12091.00</f>
        <v>0</v>
      </c>
      <c r="L354" s="5"/>
    </row>
    <row r="355" spans="1:12" outlineLevel="4">
      <c r="A355" s="1"/>
      <c r="B355" s="1">
        <v>958781</v>
      </c>
      <c r="C355" s="1" t="s">
        <v>1100</v>
      </c>
      <c r="D355" s="1">
        <v>52156</v>
      </c>
      <c r="E355" s="2" t="s">
        <v>1101</v>
      </c>
      <c r="F355" s="2" t="s">
        <v>1102</v>
      </c>
      <c r="G355" s="2">
        <v>0</v>
      </c>
      <c r="H355" s="2">
        <v>0</v>
      </c>
      <c r="I355" s="1">
        <v>0</v>
      </c>
      <c r="J355" s="3" t="s">
        <v>19</v>
      </c>
      <c r="K355" s="2" t="str">
        <f>J355*17414.00</f>
        <v>0</v>
      </c>
      <c r="L355" s="5"/>
    </row>
    <row r="356" spans="1:12" outlineLevel="4">
      <c r="A356" s="1"/>
      <c r="B356" s="1">
        <v>958782</v>
      </c>
      <c r="C356" s="1" t="s">
        <v>1103</v>
      </c>
      <c r="D356" s="1">
        <v>65702</v>
      </c>
      <c r="E356" s="2" t="s">
        <v>1104</v>
      </c>
      <c r="F356" s="2" t="s">
        <v>1105</v>
      </c>
      <c r="G356" s="2">
        <v>0</v>
      </c>
      <c r="H356" s="2">
        <v>0</v>
      </c>
      <c r="I356" s="1">
        <v>0</v>
      </c>
      <c r="J356" s="3" t="s">
        <v>19</v>
      </c>
      <c r="K356" s="2" t="str">
        <f>J356*20776.00</f>
        <v>0</v>
      </c>
      <c r="L356" s="5"/>
    </row>
    <row r="357" spans="1:12" outlineLevel="4">
      <c r="A357" s="1"/>
      <c r="B357" s="1">
        <v>958783</v>
      </c>
      <c r="C357" s="1" t="s">
        <v>1106</v>
      </c>
      <c r="D357" s="1">
        <v>25316</v>
      </c>
      <c r="E357" s="2" t="s">
        <v>1107</v>
      </c>
      <c r="F357" s="2" t="s">
        <v>1108</v>
      </c>
      <c r="G357" s="2">
        <v>0</v>
      </c>
      <c r="H357" s="2">
        <v>0</v>
      </c>
      <c r="I357" s="1">
        <v>0</v>
      </c>
      <c r="J357" s="3" t="s">
        <v>19</v>
      </c>
      <c r="K357" s="2" t="str">
        <f>J357*22976.00</f>
        <v>0</v>
      </c>
      <c r="L357" s="5"/>
    </row>
    <row r="358" spans="1:12" outlineLevel="4">
      <c r="A358" s="1"/>
      <c r="B358" s="1">
        <v>958784</v>
      </c>
      <c r="C358" s="1" t="s">
        <v>1109</v>
      </c>
      <c r="D358" s="1">
        <v>11296</v>
      </c>
      <c r="E358" s="2" t="s">
        <v>1110</v>
      </c>
      <c r="F358" s="2" t="s">
        <v>1111</v>
      </c>
      <c r="G358" s="2">
        <v>0</v>
      </c>
      <c r="H358" s="2">
        <v>0</v>
      </c>
      <c r="I358" s="1">
        <v>0</v>
      </c>
      <c r="J358" s="3" t="s">
        <v>19</v>
      </c>
      <c r="K358" s="2" t="str">
        <f>J358*26107.00</f>
        <v>0</v>
      </c>
      <c r="L358" s="5"/>
    </row>
    <row r="359" spans="1:12" outlineLevel="4">
      <c r="A359" s="1"/>
      <c r="B359" s="1">
        <v>958785</v>
      </c>
      <c r="C359" s="1" t="s">
        <v>1112</v>
      </c>
      <c r="D359" s="1">
        <v>72805</v>
      </c>
      <c r="E359" s="2" t="s">
        <v>1113</v>
      </c>
      <c r="F359" s="2" t="s">
        <v>1114</v>
      </c>
      <c r="G359" s="2">
        <v>0</v>
      </c>
      <c r="H359" s="2">
        <v>0</v>
      </c>
      <c r="I359" s="1">
        <v>0</v>
      </c>
      <c r="J359" s="3" t="s">
        <v>19</v>
      </c>
      <c r="K359" s="2" t="str">
        <f>J359*30031.00</f>
        <v>0</v>
      </c>
      <c r="L359" s="5"/>
    </row>
    <row r="360" spans="1:12" outlineLevel="4">
      <c r="A360" s="1"/>
      <c r="B360" s="1">
        <v>958786</v>
      </c>
      <c r="C360" s="1" t="s">
        <v>1115</v>
      </c>
      <c r="D360" s="1">
        <v>38319</v>
      </c>
      <c r="E360" s="2" t="s">
        <v>1116</v>
      </c>
      <c r="F360" s="2" t="s">
        <v>1117</v>
      </c>
      <c r="G360" s="2">
        <v>0</v>
      </c>
      <c r="H360" s="2">
        <v>0</v>
      </c>
      <c r="I360" s="1">
        <v>0</v>
      </c>
      <c r="J360" s="3" t="s">
        <v>19</v>
      </c>
      <c r="K360" s="2" t="str">
        <f>J360*22986.00</f>
        <v>0</v>
      </c>
      <c r="L360" s="5"/>
    </row>
    <row r="361" spans="1:12" outlineLevel="4">
      <c r="A361" s="1"/>
      <c r="B361" s="1">
        <v>958787</v>
      </c>
      <c r="C361" s="1" t="s">
        <v>1118</v>
      </c>
      <c r="D361" s="1">
        <v>74613</v>
      </c>
      <c r="E361" s="2" t="s">
        <v>1119</v>
      </c>
      <c r="F361" s="2" t="s">
        <v>1120</v>
      </c>
      <c r="G361" s="2">
        <v>0</v>
      </c>
      <c r="H361" s="2">
        <v>0</v>
      </c>
      <c r="I361" s="1">
        <v>0</v>
      </c>
      <c r="J361" s="3" t="s">
        <v>19</v>
      </c>
      <c r="K361" s="2" t="str">
        <f>J361*11637.00</f>
        <v>0</v>
      </c>
      <c r="L361" s="5"/>
    </row>
    <row r="362" spans="1:12" outlineLevel="4">
      <c r="A362" s="1"/>
      <c r="B362" s="1">
        <v>958788</v>
      </c>
      <c r="C362" s="1" t="s">
        <v>1121</v>
      </c>
      <c r="D362" s="1">
        <v>78684</v>
      </c>
      <c r="E362" s="2" t="s">
        <v>1122</v>
      </c>
      <c r="F362" s="2" t="s">
        <v>1123</v>
      </c>
      <c r="G362" s="2">
        <v>0</v>
      </c>
      <c r="H362" s="2">
        <v>0</v>
      </c>
      <c r="I362" s="1">
        <v>0</v>
      </c>
      <c r="J362" s="3" t="s">
        <v>19</v>
      </c>
      <c r="K362" s="2" t="str">
        <f>J362*9121.00</f>
        <v>0</v>
      </c>
      <c r="L362" s="5"/>
    </row>
    <row r="363" spans="1:12" outlineLevel="4">
      <c r="A363" s="1"/>
      <c r="B363" s="1">
        <v>958789</v>
      </c>
      <c r="C363" s="1" t="s">
        <v>1124</v>
      </c>
      <c r="D363" s="1">
        <v>77522</v>
      </c>
      <c r="E363" s="2" t="s">
        <v>1125</v>
      </c>
      <c r="F363" s="2" t="s">
        <v>1126</v>
      </c>
      <c r="G363" s="2">
        <v>0</v>
      </c>
      <c r="H363" s="2">
        <v>0</v>
      </c>
      <c r="I363" s="1">
        <v>0</v>
      </c>
      <c r="J363" s="3" t="s">
        <v>19</v>
      </c>
      <c r="K363" s="2" t="str">
        <f>J363*6327.00</f>
        <v>0</v>
      </c>
      <c r="L363" s="5"/>
    </row>
    <row r="364" spans="1:12" outlineLevel="4">
      <c r="A364" s="1"/>
      <c r="B364" s="1">
        <v>958790</v>
      </c>
      <c r="C364" s="1" t="s">
        <v>1127</v>
      </c>
      <c r="D364" s="1">
        <v>63302</v>
      </c>
      <c r="E364" s="2" t="s">
        <v>1128</v>
      </c>
      <c r="F364" s="2" t="s">
        <v>1129</v>
      </c>
      <c r="G364" s="2">
        <v>0</v>
      </c>
      <c r="H364" s="2">
        <v>0</v>
      </c>
      <c r="I364" s="1">
        <v>0</v>
      </c>
      <c r="J364" s="3" t="s">
        <v>19</v>
      </c>
      <c r="K364" s="2" t="str">
        <f>J364*6682.00</f>
        <v>0</v>
      </c>
      <c r="L364" s="5"/>
    </row>
    <row r="365" spans="1:12" outlineLevel="4">
      <c r="A365" s="1"/>
      <c r="B365" s="1">
        <v>958791</v>
      </c>
      <c r="C365" s="1" t="s">
        <v>1130</v>
      </c>
      <c r="D365" s="1">
        <v>20419</v>
      </c>
      <c r="E365" s="2" t="s">
        <v>1131</v>
      </c>
      <c r="F365" s="2" t="s">
        <v>1132</v>
      </c>
      <c r="G365" s="2">
        <v>0</v>
      </c>
      <c r="H365" s="2">
        <v>0</v>
      </c>
      <c r="I365" s="1">
        <v>0</v>
      </c>
      <c r="J365" s="3" t="s">
        <v>19</v>
      </c>
      <c r="K365" s="2" t="str">
        <f>J365*6979.00</f>
        <v>0</v>
      </c>
      <c r="L365" s="5"/>
    </row>
    <row r="366" spans="1:12" outlineLevel="4">
      <c r="A366" s="1"/>
      <c r="B366" s="1">
        <v>958792</v>
      </c>
      <c r="C366" s="1" t="s">
        <v>1133</v>
      </c>
      <c r="D366" s="1">
        <v>23696</v>
      </c>
      <c r="E366" s="2" t="s">
        <v>1134</v>
      </c>
      <c r="F366" s="2" t="s">
        <v>1135</v>
      </c>
      <c r="G366" s="2">
        <v>0</v>
      </c>
      <c r="H366" s="2">
        <v>0</v>
      </c>
      <c r="I366" s="1">
        <v>0</v>
      </c>
      <c r="J366" s="3" t="s">
        <v>19</v>
      </c>
      <c r="K366" s="2" t="str">
        <f>J366*8462.00</f>
        <v>0</v>
      </c>
      <c r="L366" s="5"/>
    </row>
    <row r="367" spans="1:12" outlineLevel="4">
      <c r="A367" s="1"/>
      <c r="B367" s="1">
        <v>958793</v>
      </c>
      <c r="C367" s="1" t="s">
        <v>1136</v>
      </c>
      <c r="D367" s="1">
        <v>45525</v>
      </c>
      <c r="E367" s="2" t="s">
        <v>1137</v>
      </c>
      <c r="F367" s="2" t="s">
        <v>1138</v>
      </c>
      <c r="G367" s="2">
        <v>0</v>
      </c>
      <c r="H367" s="2">
        <v>0</v>
      </c>
      <c r="I367" s="1">
        <v>0</v>
      </c>
      <c r="J367" s="3" t="s">
        <v>19</v>
      </c>
      <c r="K367" s="2" t="str">
        <f>J367*9537.00</f>
        <v>0</v>
      </c>
      <c r="L367" s="5"/>
    </row>
    <row r="368" spans="1:12" outlineLevel="4">
      <c r="A368" s="1"/>
      <c r="B368" s="1">
        <v>958794</v>
      </c>
      <c r="C368" s="1" t="s">
        <v>1139</v>
      </c>
      <c r="D368" s="1">
        <v>95526</v>
      </c>
      <c r="E368" s="2" t="s">
        <v>1140</v>
      </c>
      <c r="F368" s="2" t="s">
        <v>1141</v>
      </c>
      <c r="G368" s="2">
        <v>0</v>
      </c>
      <c r="H368" s="2">
        <v>0</v>
      </c>
      <c r="I368" s="1">
        <v>0</v>
      </c>
      <c r="J368" s="3" t="s">
        <v>19</v>
      </c>
      <c r="K368" s="2" t="str">
        <f>J368*6847.00</f>
        <v>0</v>
      </c>
      <c r="L368" s="5"/>
    </row>
    <row r="369" spans="1:12" outlineLevel="4">
      <c r="A369" s="1"/>
      <c r="B369" s="1">
        <v>958795</v>
      </c>
      <c r="C369" s="1" t="s">
        <v>1142</v>
      </c>
      <c r="D369" s="1">
        <v>20559</v>
      </c>
      <c r="E369" s="2" t="s">
        <v>1143</v>
      </c>
      <c r="F369" s="2" t="s">
        <v>1144</v>
      </c>
      <c r="G369" s="2">
        <v>0</v>
      </c>
      <c r="H369" s="2">
        <v>0</v>
      </c>
      <c r="I369" s="1">
        <v>0</v>
      </c>
      <c r="J369" s="3" t="s">
        <v>19</v>
      </c>
      <c r="K369" s="2" t="str">
        <f>J369*8883.00</f>
        <v>0</v>
      </c>
      <c r="L369" s="5"/>
    </row>
    <row r="370" spans="1:12" outlineLevel="4">
      <c r="A370" s="1"/>
      <c r="B370" s="1">
        <v>958796</v>
      </c>
      <c r="C370" s="1" t="s">
        <v>1145</v>
      </c>
      <c r="D370" s="1">
        <v>87884</v>
      </c>
      <c r="E370" s="2" t="s">
        <v>1146</v>
      </c>
      <c r="F370" s="2" t="s">
        <v>1147</v>
      </c>
      <c r="G370" s="2">
        <v>0</v>
      </c>
      <c r="H370" s="2">
        <v>0</v>
      </c>
      <c r="I370" s="1">
        <v>0</v>
      </c>
      <c r="J370" s="3" t="s">
        <v>19</v>
      </c>
      <c r="K370" s="2" t="str">
        <f>J370*18361.00</f>
        <v>0</v>
      </c>
      <c r="L370" s="5"/>
    </row>
    <row r="371" spans="1:12" outlineLevel="4">
      <c r="A371" s="1"/>
      <c r="B371" s="1">
        <v>958797</v>
      </c>
      <c r="C371" s="1" t="s">
        <v>1148</v>
      </c>
      <c r="D371" s="1">
        <v>74449</v>
      </c>
      <c r="E371" s="2" t="s">
        <v>1149</v>
      </c>
      <c r="F371" s="2" t="s">
        <v>1150</v>
      </c>
      <c r="G371" s="2">
        <v>0</v>
      </c>
      <c r="H371" s="2">
        <v>0</v>
      </c>
      <c r="I371" s="1">
        <v>0</v>
      </c>
      <c r="J371" s="3" t="s">
        <v>19</v>
      </c>
      <c r="K371" s="2" t="str">
        <f>J371*21503.00</f>
        <v>0</v>
      </c>
      <c r="L371" s="5"/>
    </row>
    <row r="372" spans="1:12" outlineLevel="4">
      <c r="A372" s="1"/>
      <c r="B372" s="1">
        <v>958798</v>
      </c>
      <c r="C372" s="1" t="s">
        <v>1151</v>
      </c>
      <c r="D372" s="1">
        <v>56225</v>
      </c>
      <c r="E372" s="2" t="s">
        <v>1152</v>
      </c>
      <c r="F372" s="2" t="s">
        <v>1153</v>
      </c>
      <c r="G372" s="2">
        <v>0</v>
      </c>
      <c r="H372" s="2">
        <v>0</v>
      </c>
      <c r="I372" s="1">
        <v>0</v>
      </c>
      <c r="J372" s="3" t="s">
        <v>19</v>
      </c>
      <c r="K372" s="2" t="str">
        <f>J372*14041.00</f>
        <v>0</v>
      </c>
      <c r="L372" s="5"/>
    </row>
    <row r="373" spans="1:12" outlineLevel="4">
      <c r="A373" s="1"/>
      <c r="B373" s="1">
        <v>958799</v>
      </c>
      <c r="C373" s="1" t="s">
        <v>1154</v>
      </c>
      <c r="D373" s="1">
        <v>21961</v>
      </c>
      <c r="E373" s="2" t="s">
        <v>1155</v>
      </c>
      <c r="F373" s="2" t="s">
        <v>1156</v>
      </c>
      <c r="G373" s="2">
        <v>0</v>
      </c>
      <c r="H373" s="2">
        <v>0</v>
      </c>
      <c r="I373" s="1">
        <v>0</v>
      </c>
      <c r="J373" s="3" t="s">
        <v>19</v>
      </c>
      <c r="K373" s="2" t="str">
        <f>J373*13029.00</f>
        <v>0</v>
      </c>
      <c r="L373" s="5"/>
    </row>
    <row r="374" spans="1:12" outlineLevel="4">
      <c r="A374" s="1"/>
      <c r="B374" s="1">
        <v>958800</v>
      </c>
      <c r="C374" s="1" t="s">
        <v>1157</v>
      </c>
      <c r="D374" s="1">
        <v>11313</v>
      </c>
      <c r="E374" s="2" t="s">
        <v>1158</v>
      </c>
      <c r="F374" s="2" t="s">
        <v>1159</v>
      </c>
      <c r="G374" s="2">
        <v>0</v>
      </c>
      <c r="H374" s="2">
        <v>0</v>
      </c>
      <c r="I374" s="1">
        <v>0</v>
      </c>
      <c r="J374" s="3" t="s">
        <v>19</v>
      </c>
      <c r="K374" s="2" t="str">
        <f>J374*6667.00</f>
        <v>0</v>
      </c>
      <c r="L374" s="5"/>
    </row>
    <row r="375" spans="1:12" outlineLevel="4">
      <c r="A375" s="1"/>
      <c r="B375" s="1">
        <v>958801</v>
      </c>
      <c r="C375" s="1" t="s">
        <v>1160</v>
      </c>
      <c r="D375" s="1">
        <v>59898</v>
      </c>
      <c r="E375" s="2" t="s">
        <v>1161</v>
      </c>
      <c r="F375" s="2" t="s">
        <v>1162</v>
      </c>
      <c r="G375" s="2">
        <v>0</v>
      </c>
      <c r="H375" s="2">
        <v>0</v>
      </c>
      <c r="I375" s="1">
        <v>0</v>
      </c>
      <c r="J375" s="3" t="s">
        <v>19</v>
      </c>
      <c r="K375" s="2" t="str">
        <f>J375*7386.00</f>
        <v>0</v>
      </c>
      <c r="L375" s="5"/>
    </row>
    <row r="376" spans="1:12" outlineLevel="1">
      <c r="A376" s="7" t="s">
        <v>1163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5"/>
    </row>
    <row r="377" spans="1:12" outlineLevel="2">
      <c r="A377" s="8" t="s">
        <v>1164</v>
      </c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5"/>
    </row>
    <row r="378" spans="1:12" customHeight="1" ht="105" outlineLevel="4">
      <c r="A378" s="1"/>
      <c r="B378" s="1">
        <v>833393</v>
      </c>
      <c r="C378" s="1" t="s">
        <v>1165</v>
      </c>
      <c r="D378" s="1" t="s">
        <v>1166</v>
      </c>
      <c r="E378" s="2" t="s">
        <v>1167</v>
      </c>
      <c r="F378" s="2" t="s">
        <v>1168</v>
      </c>
      <c r="G378" s="2">
        <v>9</v>
      </c>
      <c r="H378" s="2">
        <v>0</v>
      </c>
      <c r="I378" s="1">
        <v>0</v>
      </c>
      <c r="J378" s="3" t="s">
        <v>19</v>
      </c>
      <c r="K378" s="2" t="str">
        <f>J378*10207.62</f>
        <v>0</v>
      </c>
      <c r="L378" s="5"/>
    </row>
    <row r="379" spans="1:12" customHeight="1" ht="105" outlineLevel="4">
      <c r="A379" s="1"/>
      <c r="B379" s="1">
        <v>833395</v>
      </c>
      <c r="C379" s="1" t="s">
        <v>1169</v>
      </c>
      <c r="D379" s="1" t="s">
        <v>1170</v>
      </c>
      <c r="E379" s="2" t="s">
        <v>1171</v>
      </c>
      <c r="F379" s="2" t="s">
        <v>1172</v>
      </c>
      <c r="G379" s="2">
        <v>0</v>
      </c>
      <c r="H379" s="2">
        <v>0</v>
      </c>
      <c r="I379" s="1">
        <v>0</v>
      </c>
      <c r="J379" s="3" t="s">
        <v>19</v>
      </c>
      <c r="K379" s="2" t="str">
        <f>J379*14220.00</f>
        <v>0</v>
      </c>
      <c r="L379" s="5"/>
    </row>
    <row r="380" spans="1:12" customHeight="1" ht="105" outlineLevel="4">
      <c r="A380" s="1"/>
      <c r="B380" s="1">
        <v>833398</v>
      </c>
      <c r="C380" s="1" t="s">
        <v>1173</v>
      </c>
      <c r="D380" s="1" t="s">
        <v>1174</v>
      </c>
      <c r="E380" s="2" t="s">
        <v>1175</v>
      </c>
      <c r="F380" s="2" t="s">
        <v>1176</v>
      </c>
      <c r="G380" s="2">
        <v>7</v>
      </c>
      <c r="H380" s="2">
        <v>0</v>
      </c>
      <c r="I380" s="1">
        <v>0</v>
      </c>
      <c r="J380" s="3" t="s">
        <v>19</v>
      </c>
      <c r="K380" s="2" t="str">
        <f>J380*14016.67</f>
        <v>0</v>
      </c>
      <c r="L380" s="5"/>
    </row>
    <row r="381" spans="1:12" customHeight="1" ht="105" outlineLevel="4">
      <c r="A381" s="1"/>
      <c r="B381" s="1">
        <v>833399</v>
      </c>
      <c r="C381" s="1" t="s">
        <v>1177</v>
      </c>
      <c r="D381" s="1" t="s">
        <v>1178</v>
      </c>
      <c r="E381" s="2" t="s">
        <v>1179</v>
      </c>
      <c r="F381" s="2" t="s">
        <v>1180</v>
      </c>
      <c r="G381" s="2">
        <v>7</v>
      </c>
      <c r="H381" s="2">
        <v>0</v>
      </c>
      <c r="I381" s="1">
        <v>0</v>
      </c>
      <c r="J381" s="3" t="s">
        <v>19</v>
      </c>
      <c r="K381" s="2" t="str">
        <f>J381*13814.25</f>
        <v>0</v>
      </c>
      <c r="L381" s="5"/>
    </row>
    <row r="382" spans="1:12" customHeight="1" ht="105" outlineLevel="4">
      <c r="A382" s="1"/>
      <c r="B382" s="1">
        <v>833400</v>
      </c>
      <c r="C382" s="1" t="s">
        <v>1181</v>
      </c>
      <c r="D382" s="1" t="s">
        <v>1182</v>
      </c>
      <c r="E382" s="2" t="s">
        <v>1183</v>
      </c>
      <c r="F382" s="2" t="s">
        <v>1184</v>
      </c>
      <c r="G382" s="2">
        <v>0</v>
      </c>
      <c r="H382" s="2">
        <v>0</v>
      </c>
      <c r="I382" s="1">
        <v>0</v>
      </c>
      <c r="J382" s="3" t="s">
        <v>19</v>
      </c>
      <c r="K382" s="2" t="str">
        <f>J382*10627.44</f>
        <v>0</v>
      </c>
      <c r="L382" s="5"/>
    </row>
    <row r="383" spans="1:12" customHeight="1" ht="105" outlineLevel="4">
      <c r="A383" s="1"/>
      <c r="B383" s="1">
        <v>833401</v>
      </c>
      <c r="C383" s="1" t="s">
        <v>1185</v>
      </c>
      <c r="D383" s="1" t="s">
        <v>1186</v>
      </c>
      <c r="E383" s="2" t="s">
        <v>1187</v>
      </c>
      <c r="F383" s="2" t="s">
        <v>1188</v>
      </c>
      <c r="G383" s="2">
        <v>6</v>
      </c>
      <c r="H383" s="2">
        <v>0</v>
      </c>
      <c r="I383" s="1">
        <v>0</v>
      </c>
      <c r="J383" s="3" t="s">
        <v>19</v>
      </c>
      <c r="K383" s="2" t="str">
        <f>J383*13880.04</f>
        <v>0</v>
      </c>
      <c r="L383" s="5"/>
    </row>
    <row r="384" spans="1:12" customHeight="1" ht="105" outlineLevel="4">
      <c r="A384" s="1"/>
      <c r="B384" s="1">
        <v>837270</v>
      </c>
      <c r="C384" s="1" t="s">
        <v>1189</v>
      </c>
      <c r="D384" s="1" t="s">
        <v>1190</v>
      </c>
      <c r="E384" s="2" t="s">
        <v>1191</v>
      </c>
      <c r="F384" s="2" t="s">
        <v>1192</v>
      </c>
      <c r="G384" s="2" t="s">
        <v>23</v>
      </c>
      <c r="H384" s="2">
        <v>0</v>
      </c>
      <c r="I384" s="1">
        <v>0</v>
      </c>
      <c r="J384" s="3" t="s">
        <v>19</v>
      </c>
      <c r="K384" s="2" t="str">
        <f>J384*9161.58</f>
        <v>0</v>
      </c>
      <c r="L384" s="5"/>
    </row>
    <row r="385" spans="1:12" customHeight="1" ht="105" outlineLevel="4">
      <c r="A385" s="1"/>
      <c r="B385" s="1">
        <v>837272</v>
      </c>
      <c r="C385" s="1" t="s">
        <v>1193</v>
      </c>
      <c r="D385" s="1" t="s">
        <v>1194</v>
      </c>
      <c r="E385" s="2" t="s">
        <v>1195</v>
      </c>
      <c r="F385" s="2" t="s">
        <v>1196</v>
      </c>
      <c r="G385" s="2">
        <v>2</v>
      </c>
      <c r="H385" s="2">
        <v>0</v>
      </c>
      <c r="I385" s="1">
        <v>0</v>
      </c>
      <c r="J385" s="3" t="s">
        <v>19</v>
      </c>
      <c r="K385" s="2" t="str">
        <f>J385*10872.70</f>
        <v>0</v>
      </c>
      <c r="L385" s="5"/>
    </row>
    <row r="386" spans="1:12" customHeight="1" ht="105" outlineLevel="4">
      <c r="A386" s="1"/>
      <c r="B386" s="1">
        <v>837274</v>
      </c>
      <c r="C386" s="1" t="s">
        <v>1197</v>
      </c>
      <c r="D386" s="1" t="s">
        <v>1198</v>
      </c>
      <c r="E386" s="2" t="s">
        <v>1199</v>
      </c>
      <c r="F386" s="2" t="s">
        <v>1200</v>
      </c>
      <c r="G386" s="2">
        <v>1</v>
      </c>
      <c r="H386" s="2">
        <v>0</v>
      </c>
      <c r="I386" s="1">
        <v>0</v>
      </c>
      <c r="J386" s="3" t="s">
        <v>19</v>
      </c>
      <c r="K386" s="2" t="str">
        <f>J386*12086.37</f>
        <v>0</v>
      </c>
      <c r="L386" s="5"/>
    </row>
    <row r="387" spans="1:12" customHeight="1" ht="105" outlineLevel="4">
      <c r="A387" s="1"/>
      <c r="B387" s="1">
        <v>837277</v>
      </c>
      <c r="C387" s="1" t="s">
        <v>1201</v>
      </c>
      <c r="D387" s="1" t="s">
        <v>1202</v>
      </c>
      <c r="E387" s="2" t="s">
        <v>1203</v>
      </c>
      <c r="F387" s="2" t="s">
        <v>1204</v>
      </c>
      <c r="G387" s="2">
        <v>3</v>
      </c>
      <c r="H387" s="2">
        <v>0</v>
      </c>
      <c r="I387" s="1">
        <v>0</v>
      </c>
      <c r="J387" s="3" t="s">
        <v>19</v>
      </c>
      <c r="K387" s="2" t="str">
        <f>J387*11933.56</f>
        <v>0</v>
      </c>
      <c r="L387" s="5"/>
    </row>
    <row r="388" spans="1:12" customHeight="1" ht="105" outlineLevel="4">
      <c r="A388" s="1"/>
      <c r="B388" s="1">
        <v>839079</v>
      </c>
      <c r="C388" s="1" t="s">
        <v>1205</v>
      </c>
      <c r="D388" s="1" t="s">
        <v>1206</v>
      </c>
      <c r="E388" s="2" t="s">
        <v>1207</v>
      </c>
      <c r="F388" s="2" t="s">
        <v>1208</v>
      </c>
      <c r="G388" s="2">
        <v>1</v>
      </c>
      <c r="H388" s="2">
        <v>0</v>
      </c>
      <c r="I388" s="1">
        <v>0</v>
      </c>
      <c r="J388" s="3" t="s">
        <v>19</v>
      </c>
      <c r="K388" s="2" t="str">
        <f>J388*14496.65</f>
        <v>0</v>
      </c>
      <c r="L388" s="5"/>
    </row>
    <row r="389" spans="1:12" customHeight="1" ht="105" outlineLevel="4">
      <c r="A389" s="1"/>
      <c r="B389" s="1">
        <v>858839</v>
      </c>
      <c r="C389" s="1" t="s">
        <v>1209</v>
      </c>
      <c r="D389" s="1" t="s">
        <v>1210</v>
      </c>
      <c r="E389" s="2" t="s">
        <v>1211</v>
      </c>
      <c r="F389" s="2" t="s">
        <v>1212</v>
      </c>
      <c r="G389" s="2">
        <v>0</v>
      </c>
      <c r="H389" s="2">
        <v>0</v>
      </c>
      <c r="I389" s="1">
        <v>0</v>
      </c>
      <c r="J389" s="3" t="s">
        <v>19</v>
      </c>
      <c r="K389" s="2" t="str">
        <f>J389*10302.75</f>
        <v>0</v>
      </c>
      <c r="L389" s="5"/>
    </row>
    <row r="390" spans="1:12" customHeight="1" ht="105" outlineLevel="4">
      <c r="A390" s="1"/>
      <c r="B390" s="1">
        <v>858840</v>
      </c>
      <c r="C390" s="1" t="s">
        <v>1213</v>
      </c>
      <c r="D390" s="1" t="s">
        <v>1214</v>
      </c>
      <c r="E390" s="2" t="s">
        <v>1215</v>
      </c>
      <c r="F390" s="2" t="s">
        <v>1216</v>
      </c>
      <c r="G390" s="2">
        <v>0</v>
      </c>
      <c r="H390" s="2">
        <v>0</v>
      </c>
      <c r="I390" s="1">
        <v>0</v>
      </c>
      <c r="J390" s="3" t="s">
        <v>19</v>
      </c>
      <c r="K390" s="2" t="str">
        <f>J390*12240.00</f>
        <v>0</v>
      </c>
      <c r="L390" s="5"/>
    </row>
    <row r="391" spans="1:12" customHeight="1" ht="105" outlineLevel="4">
      <c r="A391" s="1"/>
      <c r="B391" s="1">
        <v>859047</v>
      </c>
      <c r="C391" s="1" t="s">
        <v>1217</v>
      </c>
      <c r="D391" s="1" t="s">
        <v>1218</v>
      </c>
      <c r="E391" s="2" t="s">
        <v>1219</v>
      </c>
      <c r="F391" s="2" t="s">
        <v>1220</v>
      </c>
      <c r="G391" s="2">
        <v>8</v>
      </c>
      <c r="H391" s="2">
        <v>0</v>
      </c>
      <c r="I391" s="1">
        <v>0</v>
      </c>
      <c r="J391" s="3" t="s">
        <v>19</v>
      </c>
      <c r="K391" s="2" t="str">
        <f>J391*12195.64</f>
        <v>0</v>
      </c>
      <c r="L391" s="5"/>
    </row>
    <row r="392" spans="1:12" customHeight="1" ht="105" outlineLevel="4">
      <c r="A392" s="1"/>
      <c r="B392" s="1">
        <v>859046</v>
      </c>
      <c r="C392" s="1" t="s">
        <v>1221</v>
      </c>
      <c r="D392" s="1" t="s">
        <v>1222</v>
      </c>
      <c r="E392" s="2" t="s">
        <v>1223</v>
      </c>
      <c r="F392" s="2" t="s">
        <v>1224</v>
      </c>
      <c r="G392" s="2">
        <v>0</v>
      </c>
      <c r="H392" s="2">
        <v>0</v>
      </c>
      <c r="I392" s="1">
        <v>0</v>
      </c>
      <c r="J392" s="3" t="s">
        <v>19</v>
      </c>
      <c r="K392" s="2" t="str">
        <f>J392*13140.00</f>
        <v>0</v>
      </c>
      <c r="L392" s="5"/>
    </row>
    <row r="393" spans="1:12" customHeight="1" ht="105" outlineLevel="4">
      <c r="A393" s="1"/>
      <c r="B393" s="1">
        <v>859048</v>
      </c>
      <c r="C393" s="1" t="s">
        <v>1225</v>
      </c>
      <c r="D393" s="1" t="s">
        <v>1226</v>
      </c>
      <c r="E393" s="2" t="s">
        <v>1227</v>
      </c>
      <c r="F393" s="2" t="s">
        <v>1228</v>
      </c>
      <c r="G393" s="2">
        <v>2</v>
      </c>
      <c r="H393" s="2">
        <v>0</v>
      </c>
      <c r="I393" s="1">
        <v>0</v>
      </c>
      <c r="J393" s="3" t="s">
        <v>19</v>
      </c>
      <c r="K393" s="2" t="str">
        <f>J393*23791.44</f>
        <v>0</v>
      </c>
      <c r="L393" s="5"/>
    </row>
    <row r="394" spans="1:12" customHeight="1" ht="105" outlineLevel="4">
      <c r="A394" s="1"/>
      <c r="B394" s="1">
        <v>859049</v>
      </c>
      <c r="C394" s="1" t="s">
        <v>1229</v>
      </c>
      <c r="D394" s="1" t="s">
        <v>1230</v>
      </c>
      <c r="E394" s="2" t="s">
        <v>1231</v>
      </c>
      <c r="F394" s="2" t="s">
        <v>1232</v>
      </c>
      <c r="G394" s="2">
        <v>0</v>
      </c>
      <c r="H394" s="2">
        <v>0</v>
      </c>
      <c r="I394" s="1">
        <v>0</v>
      </c>
      <c r="J394" s="3" t="s">
        <v>19</v>
      </c>
      <c r="K394" s="2" t="str">
        <f>J394*29404.07</f>
        <v>0</v>
      </c>
      <c r="L394" s="5"/>
    </row>
    <row r="395" spans="1:12" customHeight="1" ht="105" outlineLevel="4">
      <c r="A395" s="1"/>
      <c r="B395" s="1">
        <v>874011</v>
      </c>
      <c r="C395" s="1" t="s">
        <v>1233</v>
      </c>
      <c r="D395" s="1" t="s">
        <v>1234</v>
      </c>
      <c r="E395" s="2" t="s">
        <v>1235</v>
      </c>
      <c r="F395" s="2" t="s">
        <v>1236</v>
      </c>
      <c r="G395" s="2">
        <v>6</v>
      </c>
      <c r="H395" s="2">
        <v>0</v>
      </c>
      <c r="I395" s="1">
        <v>0</v>
      </c>
      <c r="J395" s="3" t="s">
        <v>19</v>
      </c>
      <c r="K395" s="2" t="str">
        <f>J395*7590.64</f>
        <v>0</v>
      </c>
      <c r="L395" s="5"/>
    </row>
    <row r="396" spans="1:12" customHeight="1" ht="105" outlineLevel="4">
      <c r="A396" s="1"/>
      <c r="B396" s="1">
        <v>874012</v>
      </c>
      <c r="C396" s="1" t="s">
        <v>1237</v>
      </c>
      <c r="D396" s="1" t="s">
        <v>1238</v>
      </c>
      <c r="E396" s="2" t="s">
        <v>1239</v>
      </c>
      <c r="F396" s="2" t="s">
        <v>1240</v>
      </c>
      <c r="G396" s="2">
        <v>4</v>
      </c>
      <c r="H396" s="2">
        <v>0</v>
      </c>
      <c r="I396" s="1">
        <v>0</v>
      </c>
      <c r="J396" s="3" t="s">
        <v>19</v>
      </c>
      <c r="K396" s="2" t="str">
        <f>J396*9698.68</f>
        <v>0</v>
      </c>
      <c r="L396" s="5"/>
    </row>
    <row r="397" spans="1:12" customHeight="1" ht="105" outlineLevel="4">
      <c r="A397" s="1"/>
      <c r="B397" s="1">
        <v>874013</v>
      </c>
      <c r="C397" s="1" t="s">
        <v>1241</v>
      </c>
      <c r="D397" s="1" t="s">
        <v>1242</v>
      </c>
      <c r="E397" s="2" t="s">
        <v>1243</v>
      </c>
      <c r="F397" s="2" t="s">
        <v>1244</v>
      </c>
      <c r="G397" s="2">
        <v>2</v>
      </c>
      <c r="H397" s="2">
        <v>0</v>
      </c>
      <c r="I397" s="1">
        <v>0</v>
      </c>
      <c r="J397" s="3" t="s">
        <v>19</v>
      </c>
      <c r="K397" s="2" t="str">
        <f>J397*5436.35</f>
        <v>0</v>
      </c>
      <c r="L397" s="5"/>
    </row>
    <row r="398" spans="1:12" customHeight="1" ht="105" outlineLevel="4">
      <c r="A398" s="1"/>
      <c r="B398" s="1">
        <v>879334</v>
      </c>
      <c r="C398" s="1" t="s">
        <v>1245</v>
      </c>
      <c r="D398" s="1" t="s">
        <v>1246</v>
      </c>
      <c r="E398" s="2" t="s">
        <v>1247</v>
      </c>
      <c r="F398" s="2" t="s">
        <v>1248</v>
      </c>
      <c r="G398" s="2">
        <v>3</v>
      </c>
      <c r="H398" s="2">
        <v>0</v>
      </c>
      <c r="I398" s="1">
        <v>0</v>
      </c>
      <c r="J398" s="3" t="s">
        <v>19</v>
      </c>
      <c r="K398" s="2" t="str">
        <f>J398*23578.88</f>
        <v>0</v>
      </c>
      <c r="L398" s="5"/>
    </row>
    <row r="399" spans="1:12" customHeight="1" ht="105" outlineLevel="4">
      <c r="A399" s="1"/>
      <c r="B399" s="1">
        <v>882309</v>
      </c>
      <c r="C399" s="1" t="s">
        <v>1249</v>
      </c>
      <c r="D399" s="1" t="s">
        <v>1250</v>
      </c>
      <c r="E399" s="2" t="s">
        <v>1251</v>
      </c>
      <c r="F399" s="2" t="s">
        <v>1252</v>
      </c>
      <c r="G399" s="2">
        <v>2</v>
      </c>
      <c r="H399" s="2">
        <v>0</v>
      </c>
      <c r="I399" s="1">
        <v>0</v>
      </c>
      <c r="J399" s="3" t="s">
        <v>19</v>
      </c>
      <c r="K399" s="2" t="str">
        <f>J399*6165.29</f>
        <v>0</v>
      </c>
      <c r="L399" s="5"/>
    </row>
    <row r="400" spans="1:12" customHeight="1" ht="105" outlineLevel="4">
      <c r="A400" s="1"/>
      <c r="B400" s="1">
        <v>882310</v>
      </c>
      <c r="C400" s="1" t="s">
        <v>1253</v>
      </c>
      <c r="D400" s="1" t="s">
        <v>1254</v>
      </c>
      <c r="E400" s="2" t="s">
        <v>1255</v>
      </c>
      <c r="F400" s="2" t="s">
        <v>1256</v>
      </c>
      <c r="G400" s="2">
        <v>4</v>
      </c>
      <c r="H400" s="2">
        <v>0</v>
      </c>
      <c r="I400" s="1">
        <v>0</v>
      </c>
      <c r="J400" s="3" t="s">
        <v>19</v>
      </c>
      <c r="K400" s="2" t="str">
        <f>J400*25621.36</f>
        <v>0</v>
      </c>
      <c r="L400" s="5"/>
    </row>
    <row r="401" spans="1:12" customHeight="1" ht="105" outlineLevel="4">
      <c r="A401" s="1"/>
      <c r="B401" s="1">
        <v>883377</v>
      </c>
      <c r="C401" s="1" t="s">
        <v>1257</v>
      </c>
      <c r="D401" s="1" t="s">
        <v>1258</v>
      </c>
      <c r="E401" s="2" t="s">
        <v>1259</v>
      </c>
      <c r="F401" s="2" t="s">
        <v>1260</v>
      </c>
      <c r="G401" s="2">
        <v>2</v>
      </c>
      <c r="H401" s="2">
        <v>0</v>
      </c>
      <c r="I401" s="1">
        <v>0</v>
      </c>
      <c r="J401" s="3" t="s">
        <v>19</v>
      </c>
      <c r="K401" s="2" t="str">
        <f>J401*5513.06</f>
        <v>0</v>
      </c>
      <c r="L401" s="5"/>
    </row>
    <row r="402" spans="1:12" customHeight="1" ht="105" outlineLevel="4">
      <c r="A402" s="1"/>
      <c r="B402" s="1">
        <v>883382</v>
      </c>
      <c r="C402" s="1" t="s">
        <v>1261</v>
      </c>
      <c r="D402" s="1" t="s">
        <v>1262</v>
      </c>
      <c r="E402" s="2" t="s">
        <v>1263</v>
      </c>
      <c r="F402" s="2" t="s">
        <v>1264</v>
      </c>
      <c r="G402" s="2">
        <v>4</v>
      </c>
      <c r="H402" s="2">
        <v>0</v>
      </c>
      <c r="I402" s="1">
        <v>0</v>
      </c>
      <c r="J402" s="3" t="s">
        <v>19</v>
      </c>
      <c r="K402" s="2" t="str">
        <f>J402*11851.68</f>
        <v>0</v>
      </c>
      <c r="L402" s="5"/>
    </row>
    <row r="403" spans="1:12" customHeight="1" ht="105" outlineLevel="4">
      <c r="A403" s="1"/>
      <c r="B403" s="1">
        <v>883189</v>
      </c>
      <c r="C403" s="1" t="s">
        <v>1265</v>
      </c>
      <c r="D403" s="1" t="s">
        <v>1266</v>
      </c>
      <c r="E403" s="2" t="s">
        <v>1267</v>
      </c>
      <c r="F403" s="2" t="s">
        <v>1268</v>
      </c>
      <c r="G403" s="2">
        <v>2</v>
      </c>
      <c r="H403" s="2">
        <v>0</v>
      </c>
      <c r="I403" s="1">
        <v>0</v>
      </c>
      <c r="J403" s="3" t="s">
        <v>19</v>
      </c>
      <c r="K403" s="2" t="str">
        <f>J403*19533.27</f>
        <v>0</v>
      </c>
      <c r="L403" s="5"/>
    </row>
    <row r="404" spans="1:12" customHeight="1" ht="105" outlineLevel="4">
      <c r="A404" s="1"/>
      <c r="B404" s="1">
        <v>883383</v>
      </c>
      <c r="C404" s="1" t="s">
        <v>1269</v>
      </c>
      <c r="D404" s="1" t="s">
        <v>1270</v>
      </c>
      <c r="E404" s="2" t="s">
        <v>1271</v>
      </c>
      <c r="F404" s="2" t="s">
        <v>1272</v>
      </c>
      <c r="G404" s="2">
        <v>1</v>
      </c>
      <c r="H404" s="2">
        <v>0</v>
      </c>
      <c r="I404" s="1">
        <v>0</v>
      </c>
      <c r="J404" s="3" t="s">
        <v>19</v>
      </c>
      <c r="K404" s="2" t="str">
        <f>J404*21308.20</f>
        <v>0</v>
      </c>
      <c r="L404" s="5"/>
    </row>
    <row r="405" spans="1:12" outlineLevel="4">
      <c r="A405" s="1"/>
      <c r="B405" s="1">
        <v>956621</v>
      </c>
      <c r="C405" s="1" t="s">
        <v>1273</v>
      </c>
      <c r="D405" s="1" t="s">
        <v>1274</v>
      </c>
      <c r="E405" s="2" t="s">
        <v>1275</v>
      </c>
      <c r="F405" s="2" t="s">
        <v>1276</v>
      </c>
      <c r="G405" s="2">
        <v>4</v>
      </c>
      <c r="H405" s="2">
        <v>0</v>
      </c>
      <c r="I405" s="1">
        <v>0</v>
      </c>
      <c r="J405" s="3" t="s">
        <v>19</v>
      </c>
      <c r="K405" s="2" t="str">
        <f>J405*6142.49</f>
        <v>0</v>
      </c>
      <c r="L405" s="5"/>
    </row>
    <row r="406" spans="1:12" outlineLevel="4">
      <c r="A406" s="1"/>
      <c r="B406" s="1">
        <v>956622</v>
      </c>
      <c r="C406" s="1" t="s">
        <v>1277</v>
      </c>
      <c r="D406" s="1" t="s">
        <v>1278</v>
      </c>
      <c r="E406" s="2" t="s">
        <v>1279</v>
      </c>
      <c r="F406" s="2" t="s">
        <v>1280</v>
      </c>
      <c r="G406" s="2">
        <v>4</v>
      </c>
      <c r="H406" s="2">
        <v>0</v>
      </c>
      <c r="I406" s="1">
        <v>0</v>
      </c>
      <c r="J406" s="3" t="s">
        <v>19</v>
      </c>
      <c r="K406" s="2" t="str">
        <f>J406*8515.52</f>
        <v>0</v>
      </c>
      <c r="L406" s="5"/>
    </row>
    <row r="407" spans="1:12" outlineLevel="4">
      <c r="A407" s="1"/>
      <c r="B407" s="1">
        <v>956623</v>
      </c>
      <c r="C407" s="1" t="s">
        <v>1281</v>
      </c>
      <c r="D407" s="1" t="s">
        <v>1282</v>
      </c>
      <c r="E407" s="2" t="s">
        <v>1283</v>
      </c>
      <c r="F407" s="2" t="s">
        <v>1284</v>
      </c>
      <c r="G407" s="2">
        <v>4</v>
      </c>
      <c r="H407" s="2">
        <v>0</v>
      </c>
      <c r="I407" s="1">
        <v>0</v>
      </c>
      <c r="J407" s="3" t="s">
        <v>19</v>
      </c>
      <c r="K407" s="2" t="str">
        <f>J407*9330.37</f>
        <v>0</v>
      </c>
      <c r="L407" s="5"/>
    </row>
    <row r="408" spans="1:12" outlineLevel="4">
      <c r="A408" s="1"/>
      <c r="B408" s="1">
        <v>956630</v>
      </c>
      <c r="C408" s="1" t="s">
        <v>1285</v>
      </c>
      <c r="D408" s="1" t="s">
        <v>1286</v>
      </c>
      <c r="E408" s="2" t="s">
        <v>1287</v>
      </c>
      <c r="F408" s="2" t="s">
        <v>1288</v>
      </c>
      <c r="G408" s="2">
        <v>0</v>
      </c>
      <c r="H408" s="2">
        <v>0</v>
      </c>
      <c r="I408" s="1">
        <v>0</v>
      </c>
      <c r="J408" s="3" t="s">
        <v>19</v>
      </c>
      <c r="K408" s="2" t="str">
        <f>J408*66069.01</f>
        <v>0</v>
      </c>
      <c r="L408" s="5"/>
    </row>
    <row r="409" spans="1:12" outlineLevel="4">
      <c r="A409" s="1"/>
      <c r="B409" s="1">
        <v>956631</v>
      </c>
      <c r="C409" s="1" t="s">
        <v>1289</v>
      </c>
      <c r="D409" s="1" t="s">
        <v>1290</v>
      </c>
      <c r="E409" s="2" t="s">
        <v>1291</v>
      </c>
      <c r="F409" s="2" t="s">
        <v>1292</v>
      </c>
      <c r="G409" s="2">
        <v>0</v>
      </c>
      <c r="H409" s="2">
        <v>0</v>
      </c>
      <c r="I409" s="1">
        <v>0</v>
      </c>
      <c r="J409" s="3" t="s">
        <v>19</v>
      </c>
      <c r="K409" s="2" t="str">
        <f>J409*74115.66</f>
        <v>0</v>
      </c>
      <c r="L409" s="5"/>
    </row>
    <row r="410" spans="1:12" customHeight="1" ht="105" outlineLevel="4">
      <c r="A410" s="1"/>
      <c r="B410" s="1">
        <v>956632</v>
      </c>
      <c r="C410" s="1" t="s">
        <v>1293</v>
      </c>
      <c r="D410" s="1" t="s">
        <v>1294</v>
      </c>
      <c r="E410" s="2" t="s">
        <v>1295</v>
      </c>
      <c r="F410" s="2" t="s">
        <v>1296</v>
      </c>
      <c r="G410" s="2">
        <v>3</v>
      </c>
      <c r="H410" s="2">
        <v>0</v>
      </c>
      <c r="I410" s="1">
        <v>0</v>
      </c>
      <c r="J410" s="3" t="s">
        <v>19</v>
      </c>
      <c r="K410" s="2" t="str">
        <f>J410*15362.25</f>
        <v>0</v>
      </c>
      <c r="L410" s="5"/>
    </row>
    <row r="411" spans="1:12" outlineLevel="2">
      <c r="A411" s="8" t="s">
        <v>1297</v>
      </c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5"/>
    </row>
    <row r="412" spans="1:12" customHeight="1" ht="105" outlineLevel="4">
      <c r="A412" s="1"/>
      <c r="B412" s="1">
        <v>879310</v>
      </c>
      <c r="C412" s="1" t="s">
        <v>1298</v>
      </c>
      <c r="D412" s="1" t="s">
        <v>1299</v>
      </c>
      <c r="E412" s="2" t="s">
        <v>1300</v>
      </c>
      <c r="F412" s="2" t="s">
        <v>1301</v>
      </c>
      <c r="G412" s="2">
        <v>0</v>
      </c>
      <c r="H412" s="2">
        <v>0</v>
      </c>
      <c r="I412" s="1">
        <v>0</v>
      </c>
      <c r="J412" s="3" t="s">
        <v>19</v>
      </c>
      <c r="K412" s="2" t="str">
        <f>J412*28729.68</f>
        <v>0</v>
      </c>
      <c r="L412" s="5"/>
    </row>
    <row r="413" spans="1:12" customHeight="1" ht="105" outlineLevel="4">
      <c r="A413" s="1"/>
      <c r="B413" s="1">
        <v>880087</v>
      </c>
      <c r="C413" s="1" t="s">
        <v>1302</v>
      </c>
      <c r="D413" s="1" t="s">
        <v>1303</v>
      </c>
      <c r="E413" s="2" t="s">
        <v>1304</v>
      </c>
      <c r="F413" s="2" t="s">
        <v>1305</v>
      </c>
      <c r="G413" s="2">
        <v>5</v>
      </c>
      <c r="H413" s="2">
        <v>0</v>
      </c>
      <c r="I413" s="1">
        <v>0</v>
      </c>
      <c r="J413" s="3" t="s">
        <v>19</v>
      </c>
      <c r="K413" s="2" t="str">
        <f>J413*25779.39</f>
        <v>0</v>
      </c>
      <c r="L413" s="5"/>
    </row>
    <row r="414" spans="1:12" customHeight="1" ht="105" outlineLevel="4">
      <c r="A414" s="1"/>
      <c r="B414" s="1">
        <v>880088</v>
      </c>
      <c r="C414" s="1" t="s">
        <v>1306</v>
      </c>
      <c r="D414" s="1" t="s">
        <v>1307</v>
      </c>
      <c r="E414" s="2" t="s">
        <v>1308</v>
      </c>
      <c r="F414" s="2" t="s">
        <v>1309</v>
      </c>
      <c r="G414" s="2">
        <v>4</v>
      </c>
      <c r="H414" s="2">
        <v>0</v>
      </c>
      <c r="I414" s="1">
        <v>0</v>
      </c>
      <c r="J414" s="3" t="s">
        <v>19</v>
      </c>
      <c r="K414" s="2" t="str">
        <f>J414*28016.73</f>
        <v>0</v>
      </c>
      <c r="L414" s="5"/>
    </row>
    <row r="415" spans="1:12" customHeight="1" ht="105" outlineLevel="4">
      <c r="A415" s="1"/>
      <c r="B415" s="1">
        <v>884715</v>
      </c>
      <c r="C415" s="1" t="s">
        <v>1310</v>
      </c>
      <c r="D415" s="1" t="s">
        <v>1311</v>
      </c>
      <c r="E415" s="2" t="s">
        <v>1312</v>
      </c>
      <c r="F415" s="2" t="s">
        <v>1313</v>
      </c>
      <c r="G415" s="2">
        <v>0</v>
      </c>
      <c r="H415" s="2">
        <v>0</v>
      </c>
      <c r="I415" s="1">
        <v>0</v>
      </c>
      <c r="J415" s="3" t="s">
        <v>19</v>
      </c>
      <c r="K415" s="2" t="str">
        <f>J415*22370.46</f>
        <v>0</v>
      </c>
      <c r="L415" s="5"/>
    </row>
    <row r="416" spans="1:12" customHeight="1" ht="105" outlineLevel="4">
      <c r="A416" s="1"/>
      <c r="B416" s="1">
        <v>954087</v>
      </c>
      <c r="C416" s="1" t="s">
        <v>1314</v>
      </c>
      <c r="D416" s="1" t="s">
        <v>1315</v>
      </c>
      <c r="E416" s="2" t="s">
        <v>1316</v>
      </c>
      <c r="F416" s="2" t="s">
        <v>1317</v>
      </c>
      <c r="G416" s="2">
        <v>0</v>
      </c>
      <c r="H416" s="2">
        <v>0</v>
      </c>
      <c r="I416" s="1">
        <v>0</v>
      </c>
      <c r="J416" s="3" t="s">
        <v>19</v>
      </c>
      <c r="K416" s="2" t="str">
        <f>J416*73472.07</f>
        <v>0</v>
      </c>
      <c r="L416" s="5"/>
    </row>
    <row r="417" spans="1:12" customHeight="1" ht="105" outlineLevel="4">
      <c r="A417" s="1"/>
      <c r="B417" s="1">
        <v>954088</v>
      </c>
      <c r="C417" s="1" t="s">
        <v>1318</v>
      </c>
      <c r="D417" s="1" t="s">
        <v>1319</v>
      </c>
      <c r="E417" s="2" t="s">
        <v>1320</v>
      </c>
      <c r="F417" s="2" t="s">
        <v>1321</v>
      </c>
      <c r="G417" s="2">
        <v>0</v>
      </c>
      <c r="H417" s="2">
        <v>0</v>
      </c>
      <c r="I417" s="1">
        <v>0</v>
      </c>
      <c r="J417" s="3" t="s">
        <v>19</v>
      </c>
      <c r="K417" s="2" t="str">
        <f>J417*84508.83</f>
        <v>0</v>
      </c>
      <c r="L417" s="5"/>
    </row>
    <row r="418" spans="1:12" customHeight="1" ht="105" outlineLevel="4">
      <c r="A418" s="1"/>
      <c r="B418" s="1">
        <v>955731</v>
      </c>
      <c r="C418" s="1" t="s">
        <v>1322</v>
      </c>
      <c r="D418" s="1" t="s">
        <v>1323</v>
      </c>
      <c r="E418" s="2" t="s">
        <v>1324</v>
      </c>
      <c r="F418" s="2" t="s">
        <v>1325</v>
      </c>
      <c r="G418" s="2">
        <v>1</v>
      </c>
      <c r="H418" s="2">
        <v>0</v>
      </c>
      <c r="I418" s="1">
        <v>0</v>
      </c>
      <c r="J418" s="3" t="s">
        <v>19</v>
      </c>
      <c r="K418" s="2" t="str">
        <f>J418*15861.30</f>
        <v>0</v>
      </c>
      <c r="L418" s="5"/>
    </row>
    <row r="419" spans="1:12" outlineLevel="2">
      <c r="A419" s="8" t="s">
        <v>1326</v>
      </c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5"/>
    </row>
    <row r="420" spans="1:12" outlineLevel="3">
      <c r="A420" s="9" t="s">
        <v>1327</v>
      </c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5"/>
    </row>
    <row r="421" spans="1:12" outlineLevel="5">
      <c r="A421" s="1"/>
      <c r="B421" s="1">
        <v>958451</v>
      </c>
      <c r="C421" s="1" t="s">
        <v>1328</v>
      </c>
      <c r="D421" s="1">
        <v>32961</v>
      </c>
      <c r="E421" s="2" t="s">
        <v>1329</v>
      </c>
      <c r="F421" s="2" t="s">
        <v>1330</v>
      </c>
      <c r="G421" s="2">
        <v>0</v>
      </c>
      <c r="H421" s="2">
        <v>0</v>
      </c>
      <c r="I421" s="1">
        <v>0</v>
      </c>
      <c r="J421" s="3" t="s">
        <v>19</v>
      </c>
      <c r="K421" s="2" t="str">
        <f>J421*14097.00</f>
        <v>0</v>
      </c>
      <c r="L421" s="5"/>
    </row>
    <row r="422" spans="1:12" outlineLevel="5">
      <c r="A422" s="1"/>
      <c r="B422" s="1">
        <v>958452</v>
      </c>
      <c r="C422" s="1" t="s">
        <v>1331</v>
      </c>
      <c r="D422" s="1">
        <v>45190</v>
      </c>
      <c r="E422" s="2" t="s">
        <v>1332</v>
      </c>
      <c r="F422" s="2" t="s">
        <v>1333</v>
      </c>
      <c r="G422" s="2">
        <v>0</v>
      </c>
      <c r="H422" s="2">
        <v>0</v>
      </c>
      <c r="I422" s="1">
        <v>0</v>
      </c>
      <c r="J422" s="3" t="s">
        <v>19</v>
      </c>
      <c r="K422" s="2" t="str">
        <f>J422*15260.00</f>
        <v>0</v>
      </c>
      <c r="L422" s="5"/>
    </row>
    <row r="423" spans="1:12" outlineLevel="5">
      <c r="A423" s="1"/>
      <c r="B423" s="1">
        <v>958453</v>
      </c>
      <c r="C423" s="1" t="s">
        <v>1334</v>
      </c>
      <c r="D423" s="1">
        <v>93773</v>
      </c>
      <c r="E423" s="2" t="s">
        <v>1335</v>
      </c>
      <c r="F423" s="2" t="s">
        <v>1336</v>
      </c>
      <c r="G423" s="2">
        <v>0</v>
      </c>
      <c r="H423" s="2">
        <v>0</v>
      </c>
      <c r="I423" s="1">
        <v>0</v>
      </c>
      <c r="J423" s="3" t="s">
        <v>19</v>
      </c>
      <c r="K423" s="2" t="str">
        <f>J423*16775.00</f>
        <v>0</v>
      </c>
      <c r="L423" s="5"/>
    </row>
    <row r="424" spans="1:12" outlineLevel="5">
      <c r="A424" s="1"/>
      <c r="B424" s="1">
        <v>958454</v>
      </c>
      <c r="C424" s="1" t="s">
        <v>1337</v>
      </c>
      <c r="D424" s="1">
        <v>59893</v>
      </c>
      <c r="E424" s="2" t="s">
        <v>1338</v>
      </c>
      <c r="F424" s="2" t="s">
        <v>1339</v>
      </c>
      <c r="G424" s="2">
        <v>0</v>
      </c>
      <c r="H424" s="2">
        <v>0</v>
      </c>
      <c r="I424" s="1">
        <v>0</v>
      </c>
      <c r="J424" s="3" t="s">
        <v>19</v>
      </c>
      <c r="K424" s="2" t="str">
        <f>J424*11320.00</f>
        <v>0</v>
      </c>
      <c r="L424" s="5"/>
    </row>
    <row r="425" spans="1:12" outlineLevel="5">
      <c r="A425" s="1"/>
      <c r="B425" s="1">
        <v>958455</v>
      </c>
      <c r="C425" s="1" t="s">
        <v>1340</v>
      </c>
      <c r="D425" s="1">
        <v>37836</v>
      </c>
      <c r="E425" s="2" t="s">
        <v>1341</v>
      </c>
      <c r="F425" s="2" t="s">
        <v>1342</v>
      </c>
      <c r="G425" s="2">
        <v>0</v>
      </c>
      <c r="H425" s="2">
        <v>0</v>
      </c>
      <c r="I425" s="1">
        <v>0</v>
      </c>
      <c r="J425" s="3" t="s">
        <v>19</v>
      </c>
      <c r="K425" s="2" t="str">
        <f>J425*12559.00</f>
        <v>0</v>
      </c>
      <c r="L425" s="5"/>
    </row>
    <row r="426" spans="1:12" outlineLevel="5">
      <c r="A426" s="1"/>
      <c r="B426" s="1">
        <v>958456</v>
      </c>
      <c r="C426" s="1" t="s">
        <v>1343</v>
      </c>
      <c r="D426" s="1">
        <v>92824</v>
      </c>
      <c r="E426" s="2" t="s">
        <v>1344</v>
      </c>
      <c r="F426" s="2" t="s">
        <v>1345</v>
      </c>
      <c r="G426" s="2">
        <v>0</v>
      </c>
      <c r="H426" s="2">
        <v>0</v>
      </c>
      <c r="I426" s="1">
        <v>0</v>
      </c>
      <c r="J426" s="3" t="s">
        <v>19</v>
      </c>
      <c r="K426" s="2" t="str">
        <f>J426*14648.00</f>
        <v>0</v>
      </c>
      <c r="L426" s="5"/>
    </row>
    <row r="427" spans="1:12" outlineLevel="5">
      <c r="A427" s="1"/>
      <c r="B427" s="1">
        <v>958457</v>
      </c>
      <c r="C427" s="1" t="s">
        <v>1346</v>
      </c>
      <c r="D427" s="1">
        <v>26536</v>
      </c>
      <c r="E427" s="2" t="s">
        <v>1347</v>
      </c>
      <c r="F427" s="2" t="s">
        <v>1348</v>
      </c>
      <c r="G427" s="2">
        <v>0</v>
      </c>
      <c r="H427" s="2">
        <v>0</v>
      </c>
      <c r="I427" s="1">
        <v>0</v>
      </c>
      <c r="J427" s="3" t="s">
        <v>19</v>
      </c>
      <c r="K427" s="2" t="str">
        <f>J427*14415.00</f>
        <v>0</v>
      </c>
      <c r="L427" s="5"/>
    </row>
    <row r="428" spans="1:12" outlineLevel="5">
      <c r="A428" s="1"/>
      <c r="B428" s="1">
        <v>958458</v>
      </c>
      <c r="C428" s="1" t="s">
        <v>1349</v>
      </c>
      <c r="D428" s="1">
        <v>42986</v>
      </c>
      <c r="E428" s="2" t="s">
        <v>1350</v>
      </c>
      <c r="F428" s="2" t="s">
        <v>1351</v>
      </c>
      <c r="G428" s="2">
        <v>0</v>
      </c>
      <c r="H428" s="2">
        <v>0</v>
      </c>
      <c r="I428" s="1">
        <v>0</v>
      </c>
      <c r="J428" s="3" t="s">
        <v>19</v>
      </c>
      <c r="K428" s="2" t="str">
        <f>J428*8699.00</f>
        <v>0</v>
      </c>
      <c r="L428" s="5"/>
    </row>
    <row r="429" spans="1:12" outlineLevel="5">
      <c r="A429" s="1"/>
      <c r="B429" s="1">
        <v>958459</v>
      </c>
      <c r="C429" s="1" t="s">
        <v>1352</v>
      </c>
      <c r="D429" s="1">
        <v>20026</v>
      </c>
      <c r="E429" s="2" t="s">
        <v>1353</v>
      </c>
      <c r="F429" s="2" t="s">
        <v>1354</v>
      </c>
      <c r="G429" s="2">
        <v>0</v>
      </c>
      <c r="H429" s="2">
        <v>0</v>
      </c>
      <c r="I429" s="1">
        <v>0</v>
      </c>
      <c r="J429" s="3" t="s">
        <v>19</v>
      </c>
      <c r="K429" s="2" t="str">
        <f>J429*10625.00</f>
        <v>0</v>
      </c>
      <c r="L429" s="5"/>
    </row>
    <row r="430" spans="1:12" outlineLevel="5">
      <c r="A430" s="1"/>
      <c r="B430" s="1">
        <v>958460</v>
      </c>
      <c r="C430" s="1" t="s">
        <v>1355</v>
      </c>
      <c r="D430" s="1">
        <v>18969</v>
      </c>
      <c r="E430" s="2" t="s">
        <v>1356</v>
      </c>
      <c r="F430" s="2" t="s">
        <v>1357</v>
      </c>
      <c r="G430" s="2">
        <v>0</v>
      </c>
      <c r="H430" s="2">
        <v>0</v>
      </c>
      <c r="I430" s="1">
        <v>0</v>
      </c>
      <c r="J430" s="3" t="s">
        <v>19</v>
      </c>
      <c r="K430" s="2" t="str">
        <f>J430*11107.00</f>
        <v>0</v>
      </c>
      <c r="L430" s="5"/>
    </row>
    <row r="431" spans="1:12" outlineLevel="5">
      <c r="A431" s="1"/>
      <c r="B431" s="1">
        <v>958461</v>
      </c>
      <c r="C431" s="1" t="s">
        <v>1358</v>
      </c>
      <c r="D431" s="1">
        <v>19672</v>
      </c>
      <c r="E431" s="2" t="s">
        <v>1359</v>
      </c>
      <c r="F431" s="2" t="s">
        <v>1360</v>
      </c>
      <c r="G431" s="2">
        <v>0</v>
      </c>
      <c r="H431" s="2">
        <v>0</v>
      </c>
      <c r="I431" s="1">
        <v>0</v>
      </c>
      <c r="J431" s="3" t="s">
        <v>19</v>
      </c>
      <c r="K431" s="2" t="str">
        <f>J431*16587.00</f>
        <v>0</v>
      </c>
      <c r="L431" s="5"/>
    </row>
    <row r="432" spans="1:12" outlineLevel="5">
      <c r="A432" s="1"/>
      <c r="B432" s="1">
        <v>958462</v>
      </c>
      <c r="C432" s="1" t="s">
        <v>1361</v>
      </c>
      <c r="D432" s="1">
        <v>50093</v>
      </c>
      <c r="E432" s="2" t="s">
        <v>1362</v>
      </c>
      <c r="F432" s="2" t="s">
        <v>1363</v>
      </c>
      <c r="G432" s="2">
        <v>0</v>
      </c>
      <c r="H432" s="2">
        <v>0</v>
      </c>
      <c r="I432" s="1">
        <v>0</v>
      </c>
      <c r="J432" s="3" t="s">
        <v>19</v>
      </c>
      <c r="K432" s="2" t="str">
        <f>J432*13468.00</f>
        <v>0</v>
      </c>
      <c r="L432" s="5"/>
    </row>
    <row r="433" spans="1:12" outlineLevel="5">
      <c r="A433" s="1"/>
      <c r="B433" s="1">
        <v>958463</v>
      </c>
      <c r="C433" s="1" t="s">
        <v>1364</v>
      </c>
      <c r="D433" s="1">
        <v>65600</v>
      </c>
      <c r="E433" s="2" t="s">
        <v>1365</v>
      </c>
      <c r="F433" s="2" t="s">
        <v>1366</v>
      </c>
      <c r="G433" s="2">
        <v>0</v>
      </c>
      <c r="H433" s="2">
        <v>0</v>
      </c>
      <c r="I433" s="1">
        <v>0</v>
      </c>
      <c r="J433" s="3" t="s">
        <v>19</v>
      </c>
      <c r="K433" s="2" t="str">
        <f>J433*14814.00</f>
        <v>0</v>
      </c>
      <c r="L433" s="5"/>
    </row>
    <row r="434" spans="1:12" outlineLevel="5">
      <c r="A434" s="1"/>
      <c r="B434" s="1">
        <v>958464</v>
      </c>
      <c r="C434" s="1" t="s">
        <v>1367</v>
      </c>
      <c r="D434" s="1">
        <v>63434</v>
      </c>
      <c r="E434" s="2" t="s">
        <v>1368</v>
      </c>
      <c r="F434" s="2" t="s">
        <v>1369</v>
      </c>
      <c r="G434" s="2">
        <v>0</v>
      </c>
      <c r="H434" s="2">
        <v>0</v>
      </c>
      <c r="I434" s="1">
        <v>0</v>
      </c>
      <c r="J434" s="3" t="s">
        <v>19</v>
      </c>
      <c r="K434" s="2" t="str">
        <f>J434*14478.00</f>
        <v>0</v>
      </c>
      <c r="L434" s="5"/>
    </row>
    <row r="435" spans="1:12" outlineLevel="5">
      <c r="A435" s="1"/>
      <c r="B435" s="1">
        <v>958465</v>
      </c>
      <c r="C435" s="1" t="s">
        <v>1370</v>
      </c>
      <c r="D435" s="1">
        <v>30646</v>
      </c>
      <c r="E435" s="2" t="s">
        <v>1371</v>
      </c>
      <c r="F435" s="2" t="s">
        <v>1372</v>
      </c>
      <c r="G435" s="2">
        <v>0</v>
      </c>
      <c r="H435" s="2">
        <v>0</v>
      </c>
      <c r="I435" s="1">
        <v>0</v>
      </c>
      <c r="J435" s="3" t="s">
        <v>19</v>
      </c>
      <c r="K435" s="2" t="str">
        <f>J435*14703.00</f>
        <v>0</v>
      </c>
      <c r="L435" s="5"/>
    </row>
    <row r="436" spans="1:12" outlineLevel="5">
      <c r="A436" s="1"/>
      <c r="B436" s="1">
        <v>958466</v>
      </c>
      <c r="C436" s="1" t="s">
        <v>1373</v>
      </c>
      <c r="D436" s="1">
        <v>96231</v>
      </c>
      <c r="E436" s="2" t="s">
        <v>1374</v>
      </c>
      <c r="F436" s="2" t="s">
        <v>1375</v>
      </c>
      <c r="G436" s="2">
        <v>0</v>
      </c>
      <c r="H436" s="2">
        <v>0</v>
      </c>
      <c r="I436" s="1">
        <v>0</v>
      </c>
      <c r="J436" s="3" t="s">
        <v>19</v>
      </c>
      <c r="K436" s="2" t="str">
        <f>J436*14258.00</f>
        <v>0</v>
      </c>
      <c r="L436" s="5"/>
    </row>
    <row r="437" spans="1:12" outlineLevel="3">
      <c r="A437" s="9" t="s">
        <v>1376</v>
      </c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5"/>
    </row>
    <row r="438" spans="1:12" outlineLevel="5">
      <c r="A438" s="1"/>
      <c r="B438" s="1">
        <v>958449</v>
      </c>
      <c r="C438" s="1" t="s">
        <v>1377</v>
      </c>
      <c r="D438" s="1">
        <v>75354</v>
      </c>
      <c r="E438" s="2" t="s">
        <v>1378</v>
      </c>
      <c r="F438" s="2" t="s">
        <v>1379</v>
      </c>
      <c r="G438" s="2">
        <v>-2</v>
      </c>
      <c r="H438" s="2">
        <v>0</v>
      </c>
      <c r="I438" s="1">
        <v>0</v>
      </c>
      <c r="J438" s="3" t="s">
        <v>19</v>
      </c>
      <c r="K438" s="2" t="str">
        <f>J438*50902.00</f>
        <v>0</v>
      </c>
      <c r="L438" s="5"/>
    </row>
    <row r="439" spans="1:12" outlineLevel="5">
      <c r="A439" s="1"/>
      <c r="B439" s="1">
        <v>958450</v>
      </c>
      <c r="C439" s="1" t="s">
        <v>1380</v>
      </c>
      <c r="D439" s="1">
        <v>76053</v>
      </c>
      <c r="E439" s="2" t="s">
        <v>1381</v>
      </c>
      <c r="F439" s="2" t="s">
        <v>1382</v>
      </c>
      <c r="G439" s="2">
        <v>0</v>
      </c>
      <c r="H439" s="2">
        <v>0</v>
      </c>
      <c r="I439" s="1">
        <v>0</v>
      </c>
      <c r="J439" s="3" t="s">
        <v>19</v>
      </c>
      <c r="K439" s="2" t="str">
        <f>J439*25548.00</f>
        <v>0</v>
      </c>
      <c r="L439" s="5"/>
    </row>
    <row r="440" spans="1:12" outlineLevel="3">
      <c r="A440" s="9" t="s">
        <v>1383</v>
      </c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5"/>
    </row>
    <row r="441" spans="1:12" outlineLevel="5">
      <c r="A441" s="1"/>
      <c r="B441" s="1">
        <v>958479</v>
      </c>
      <c r="C441" s="1" t="s">
        <v>1384</v>
      </c>
      <c r="D441" s="1">
        <v>85237</v>
      </c>
      <c r="E441" s="2" t="s">
        <v>1385</v>
      </c>
      <c r="F441" s="2" t="s">
        <v>1386</v>
      </c>
      <c r="G441" s="2">
        <v>0</v>
      </c>
      <c r="H441" s="2">
        <v>0</v>
      </c>
      <c r="I441" s="1">
        <v>0</v>
      </c>
      <c r="J441" s="3" t="s">
        <v>19</v>
      </c>
      <c r="K441" s="2" t="str">
        <f>J441*9820.00</f>
        <v>0</v>
      </c>
      <c r="L441" s="5"/>
    </row>
    <row r="442" spans="1:12" outlineLevel="5">
      <c r="A442" s="1"/>
      <c r="B442" s="1">
        <v>958480</v>
      </c>
      <c r="C442" s="1" t="s">
        <v>1387</v>
      </c>
      <c r="D442" s="1">
        <v>19264</v>
      </c>
      <c r="E442" s="2" t="s">
        <v>1388</v>
      </c>
      <c r="F442" s="2" t="s">
        <v>1389</v>
      </c>
      <c r="G442" s="2">
        <v>0</v>
      </c>
      <c r="H442" s="2">
        <v>0</v>
      </c>
      <c r="I442" s="1">
        <v>0</v>
      </c>
      <c r="J442" s="3" t="s">
        <v>19</v>
      </c>
      <c r="K442" s="2" t="str">
        <f>J442*4096.00</f>
        <v>0</v>
      </c>
      <c r="L442" s="5"/>
    </row>
    <row r="443" spans="1:12" outlineLevel="5">
      <c r="A443" s="1"/>
      <c r="B443" s="1">
        <v>958481</v>
      </c>
      <c r="C443" s="1" t="s">
        <v>1390</v>
      </c>
      <c r="D443" s="1">
        <v>15364</v>
      </c>
      <c r="E443" s="2" t="s">
        <v>1391</v>
      </c>
      <c r="F443" s="2" t="s">
        <v>1392</v>
      </c>
      <c r="G443" s="2">
        <v>0</v>
      </c>
      <c r="H443" s="2">
        <v>0</v>
      </c>
      <c r="I443" s="1">
        <v>0</v>
      </c>
      <c r="J443" s="3" t="s">
        <v>19</v>
      </c>
      <c r="K443" s="2" t="str">
        <f>J443*3449.00</f>
        <v>0</v>
      </c>
      <c r="L443" s="5"/>
    </row>
    <row r="444" spans="1:12" outlineLevel="5">
      <c r="A444" s="1"/>
      <c r="B444" s="1">
        <v>958482</v>
      </c>
      <c r="C444" s="1" t="s">
        <v>1393</v>
      </c>
      <c r="D444" s="1">
        <v>66720</v>
      </c>
      <c r="E444" s="2" t="s">
        <v>1394</v>
      </c>
      <c r="F444" s="2" t="s">
        <v>1395</v>
      </c>
      <c r="G444" s="2">
        <v>0</v>
      </c>
      <c r="H444" s="2">
        <v>0</v>
      </c>
      <c r="I444" s="1">
        <v>0</v>
      </c>
      <c r="J444" s="3" t="s">
        <v>19</v>
      </c>
      <c r="K444" s="2" t="str">
        <f>J444*23048.00</f>
        <v>0</v>
      </c>
      <c r="L444" s="5"/>
    </row>
    <row r="445" spans="1:12" outlineLevel="3">
      <c r="A445" s="9" t="s">
        <v>1396</v>
      </c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5"/>
    </row>
    <row r="446" spans="1:12" outlineLevel="5">
      <c r="A446" s="1"/>
      <c r="B446" s="1">
        <v>958483</v>
      </c>
      <c r="C446" s="1" t="s">
        <v>1397</v>
      </c>
      <c r="D446" s="1">
        <v>39602</v>
      </c>
      <c r="E446" s="2" t="s">
        <v>1398</v>
      </c>
      <c r="F446" s="2" t="s">
        <v>1399</v>
      </c>
      <c r="G446" s="2">
        <v>0</v>
      </c>
      <c r="H446" s="2">
        <v>0</v>
      </c>
      <c r="I446" s="1">
        <v>0</v>
      </c>
      <c r="J446" s="3" t="s">
        <v>19</v>
      </c>
      <c r="K446" s="2" t="str">
        <f>J446*5467.00</f>
        <v>0</v>
      </c>
      <c r="L446" s="5"/>
    </row>
    <row r="447" spans="1:12" outlineLevel="5">
      <c r="A447" s="1"/>
      <c r="B447" s="1">
        <v>958484</v>
      </c>
      <c r="C447" s="1" t="s">
        <v>1400</v>
      </c>
      <c r="D447" s="1">
        <v>73694</v>
      </c>
      <c r="E447" s="2" t="s">
        <v>1401</v>
      </c>
      <c r="F447" s="2" t="s">
        <v>1402</v>
      </c>
      <c r="G447" s="2">
        <v>0</v>
      </c>
      <c r="H447" s="2">
        <v>0</v>
      </c>
      <c r="I447" s="1">
        <v>0</v>
      </c>
      <c r="J447" s="3" t="s">
        <v>19</v>
      </c>
      <c r="K447" s="2" t="str">
        <f>J447*3160.00</f>
        <v>0</v>
      </c>
      <c r="L447" s="5"/>
    </row>
    <row r="448" spans="1:12" outlineLevel="5">
      <c r="A448" s="1"/>
      <c r="B448" s="1">
        <v>958485</v>
      </c>
      <c r="C448" s="1" t="s">
        <v>1403</v>
      </c>
      <c r="D448" s="1">
        <v>81649</v>
      </c>
      <c r="E448" s="2" t="s">
        <v>1404</v>
      </c>
      <c r="F448" s="2" t="s">
        <v>1405</v>
      </c>
      <c r="G448" s="2">
        <v>0</v>
      </c>
      <c r="H448" s="2">
        <v>0</v>
      </c>
      <c r="I448" s="1">
        <v>0</v>
      </c>
      <c r="J448" s="3" t="s">
        <v>19</v>
      </c>
      <c r="K448" s="2" t="str">
        <f>J448*13088.00</f>
        <v>0</v>
      </c>
      <c r="L448" s="5"/>
    </row>
    <row r="449" spans="1:12" outlineLevel="5">
      <c r="A449" s="1"/>
      <c r="B449" s="1">
        <v>958486</v>
      </c>
      <c r="C449" s="1" t="s">
        <v>1406</v>
      </c>
      <c r="D449" s="1">
        <v>47567</v>
      </c>
      <c r="E449" s="2" t="s">
        <v>1407</v>
      </c>
      <c r="F449" s="2" t="s">
        <v>1408</v>
      </c>
      <c r="G449" s="2">
        <v>0</v>
      </c>
      <c r="H449" s="2">
        <v>0</v>
      </c>
      <c r="I449" s="1">
        <v>0</v>
      </c>
      <c r="J449" s="3" t="s">
        <v>19</v>
      </c>
      <c r="K449" s="2" t="str">
        <f>J449*12943.00</f>
        <v>0</v>
      </c>
      <c r="L449" s="5"/>
    </row>
    <row r="450" spans="1:12" outlineLevel="5">
      <c r="A450" s="1"/>
      <c r="B450" s="1">
        <v>958487</v>
      </c>
      <c r="C450" s="1" t="s">
        <v>1409</v>
      </c>
      <c r="D450" s="1">
        <v>11954</v>
      </c>
      <c r="E450" s="2" t="s">
        <v>1410</v>
      </c>
      <c r="F450" s="2" t="s">
        <v>1411</v>
      </c>
      <c r="G450" s="2">
        <v>0</v>
      </c>
      <c r="H450" s="2">
        <v>0</v>
      </c>
      <c r="I450" s="1">
        <v>0</v>
      </c>
      <c r="J450" s="3" t="s">
        <v>19</v>
      </c>
      <c r="K450" s="2" t="str">
        <f>J450*13357.00</f>
        <v>0</v>
      </c>
      <c r="L450" s="5"/>
    </row>
    <row r="451" spans="1:12" outlineLevel="5">
      <c r="A451" s="1"/>
      <c r="B451" s="1">
        <v>958488</v>
      </c>
      <c r="C451" s="1" t="s">
        <v>1412</v>
      </c>
      <c r="D451" s="1">
        <v>58809</v>
      </c>
      <c r="E451" s="2" t="s">
        <v>1413</v>
      </c>
      <c r="F451" s="2" t="s">
        <v>1414</v>
      </c>
      <c r="G451" s="2">
        <v>0</v>
      </c>
      <c r="H451" s="2">
        <v>0</v>
      </c>
      <c r="I451" s="1">
        <v>0</v>
      </c>
      <c r="J451" s="3" t="s">
        <v>19</v>
      </c>
      <c r="K451" s="2" t="str">
        <f>J451*14331.00</f>
        <v>0</v>
      </c>
      <c r="L451" s="5"/>
    </row>
    <row r="452" spans="1:12" outlineLevel="5">
      <c r="A452" s="1"/>
      <c r="B452" s="1">
        <v>958489</v>
      </c>
      <c r="C452" s="1" t="s">
        <v>1415</v>
      </c>
      <c r="D452" s="1">
        <v>49335</v>
      </c>
      <c r="E452" s="2" t="s">
        <v>1416</v>
      </c>
      <c r="F452" s="2" t="s">
        <v>1417</v>
      </c>
      <c r="G452" s="2">
        <v>0</v>
      </c>
      <c r="H452" s="2">
        <v>0</v>
      </c>
      <c r="I452" s="1">
        <v>0</v>
      </c>
      <c r="J452" s="3" t="s">
        <v>19</v>
      </c>
      <c r="K452" s="2" t="str">
        <f>J452*15472.00</f>
        <v>0</v>
      </c>
      <c r="L452" s="5"/>
    </row>
    <row r="453" spans="1:12" outlineLevel="5">
      <c r="A453" s="1"/>
      <c r="B453" s="1">
        <v>958490</v>
      </c>
      <c r="C453" s="1" t="s">
        <v>1418</v>
      </c>
      <c r="D453" s="1">
        <v>27143</v>
      </c>
      <c r="E453" s="2" t="s">
        <v>1419</v>
      </c>
      <c r="F453" s="2" t="s">
        <v>1420</v>
      </c>
      <c r="G453" s="2">
        <v>0</v>
      </c>
      <c r="H453" s="2">
        <v>0</v>
      </c>
      <c r="I453" s="1">
        <v>0</v>
      </c>
      <c r="J453" s="3" t="s">
        <v>19</v>
      </c>
      <c r="K453" s="2" t="str">
        <f>J453*10680.00</f>
        <v>0</v>
      </c>
      <c r="L453" s="5"/>
    </row>
    <row r="454" spans="1:12" outlineLevel="5">
      <c r="A454" s="1"/>
      <c r="B454" s="1">
        <v>958491</v>
      </c>
      <c r="C454" s="1" t="s">
        <v>1421</v>
      </c>
      <c r="D454" s="1">
        <v>68373</v>
      </c>
      <c r="E454" s="2" t="s">
        <v>1422</v>
      </c>
      <c r="F454" s="2" t="s">
        <v>1423</v>
      </c>
      <c r="G454" s="2">
        <v>0</v>
      </c>
      <c r="H454" s="2">
        <v>0</v>
      </c>
      <c r="I454" s="1">
        <v>0</v>
      </c>
      <c r="J454" s="3" t="s">
        <v>19</v>
      </c>
      <c r="K454" s="2" t="str">
        <f>J454*10535.00</f>
        <v>0</v>
      </c>
      <c r="L454" s="5"/>
    </row>
    <row r="455" spans="1:12" outlineLevel="5">
      <c r="A455" s="1"/>
      <c r="B455" s="1">
        <v>958492</v>
      </c>
      <c r="C455" s="1" t="s">
        <v>1424</v>
      </c>
      <c r="D455" s="1">
        <v>28501</v>
      </c>
      <c r="E455" s="2" t="s">
        <v>1425</v>
      </c>
      <c r="F455" s="2" t="s">
        <v>1426</v>
      </c>
      <c r="G455" s="2">
        <v>0</v>
      </c>
      <c r="H455" s="2">
        <v>0</v>
      </c>
      <c r="I455" s="1">
        <v>0</v>
      </c>
      <c r="J455" s="3" t="s">
        <v>19</v>
      </c>
      <c r="K455" s="2" t="str">
        <f>J455*11096.00</f>
        <v>0</v>
      </c>
      <c r="L455" s="5"/>
    </row>
    <row r="456" spans="1:12" outlineLevel="5">
      <c r="A456" s="1"/>
      <c r="B456" s="1">
        <v>958493</v>
      </c>
      <c r="C456" s="1" t="s">
        <v>1427</v>
      </c>
      <c r="D456" s="1">
        <v>99655</v>
      </c>
      <c r="E456" s="2" t="s">
        <v>1428</v>
      </c>
      <c r="F456" s="2" t="s">
        <v>1429</v>
      </c>
      <c r="G456" s="2">
        <v>0</v>
      </c>
      <c r="H456" s="2">
        <v>0</v>
      </c>
      <c r="I456" s="1">
        <v>0</v>
      </c>
      <c r="J456" s="3" t="s">
        <v>19</v>
      </c>
      <c r="K456" s="2" t="str">
        <f>J456*10949.00</f>
        <v>0</v>
      </c>
      <c r="L456" s="5"/>
    </row>
    <row r="457" spans="1:12" outlineLevel="5">
      <c r="A457" s="1"/>
      <c r="B457" s="1">
        <v>958494</v>
      </c>
      <c r="C457" s="1" t="s">
        <v>1430</v>
      </c>
      <c r="D457" s="1">
        <v>32349</v>
      </c>
      <c r="E457" s="2" t="s">
        <v>1431</v>
      </c>
      <c r="F457" s="2" t="s">
        <v>1432</v>
      </c>
      <c r="G457" s="2">
        <v>0</v>
      </c>
      <c r="H457" s="2">
        <v>0</v>
      </c>
      <c r="I457" s="1">
        <v>0</v>
      </c>
      <c r="J457" s="3" t="s">
        <v>19</v>
      </c>
      <c r="K457" s="2" t="str">
        <f>J457*11779.00</f>
        <v>0</v>
      </c>
      <c r="L457" s="5"/>
    </row>
    <row r="458" spans="1:12" outlineLevel="5">
      <c r="A458" s="1"/>
      <c r="B458" s="1">
        <v>958495</v>
      </c>
      <c r="C458" s="1" t="s">
        <v>1433</v>
      </c>
      <c r="D458" s="1">
        <v>10674</v>
      </c>
      <c r="E458" s="2" t="s">
        <v>1434</v>
      </c>
      <c r="F458" s="2" t="s">
        <v>1435</v>
      </c>
      <c r="G458" s="2">
        <v>0</v>
      </c>
      <c r="H458" s="2">
        <v>0</v>
      </c>
      <c r="I458" s="1">
        <v>0</v>
      </c>
      <c r="J458" s="3" t="s">
        <v>19</v>
      </c>
      <c r="K458" s="2" t="str">
        <f>J458*13208.00</f>
        <v>0</v>
      </c>
      <c r="L458" s="5"/>
    </row>
    <row r="459" spans="1:12" outlineLevel="5">
      <c r="A459" s="1"/>
      <c r="B459" s="1">
        <v>958496</v>
      </c>
      <c r="C459" s="1" t="s">
        <v>1436</v>
      </c>
      <c r="D459" s="1">
        <v>45623</v>
      </c>
      <c r="E459" s="2" t="s">
        <v>1437</v>
      </c>
      <c r="F459" s="2" t="s">
        <v>1438</v>
      </c>
      <c r="G459" s="2">
        <v>0</v>
      </c>
      <c r="H459" s="2">
        <v>0</v>
      </c>
      <c r="I459" s="1">
        <v>0</v>
      </c>
      <c r="J459" s="3" t="s">
        <v>19</v>
      </c>
      <c r="K459" s="2" t="str">
        <f>J459*13063.00</f>
        <v>0</v>
      </c>
      <c r="L459" s="5"/>
    </row>
    <row r="460" spans="1:12" outlineLevel="3">
      <c r="A460" s="9" t="s">
        <v>1439</v>
      </c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5"/>
    </row>
    <row r="461" spans="1:12" outlineLevel="5">
      <c r="A461" s="1"/>
      <c r="B461" s="1">
        <v>958395</v>
      </c>
      <c r="C461" s="1" t="s">
        <v>1440</v>
      </c>
      <c r="D461" s="1">
        <v>79983</v>
      </c>
      <c r="E461" s="2" t="s">
        <v>1441</v>
      </c>
      <c r="F461" s="2" t="s">
        <v>1442</v>
      </c>
      <c r="G461" s="2">
        <v>0</v>
      </c>
      <c r="H461" s="2">
        <v>0</v>
      </c>
      <c r="I461" s="1">
        <v>0</v>
      </c>
      <c r="J461" s="3" t="s">
        <v>19</v>
      </c>
      <c r="K461" s="2" t="str">
        <f>J461*11290.00</f>
        <v>0</v>
      </c>
      <c r="L461" s="5"/>
    </row>
    <row r="462" spans="1:12" outlineLevel="5">
      <c r="A462" s="1"/>
      <c r="B462" s="1">
        <v>958396</v>
      </c>
      <c r="C462" s="1" t="s">
        <v>1443</v>
      </c>
      <c r="D462" s="1">
        <v>64929</v>
      </c>
      <c r="E462" s="2" t="s">
        <v>1444</v>
      </c>
      <c r="F462" s="2" t="s">
        <v>1445</v>
      </c>
      <c r="G462" s="2">
        <v>0</v>
      </c>
      <c r="H462" s="2">
        <v>0</v>
      </c>
      <c r="I462" s="1">
        <v>0</v>
      </c>
      <c r="J462" s="3" t="s">
        <v>19</v>
      </c>
      <c r="K462" s="2" t="str">
        <f>J462*10805.00</f>
        <v>0</v>
      </c>
      <c r="L462" s="5"/>
    </row>
    <row r="463" spans="1:12" outlineLevel="5">
      <c r="A463" s="1"/>
      <c r="B463" s="1">
        <v>958397</v>
      </c>
      <c r="C463" s="1" t="s">
        <v>1446</v>
      </c>
      <c r="D463" s="1">
        <v>21525</v>
      </c>
      <c r="E463" s="2" t="s">
        <v>1447</v>
      </c>
      <c r="F463" s="2" t="s">
        <v>1448</v>
      </c>
      <c r="G463" s="2">
        <v>0</v>
      </c>
      <c r="H463" s="2">
        <v>0</v>
      </c>
      <c r="I463" s="1">
        <v>0</v>
      </c>
      <c r="J463" s="3" t="s">
        <v>19</v>
      </c>
      <c r="K463" s="2" t="str">
        <f>J463*11155.00</f>
        <v>0</v>
      </c>
      <c r="L463" s="5"/>
    </row>
    <row r="464" spans="1:12" outlineLevel="5">
      <c r="A464" s="1"/>
      <c r="B464" s="1">
        <v>958398</v>
      </c>
      <c r="C464" s="1" t="s">
        <v>1449</v>
      </c>
      <c r="D464" s="1">
        <v>22287</v>
      </c>
      <c r="E464" s="2" t="s">
        <v>1450</v>
      </c>
      <c r="F464" s="2" t="s">
        <v>1451</v>
      </c>
      <c r="G464" s="2">
        <v>0</v>
      </c>
      <c r="H464" s="2">
        <v>0</v>
      </c>
      <c r="I464" s="1">
        <v>0</v>
      </c>
      <c r="J464" s="3" t="s">
        <v>19</v>
      </c>
      <c r="K464" s="2" t="str">
        <f>J464*8680.00</f>
        <v>0</v>
      </c>
      <c r="L464" s="5"/>
    </row>
    <row r="465" spans="1:12" outlineLevel="5">
      <c r="A465" s="1"/>
      <c r="B465" s="1">
        <v>958399</v>
      </c>
      <c r="C465" s="1" t="s">
        <v>1452</v>
      </c>
      <c r="D465" s="1">
        <v>31305</v>
      </c>
      <c r="E465" s="2" t="s">
        <v>1453</v>
      </c>
      <c r="F465" s="2" t="s">
        <v>1454</v>
      </c>
      <c r="G465" s="2">
        <v>0</v>
      </c>
      <c r="H465" s="2">
        <v>0</v>
      </c>
      <c r="I465" s="1">
        <v>0</v>
      </c>
      <c r="J465" s="3" t="s">
        <v>19</v>
      </c>
      <c r="K465" s="2" t="str">
        <f>J465*11198.00</f>
        <v>0</v>
      </c>
      <c r="L465" s="5"/>
    </row>
    <row r="466" spans="1:12" outlineLevel="5">
      <c r="A466" s="1"/>
      <c r="B466" s="1">
        <v>958400</v>
      </c>
      <c r="C466" s="1" t="s">
        <v>1455</v>
      </c>
      <c r="D466" s="1">
        <v>66183</v>
      </c>
      <c r="E466" s="2" t="s">
        <v>1456</v>
      </c>
      <c r="F466" s="2" t="s">
        <v>1457</v>
      </c>
      <c r="G466" s="2">
        <v>0</v>
      </c>
      <c r="H466" s="2">
        <v>0</v>
      </c>
      <c r="I466" s="1">
        <v>0</v>
      </c>
      <c r="J466" s="3" t="s">
        <v>19</v>
      </c>
      <c r="K466" s="2" t="str">
        <f>J466*13116.00</f>
        <v>0</v>
      </c>
      <c r="L466" s="5"/>
    </row>
    <row r="467" spans="1:12" outlineLevel="5">
      <c r="A467" s="1"/>
      <c r="B467" s="1">
        <v>958401</v>
      </c>
      <c r="C467" s="1" t="s">
        <v>1458</v>
      </c>
      <c r="D467" s="1">
        <v>39241</v>
      </c>
      <c r="E467" s="2" t="s">
        <v>1459</v>
      </c>
      <c r="F467" s="2" t="s">
        <v>1460</v>
      </c>
      <c r="G467" s="2">
        <v>0</v>
      </c>
      <c r="H467" s="2">
        <v>0</v>
      </c>
      <c r="I467" s="1">
        <v>0</v>
      </c>
      <c r="J467" s="3" t="s">
        <v>19</v>
      </c>
      <c r="K467" s="2" t="str">
        <f>J467*13342.00</f>
        <v>0</v>
      </c>
      <c r="L467" s="5"/>
    </row>
    <row r="468" spans="1:12" outlineLevel="5">
      <c r="A468" s="1"/>
      <c r="B468" s="1">
        <v>958402</v>
      </c>
      <c r="C468" s="1" t="s">
        <v>1461</v>
      </c>
      <c r="D468" s="1">
        <v>10943</v>
      </c>
      <c r="E468" s="2" t="s">
        <v>1462</v>
      </c>
      <c r="F468" s="2" t="s">
        <v>1463</v>
      </c>
      <c r="G468" s="2">
        <v>0</v>
      </c>
      <c r="H468" s="2">
        <v>0</v>
      </c>
      <c r="I468" s="1">
        <v>0</v>
      </c>
      <c r="J468" s="3" t="s">
        <v>19</v>
      </c>
      <c r="K468" s="2" t="str">
        <f>J468*13287.00</f>
        <v>0</v>
      </c>
      <c r="L468" s="5"/>
    </row>
    <row r="469" spans="1:12" outlineLevel="5">
      <c r="A469" s="1"/>
      <c r="B469" s="1">
        <v>958403</v>
      </c>
      <c r="C469" s="1" t="s">
        <v>1464</v>
      </c>
      <c r="D469" s="1">
        <v>67961</v>
      </c>
      <c r="E469" s="2" t="s">
        <v>1465</v>
      </c>
      <c r="F469" s="2" t="s">
        <v>1466</v>
      </c>
      <c r="G469" s="2">
        <v>0</v>
      </c>
      <c r="H469" s="2">
        <v>0</v>
      </c>
      <c r="I469" s="1">
        <v>0</v>
      </c>
      <c r="J469" s="3" t="s">
        <v>19</v>
      </c>
      <c r="K469" s="2" t="str">
        <f>J469*6716.00</f>
        <v>0</v>
      </c>
      <c r="L469" s="5"/>
    </row>
    <row r="470" spans="1:12" outlineLevel="5">
      <c r="A470" s="1"/>
      <c r="B470" s="1">
        <v>958404</v>
      </c>
      <c r="C470" s="1" t="s">
        <v>1467</v>
      </c>
      <c r="D470" s="1">
        <v>31278</v>
      </c>
      <c r="E470" s="2" t="s">
        <v>1468</v>
      </c>
      <c r="F470" s="2" t="s">
        <v>1469</v>
      </c>
      <c r="G470" s="2">
        <v>0</v>
      </c>
      <c r="H470" s="2">
        <v>0</v>
      </c>
      <c r="I470" s="1">
        <v>0</v>
      </c>
      <c r="J470" s="3" t="s">
        <v>19</v>
      </c>
      <c r="K470" s="2" t="str">
        <f>J470*8642.00</f>
        <v>0</v>
      </c>
      <c r="L470" s="5"/>
    </row>
    <row r="471" spans="1:12" outlineLevel="3">
      <c r="A471" s="9" t="s">
        <v>1470</v>
      </c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5"/>
    </row>
    <row r="472" spans="1:12" outlineLevel="5">
      <c r="A472" s="1"/>
      <c r="B472" s="1">
        <v>958405</v>
      </c>
      <c r="C472" s="1" t="s">
        <v>1471</v>
      </c>
      <c r="D472" s="1">
        <v>52814</v>
      </c>
      <c r="E472" s="2" t="s">
        <v>1472</v>
      </c>
      <c r="F472" s="2" t="s">
        <v>1473</v>
      </c>
      <c r="G472" s="2">
        <v>0</v>
      </c>
      <c r="H472" s="2">
        <v>0</v>
      </c>
      <c r="I472" s="1">
        <v>0</v>
      </c>
      <c r="J472" s="3" t="s">
        <v>19</v>
      </c>
      <c r="K472" s="2" t="str">
        <f>J472*35693.00</f>
        <v>0</v>
      </c>
      <c r="L472" s="5"/>
    </row>
    <row r="473" spans="1:12" outlineLevel="5">
      <c r="A473" s="1"/>
      <c r="B473" s="1">
        <v>958406</v>
      </c>
      <c r="C473" s="1" t="s">
        <v>1474</v>
      </c>
      <c r="D473" s="1">
        <v>34539</v>
      </c>
      <c r="E473" s="2" t="s">
        <v>1475</v>
      </c>
      <c r="F473" s="2" t="s">
        <v>1476</v>
      </c>
      <c r="G473" s="2">
        <v>0</v>
      </c>
      <c r="H473" s="2">
        <v>0</v>
      </c>
      <c r="I473" s="1">
        <v>0</v>
      </c>
      <c r="J473" s="3" t="s">
        <v>19</v>
      </c>
      <c r="K473" s="2" t="str">
        <f>J473*18886.00</f>
        <v>0</v>
      </c>
      <c r="L473" s="5"/>
    </row>
    <row r="474" spans="1:12" outlineLevel="5">
      <c r="A474" s="1"/>
      <c r="B474" s="1">
        <v>958407</v>
      </c>
      <c r="C474" s="1" t="s">
        <v>1477</v>
      </c>
      <c r="D474" s="1">
        <v>14750</v>
      </c>
      <c r="E474" s="2" t="s">
        <v>1478</v>
      </c>
      <c r="F474" s="2" t="s">
        <v>1479</v>
      </c>
      <c r="G474" s="2">
        <v>0</v>
      </c>
      <c r="H474" s="2">
        <v>0</v>
      </c>
      <c r="I474" s="1">
        <v>0</v>
      </c>
      <c r="J474" s="3" t="s">
        <v>19</v>
      </c>
      <c r="K474" s="2" t="str">
        <f>J474*24405.00</f>
        <v>0</v>
      </c>
      <c r="L474" s="5"/>
    </row>
    <row r="475" spans="1:12" outlineLevel="5">
      <c r="A475" s="1"/>
      <c r="B475" s="1">
        <v>958408</v>
      </c>
      <c r="C475" s="1" t="s">
        <v>1480</v>
      </c>
      <c r="D475" s="1">
        <v>23232</v>
      </c>
      <c r="E475" s="2" t="s">
        <v>1481</v>
      </c>
      <c r="F475" s="2" t="s">
        <v>1482</v>
      </c>
      <c r="G475" s="2">
        <v>0</v>
      </c>
      <c r="H475" s="2">
        <v>0</v>
      </c>
      <c r="I475" s="1">
        <v>0</v>
      </c>
      <c r="J475" s="3" t="s">
        <v>19</v>
      </c>
      <c r="K475" s="2" t="str">
        <f>J475*21940.00</f>
        <v>0</v>
      </c>
      <c r="L475" s="5"/>
    </row>
    <row r="476" spans="1:12" outlineLevel="5">
      <c r="A476" s="1"/>
      <c r="B476" s="1">
        <v>958409</v>
      </c>
      <c r="C476" s="1" t="s">
        <v>1483</v>
      </c>
      <c r="D476" s="1">
        <v>26638</v>
      </c>
      <c r="E476" s="2" t="s">
        <v>1484</v>
      </c>
      <c r="F476" s="2" t="s">
        <v>1485</v>
      </c>
      <c r="G476" s="2">
        <v>0</v>
      </c>
      <c r="H476" s="2">
        <v>0</v>
      </c>
      <c r="I476" s="1">
        <v>0</v>
      </c>
      <c r="J476" s="3" t="s">
        <v>19</v>
      </c>
      <c r="K476" s="2" t="str">
        <f>J476*27734.00</f>
        <v>0</v>
      </c>
      <c r="L476" s="5"/>
    </row>
    <row r="477" spans="1:12" outlineLevel="5">
      <c r="A477" s="1"/>
      <c r="B477" s="1">
        <v>958410</v>
      </c>
      <c r="C477" s="1" t="s">
        <v>1486</v>
      </c>
      <c r="D477" s="1">
        <v>67503</v>
      </c>
      <c r="E477" s="2" t="s">
        <v>1487</v>
      </c>
      <c r="F477" s="2" t="s">
        <v>1488</v>
      </c>
      <c r="G477" s="2">
        <v>0</v>
      </c>
      <c r="H477" s="2">
        <v>0</v>
      </c>
      <c r="I477" s="1">
        <v>0</v>
      </c>
      <c r="J477" s="3" t="s">
        <v>19</v>
      </c>
      <c r="K477" s="2" t="str">
        <f>J477*24161.00</f>
        <v>0</v>
      </c>
      <c r="L477" s="5"/>
    </row>
    <row r="478" spans="1:12" outlineLevel="5">
      <c r="A478" s="1"/>
      <c r="B478" s="1">
        <v>958411</v>
      </c>
      <c r="C478" s="1" t="s">
        <v>1489</v>
      </c>
      <c r="D478" s="1">
        <v>57119</v>
      </c>
      <c r="E478" s="2" t="s">
        <v>1490</v>
      </c>
      <c r="F478" s="2" t="s">
        <v>1491</v>
      </c>
      <c r="G478" s="2">
        <v>0</v>
      </c>
      <c r="H478" s="2">
        <v>0</v>
      </c>
      <c r="I478" s="1">
        <v>0</v>
      </c>
      <c r="J478" s="3" t="s">
        <v>19</v>
      </c>
      <c r="K478" s="2" t="str">
        <f>J478*28866.00</f>
        <v>0</v>
      </c>
      <c r="L478" s="5"/>
    </row>
    <row r="479" spans="1:12" outlineLevel="5">
      <c r="A479" s="1"/>
      <c r="B479" s="1">
        <v>958412</v>
      </c>
      <c r="C479" s="1" t="s">
        <v>1492</v>
      </c>
      <c r="D479" s="1">
        <v>39568</v>
      </c>
      <c r="E479" s="2" t="s">
        <v>1493</v>
      </c>
      <c r="F479" s="2" t="s">
        <v>1494</v>
      </c>
      <c r="G479" s="2">
        <v>0</v>
      </c>
      <c r="H479" s="2">
        <v>0</v>
      </c>
      <c r="I479" s="1">
        <v>0</v>
      </c>
      <c r="J479" s="3" t="s">
        <v>19</v>
      </c>
      <c r="K479" s="2" t="str">
        <f>J479*29249.00</f>
        <v>0</v>
      </c>
      <c r="L479" s="5"/>
    </row>
    <row r="480" spans="1:12" outlineLevel="5">
      <c r="A480" s="1"/>
      <c r="B480" s="1">
        <v>958413</v>
      </c>
      <c r="C480" s="1" t="s">
        <v>1495</v>
      </c>
      <c r="D480" s="1">
        <v>96898</v>
      </c>
      <c r="E480" s="2" t="s">
        <v>1496</v>
      </c>
      <c r="F480" s="2" t="s">
        <v>1497</v>
      </c>
      <c r="G480" s="2">
        <v>0</v>
      </c>
      <c r="H480" s="2">
        <v>0</v>
      </c>
      <c r="I480" s="1">
        <v>0</v>
      </c>
      <c r="J480" s="3" t="s">
        <v>19</v>
      </c>
      <c r="K480" s="2" t="str">
        <f>J480*31895.00</f>
        <v>0</v>
      </c>
      <c r="L480" s="5"/>
    </row>
    <row r="481" spans="1:12" outlineLevel="5">
      <c r="A481" s="1"/>
      <c r="B481" s="1">
        <v>958414</v>
      </c>
      <c r="C481" s="1" t="s">
        <v>1498</v>
      </c>
      <c r="D481" s="1">
        <v>27260</v>
      </c>
      <c r="E481" s="2" t="s">
        <v>1499</v>
      </c>
      <c r="F481" s="2" t="s">
        <v>1500</v>
      </c>
      <c r="G481" s="2">
        <v>0</v>
      </c>
      <c r="H481" s="2">
        <v>0</v>
      </c>
      <c r="I481" s="1">
        <v>0</v>
      </c>
      <c r="J481" s="3" t="s">
        <v>19</v>
      </c>
      <c r="K481" s="2" t="str">
        <f>J481*22704.00</f>
        <v>0</v>
      </c>
      <c r="L481" s="5"/>
    </row>
    <row r="482" spans="1:12" outlineLevel="5">
      <c r="A482" s="1"/>
      <c r="B482" s="1">
        <v>958415</v>
      </c>
      <c r="C482" s="1" t="s">
        <v>1501</v>
      </c>
      <c r="D482" s="1">
        <v>92877</v>
      </c>
      <c r="E482" s="2" t="s">
        <v>1502</v>
      </c>
      <c r="F482" s="2" t="s">
        <v>1503</v>
      </c>
      <c r="G482" s="2">
        <v>0</v>
      </c>
      <c r="H482" s="2">
        <v>0</v>
      </c>
      <c r="I482" s="1">
        <v>0</v>
      </c>
      <c r="J482" s="3" t="s">
        <v>19</v>
      </c>
      <c r="K482" s="2" t="str">
        <f>J482*14913.00</f>
        <v>0</v>
      </c>
      <c r="L482" s="5"/>
    </row>
    <row r="483" spans="1:12" outlineLevel="5">
      <c r="A483" s="1"/>
      <c r="B483" s="1">
        <v>958416</v>
      </c>
      <c r="C483" s="1" t="s">
        <v>1504</v>
      </c>
      <c r="D483" s="1">
        <v>72120</v>
      </c>
      <c r="E483" s="2" t="s">
        <v>1505</v>
      </c>
      <c r="F483" s="2" t="s">
        <v>1506</v>
      </c>
      <c r="G483" s="2">
        <v>0</v>
      </c>
      <c r="H483" s="2">
        <v>0</v>
      </c>
      <c r="I483" s="1">
        <v>0</v>
      </c>
      <c r="J483" s="3" t="s">
        <v>19</v>
      </c>
      <c r="K483" s="2" t="str">
        <f>J483*14284.00</f>
        <v>0</v>
      </c>
      <c r="L483" s="5"/>
    </row>
    <row r="484" spans="1:12" outlineLevel="5">
      <c r="A484" s="1"/>
      <c r="B484" s="1">
        <v>958417</v>
      </c>
      <c r="C484" s="1" t="s">
        <v>1507</v>
      </c>
      <c r="D484" s="1">
        <v>84796</v>
      </c>
      <c r="E484" s="2" t="s">
        <v>1508</v>
      </c>
      <c r="F484" s="2" t="s">
        <v>1509</v>
      </c>
      <c r="G484" s="2">
        <v>0</v>
      </c>
      <c r="H484" s="2">
        <v>0</v>
      </c>
      <c r="I484" s="1">
        <v>0</v>
      </c>
      <c r="J484" s="3" t="s">
        <v>19</v>
      </c>
      <c r="K484" s="2" t="str">
        <f>J484*16076.00</f>
        <v>0</v>
      </c>
      <c r="L484" s="5"/>
    </row>
    <row r="485" spans="1:12" outlineLevel="5">
      <c r="A485" s="1"/>
      <c r="B485" s="1">
        <v>958418</v>
      </c>
      <c r="C485" s="1" t="s">
        <v>1510</v>
      </c>
      <c r="D485" s="1">
        <v>74715</v>
      </c>
      <c r="E485" s="2" t="s">
        <v>1511</v>
      </c>
      <c r="F485" s="2" t="s">
        <v>1512</v>
      </c>
      <c r="G485" s="2">
        <v>0</v>
      </c>
      <c r="H485" s="2">
        <v>0</v>
      </c>
      <c r="I485" s="1">
        <v>0</v>
      </c>
      <c r="J485" s="3" t="s">
        <v>19</v>
      </c>
      <c r="K485" s="2" t="str">
        <f>J485*15445.00</f>
        <v>0</v>
      </c>
      <c r="L485" s="5"/>
    </row>
    <row r="486" spans="1:12" outlineLevel="5">
      <c r="A486" s="1"/>
      <c r="B486" s="1">
        <v>958419</v>
      </c>
      <c r="C486" s="1" t="s">
        <v>1513</v>
      </c>
      <c r="D486" s="1">
        <v>25123</v>
      </c>
      <c r="E486" s="2" t="s">
        <v>1514</v>
      </c>
      <c r="F486" s="2" t="s">
        <v>1515</v>
      </c>
      <c r="G486" s="2">
        <v>0</v>
      </c>
      <c r="H486" s="2">
        <v>0</v>
      </c>
      <c r="I486" s="1">
        <v>0</v>
      </c>
      <c r="J486" s="3" t="s">
        <v>19</v>
      </c>
      <c r="K486" s="2" t="str">
        <f>J486*17591.00</f>
        <v>0</v>
      </c>
      <c r="L486" s="5"/>
    </row>
    <row r="487" spans="1:12" outlineLevel="5">
      <c r="A487" s="1"/>
      <c r="B487" s="1">
        <v>958420</v>
      </c>
      <c r="C487" s="1" t="s">
        <v>1516</v>
      </c>
      <c r="D487" s="1">
        <v>15979</v>
      </c>
      <c r="E487" s="2" t="s">
        <v>1517</v>
      </c>
      <c r="F487" s="2" t="s">
        <v>1518</v>
      </c>
      <c r="G487" s="2">
        <v>0</v>
      </c>
      <c r="H487" s="2">
        <v>0</v>
      </c>
      <c r="I487" s="1">
        <v>0</v>
      </c>
      <c r="J487" s="3" t="s">
        <v>19</v>
      </c>
      <c r="K487" s="2" t="str">
        <f>J487*11951.00</f>
        <v>0</v>
      </c>
      <c r="L487" s="5"/>
    </row>
    <row r="488" spans="1:12" outlineLevel="5">
      <c r="A488" s="1"/>
      <c r="B488" s="1">
        <v>958421</v>
      </c>
      <c r="C488" s="1" t="s">
        <v>1519</v>
      </c>
      <c r="D488" s="1">
        <v>26233</v>
      </c>
      <c r="E488" s="2" t="s">
        <v>1520</v>
      </c>
      <c r="F488" s="2" t="s">
        <v>1521</v>
      </c>
      <c r="G488" s="2">
        <v>0</v>
      </c>
      <c r="H488" s="2">
        <v>0</v>
      </c>
      <c r="I488" s="1">
        <v>0</v>
      </c>
      <c r="J488" s="3" t="s">
        <v>19</v>
      </c>
      <c r="K488" s="2" t="str">
        <f>J488*13190.00</f>
        <v>0</v>
      </c>
      <c r="L488" s="5"/>
    </row>
    <row r="489" spans="1:12" outlineLevel="5">
      <c r="A489" s="1"/>
      <c r="B489" s="1">
        <v>958422</v>
      </c>
      <c r="C489" s="1" t="s">
        <v>1522</v>
      </c>
      <c r="D489" s="1">
        <v>49681</v>
      </c>
      <c r="E489" s="2" t="s">
        <v>1523</v>
      </c>
      <c r="F489" s="2" t="s">
        <v>1524</v>
      </c>
      <c r="G489" s="2">
        <v>0</v>
      </c>
      <c r="H489" s="2">
        <v>0</v>
      </c>
      <c r="I489" s="1">
        <v>0</v>
      </c>
      <c r="J489" s="3" t="s">
        <v>19</v>
      </c>
      <c r="K489" s="2" t="str">
        <f>J489*15293.00</f>
        <v>0</v>
      </c>
      <c r="L489" s="5"/>
    </row>
    <row r="490" spans="1:12" outlineLevel="5">
      <c r="A490" s="1"/>
      <c r="B490" s="1">
        <v>958423</v>
      </c>
      <c r="C490" s="1" t="s">
        <v>1525</v>
      </c>
      <c r="D490" s="1">
        <v>95733</v>
      </c>
      <c r="E490" s="2" t="s">
        <v>1526</v>
      </c>
      <c r="F490" s="2" t="s">
        <v>1527</v>
      </c>
      <c r="G490" s="2">
        <v>0</v>
      </c>
      <c r="H490" s="2">
        <v>0</v>
      </c>
      <c r="I490" s="1">
        <v>0</v>
      </c>
      <c r="J490" s="3" t="s">
        <v>19</v>
      </c>
      <c r="K490" s="2" t="str">
        <f>J490*14907.00</f>
        <v>0</v>
      </c>
      <c r="L490" s="5"/>
    </row>
    <row r="491" spans="1:12" outlineLevel="5">
      <c r="A491" s="1"/>
      <c r="B491" s="1">
        <v>958424</v>
      </c>
      <c r="C491" s="1" t="s">
        <v>1528</v>
      </c>
      <c r="D491" s="1">
        <v>69252</v>
      </c>
      <c r="E491" s="2" t="s">
        <v>1529</v>
      </c>
      <c r="F491" s="2" t="s">
        <v>1530</v>
      </c>
      <c r="G491" s="2">
        <v>0</v>
      </c>
      <c r="H491" s="2">
        <v>0</v>
      </c>
      <c r="I491" s="1">
        <v>0</v>
      </c>
      <c r="J491" s="3" t="s">
        <v>19</v>
      </c>
      <c r="K491" s="2" t="str">
        <f>J491*15279.00</f>
        <v>0</v>
      </c>
      <c r="L491" s="5"/>
    </row>
    <row r="492" spans="1:12" outlineLevel="5">
      <c r="A492" s="1"/>
      <c r="B492" s="1">
        <v>958425</v>
      </c>
      <c r="C492" s="1" t="s">
        <v>1531</v>
      </c>
      <c r="D492" s="1">
        <v>20924</v>
      </c>
      <c r="E492" s="2" t="s">
        <v>1532</v>
      </c>
      <c r="F492" s="2" t="s">
        <v>1533</v>
      </c>
      <c r="G492" s="2">
        <v>0</v>
      </c>
      <c r="H492" s="2">
        <v>0</v>
      </c>
      <c r="I492" s="1">
        <v>0</v>
      </c>
      <c r="J492" s="3" t="s">
        <v>19</v>
      </c>
      <c r="K492" s="2" t="str">
        <f>J492*14889.00</f>
        <v>0</v>
      </c>
      <c r="L492" s="5"/>
    </row>
    <row r="493" spans="1:12" outlineLevel="5">
      <c r="A493" s="1"/>
      <c r="B493" s="1">
        <v>958426</v>
      </c>
      <c r="C493" s="1" t="s">
        <v>1534</v>
      </c>
      <c r="D493" s="1">
        <v>24429</v>
      </c>
      <c r="E493" s="2" t="s">
        <v>1535</v>
      </c>
      <c r="F493" s="2" t="s">
        <v>1536</v>
      </c>
      <c r="G493" s="2">
        <v>0</v>
      </c>
      <c r="H493" s="2">
        <v>0</v>
      </c>
      <c r="I493" s="1">
        <v>0</v>
      </c>
      <c r="J493" s="3" t="s">
        <v>19</v>
      </c>
      <c r="K493" s="2" t="str">
        <f>J493*15171.00</f>
        <v>0</v>
      </c>
      <c r="L493" s="5"/>
    </row>
    <row r="494" spans="1:12" outlineLevel="5">
      <c r="A494" s="1"/>
      <c r="B494" s="1">
        <v>958427</v>
      </c>
      <c r="C494" s="1" t="s">
        <v>1537</v>
      </c>
      <c r="D494" s="1">
        <v>72689</v>
      </c>
      <c r="E494" s="2" t="s">
        <v>1538</v>
      </c>
      <c r="F494" s="2" t="s">
        <v>1147</v>
      </c>
      <c r="G494" s="2">
        <v>0</v>
      </c>
      <c r="H494" s="2">
        <v>0</v>
      </c>
      <c r="I494" s="1">
        <v>0</v>
      </c>
      <c r="J494" s="3" t="s">
        <v>19</v>
      </c>
      <c r="K494" s="2" t="str">
        <f>J494*18361.00</f>
        <v>0</v>
      </c>
      <c r="L494" s="5"/>
    </row>
    <row r="495" spans="1:12" outlineLevel="5">
      <c r="A495" s="1"/>
      <c r="B495" s="1">
        <v>958428</v>
      </c>
      <c r="C495" s="1" t="s">
        <v>1539</v>
      </c>
      <c r="D495" s="1">
        <v>37928</v>
      </c>
      <c r="E495" s="2" t="s">
        <v>1540</v>
      </c>
      <c r="F495" s="2" t="s">
        <v>1541</v>
      </c>
      <c r="G495" s="2">
        <v>0</v>
      </c>
      <c r="H495" s="2">
        <v>0</v>
      </c>
      <c r="I495" s="1">
        <v>0</v>
      </c>
      <c r="J495" s="3" t="s">
        <v>19</v>
      </c>
      <c r="K495" s="2" t="str">
        <f>J495*10240.00</f>
        <v>0</v>
      </c>
      <c r="L495" s="5"/>
    </row>
    <row r="496" spans="1:12" outlineLevel="5">
      <c r="A496" s="1"/>
      <c r="B496" s="1">
        <v>958429</v>
      </c>
      <c r="C496" s="1" t="s">
        <v>1542</v>
      </c>
      <c r="D496" s="1">
        <v>28677</v>
      </c>
      <c r="E496" s="2" t="s">
        <v>1543</v>
      </c>
      <c r="F496" s="2" t="s">
        <v>1544</v>
      </c>
      <c r="G496" s="2">
        <v>0</v>
      </c>
      <c r="H496" s="2">
        <v>0</v>
      </c>
      <c r="I496" s="1">
        <v>0</v>
      </c>
      <c r="J496" s="3" t="s">
        <v>19</v>
      </c>
      <c r="K496" s="2" t="str">
        <f>J496*12165.00</f>
        <v>0</v>
      </c>
      <c r="L496" s="5"/>
    </row>
    <row r="497" spans="1:12" outlineLevel="5">
      <c r="A497" s="1"/>
      <c r="B497" s="1">
        <v>958430</v>
      </c>
      <c r="C497" s="1" t="s">
        <v>1545</v>
      </c>
      <c r="D497" s="1">
        <v>76108</v>
      </c>
      <c r="E497" s="2" t="s">
        <v>1546</v>
      </c>
      <c r="F497" s="2" t="s">
        <v>1547</v>
      </c>
      <c r="G497" s="2">
        <v>0</v>
      </c>
      <c r="H497" s="2">
        <v>0</v>
      </c>
      <c r="I497" s="1">
        <v>0</v>
      </c>
      <c r="J497" s="3" t="s">
        <v>19</v>
      </c>
      <c r="K497" s="2" t="str">
        <f>J497*12648.00</f>
        <v>0</v>
      </c>
      <c r="L497" s="5"/>
    </row>
    <row r="498" spans="1:12" outlineLevel="3">
      <c r="A498" s="9" t="s">
        <v>1548</v>
      </c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5"/>
    </row>
    <row r="499" spans="1:12" outlineLevel="5">
      <c r="A499" s="1"/>
      <c r="B499" s="1">
        <v>958431</v>
      </c>
      <c r="C499" s="1" t="s">
        <v>1549</v>
      </c>
      <c r="D499" s="1">
        <v>27487</v>
      </c>
      <c r="E499" s="2" t="s">
        <v>1550</v>
      </c>
      <c r="F499" s="2" t="s">
        <v>1551</v>
      </c>
      <c r="G499" s="2">
        <v>0</v>
      </c>
      <c r="H499" s="2">
        <v>0</v>
      </c>
      <c r="I499" s="1">
        <v>0</v>
      </c>
      <c r="J499" s="3" t="s">
        <v>19</v>
      </c>
      <c r="K499" s="2" t="str">
        <f>J499*18944.00</f>
        <v>0</v>
      </c>
      <c r="L499" s="5"/>
    </row>
    <row r="500" spans="1:12" outlineLevel="5">
      <c r="A500" s="1"/>
      <c r="B500" s="1">
        <v>958432</v>
      </c>
      <c r="C500" s="1" t="s">
        <v>1552</v>
      </c>
      <c r="D500" s="1">
        <v>29123</v>
      </c>
      <c r="E500" s="2" t="s">
        <v>1553</v>
      </c>
      <c r="F500" s="2" t="s">
        <v>1554</v>
      </c>
      <c r="G500" s="2">
        <v>0</v>
      </c>
      <c r="H500" s="2">
        <v>0</v>
      </c>
      <c r="I500" s="1">
        <v>0</v>
      </c>
      <c r="J500" s="3" t="s">
        <v>19</v>
      </c>
      <c r="K500" s="2" t="str">
        <f>J500*20458.00</f>
        <v>0</v>
      </c>
      <c r="L500" s="5"/>
    </row>
    <row r="501" spans="1:12" outlineLevel="5">
      <c r="A501" s="1"/>
      <c r="B501" s="1">
        <v>958433</v>
      </c>
      <c r="C501" s="1" t="s">
        <v>1555</v>
      </c>
      <c r="D501" s="1">
        <v>77863</v>
      </c>
      <c r="E501" s="2" t="s">
        <v>1556</v>
      </c>
      <c r="F501" s="2" t="s">
        <v>1557</v>
      </c>
      <c r="G501" s="2">
        <v>0</v>
      </c>
      <c r="H501" s="2">
        <v>0</v>
      </c>
      <c r="I501" s="1">
        <v>0</v>
      </c>
      <c r="J501" s="3" t="s">
        <v>19</v>
      </c>
      <c r="K501" s="2" t="str">
        <f>J501*18147.00</f>
        <v>0</v>
      </c>
      <c r="L501" s="5"/>
    </row>
    <row r="502" spans="1:12" outlineLevel="5">
      <c r="A502" s="1"/>
      <c r="B502" s="1">
        <v>958434</v>
      </c>
      <c r="C502" s="1" t="s">
        <v>1558</v>
      </c>
      <c r="D502" s="1">
        <v>69303</v>
      </c>
      <c r="E502" s="2" t="s">
        <v>1559</v>
      </c>
      <c r="F502" s="2" t="s">
        <v>1560</v>
      </c>
      <c r="G502" s="2">
        <v>0</v>
      </c>
      <c r="H502" s="2">
        <v>0</v>
      </c>
      <c r="I502" s="1">
        <v>0</v>
      </c>
      <c r="J502" s="3" t="s">
        <v>19</v>
      </c>
      <c r="K502" s="2" t="str">
        <f>J502*17756.00</f>
        <v>0</v>
      </c>
      <c r="L502" s="5"/>
    </row>
    <row r="503" spans="1:12" outlineLevel="3">
      <c r="A503" s="9" t="s">
        <v>1561</v>
      </c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5"/>
    </row>
    <row r="504" spans="1:12" outlineLevel="5">
      <c r="A504" s="1"/>
      <c r="B504" s="1">
        <v>958435</v>
      </c>
      <c r="C504" s="1" t="s">
        <v>1562</v>
      </c>
      <c r="D504" s="1">
        <v>97056</v>
      </c>
      <c r="E504" s="2" t="s">
        <v>1563</v>
      </c>
      <c r="F504" s="2" t="s">
        <v>1564</v>
      </c>
      <c r="G504" s="2">
        <v>0</v>
      </c>
      <c r="H504" s="2">
        <v>0</v>
      </c>
      <c r="I504" s="1">
        <v>0</v>
      </c>
      <c r="J504" s="3" t="s">
        <v>19</v>
      </c>
      <c r="K504" s="2" t="str">
        <f>J504*26072.00</f>
        <v>0</v>
      </c>
      <c r="L504" s="5"/>
    </row>
    <row r="505" spans="1:12" outlineLevel="5">
      <c r="A505" s="1"/>
      <c r="B505" s="1">
        <v>958436</v>
      </c>
      <c r="C505" s="1" t="s">
        <v>1565</v>
      </c>
      <c r="D505" s="1">
        <v>40723</v>
      </c>
      <c r="E505" s="2" t="s">
        <v>1566</v>
      </c>
      <c r="F505" s="2" t="s">
        <v>1567</v>
      </c>
      <c r="G505" s="2">
        <v>0</v>
      </c>
      <c r="H505" s="2">
        <v>0</v>
      </c>
      <c r="I505" s="1">
        <v>0</v>
      </c>
      <c r="J505" s="3" t="s">
        <v>19</v>
      </c>
      <c r="K505" s="2" t="str">
        <f>J505*18803.00</f>
        <v>0</v>
      </c>
      <c r="L505" s="5"/>
    </row>
    <row r="506" spans="1:12" outlineLevel="5">
      <c r="A506" s="1"/>
      <c r="B506" s="1">
        <v>958437</v>
      </c>
      <c r="C506" s="1" t="s">
        <v>1568</v>
      </c>
      <c r="D506" s="1">
        <v>97465</v>
      </c>
      <c r="E506" s="2" t="s">
        <v>1569</v>
      </c>
      <c r="F506" s="2" t="s">
        <v>1570</v>
      </c>
      <c r="G506" s="2">
        <v>0</v>
      </c>
      <c r="H506" s="2">
        <v>0</v>
      </c>
      <c r="I506" s="1">
        <v>0</v>
      </c>
      <c r="J506" s="3" t="s">
        <v>19</v>
      </c>
      <c r="K506" s="2" t="str">
        <f>J506*18174.00</f>
        <v>0</v>
      </c>
      <c r="L506" s="5"/>
    </row>
    <row r="507" spans="1:12" outlineLevel="5">
      <c r="A507" s="1"/>
      <c r="B507" s="1">
        <v>958438</v>
      </c>
      <c r="C507" s="1" t="s">
        <v>1571</v>
      </c>
      <c r="D507" s="1">
        <v>58265</v>
      </c>
      <c r="E507" s="2" t="s">
        <v>1572</v>
      </c>
      <c r="F507" s="2" t="s">
        <v>1573</v>
      </c>
      <c r="G507" s="2">
        <v>0</v>
      </c>
      <c r="H507" s="2">
        <v>0</v>
      </c>
      <c r="I507" s="1">
        <v>0</v>
      </c>
      <c r="J507" s="3" t="s">
        <v>19</v>
      </c>
      <c r="K507" s="2" t="str">
        <f>J507*19966.00</f>
        <v>0</v>
      </c>
      <c r="L507" s="5"/>
    </row>
    <row r="508" spans="1:12" outlineLevel="5">
      <c r="A508" s="1"/>
      <c r="B508" s="1">
        <v>958439</v>
      </c>
      <c r="C508" s="1" t="s">
        <v>1574</v>
      </c>
      <c r="D508" s="1">
        <v>76930</v>
      </c>
      <c r="E508" s="2" t="s">
        <v>1575</v>
      </c>
      <c r="F508" s="2" t="s">
        <v>1576</v>
      </c>
      <c r="G508" s="2">
        <v>0</v>
      </c>
      <c r="H508" s="2">
        <v>0</v>
      </c>
      <c r="I508" s="1">
        <v>0</v>
      </c>
      <c r="J508" s="3" t="s">
        <v>19</v>
      </c>
      <c r="K508" s="2" t="str">
        <f>J508*21480.00</f>
        <v>0</v>
      </c>
      <c r="L508" s="5"/>
    </row>
    <row r="509" spans="1:12" outlineLevel="5">
      <c r="A509" s="1"/>
      <c r="B509" s="1">
        <v>958440</v>
      </c>
      <c r="C509" s="1" t="s">
        <v>1577</v>
      </c>
      <c r="D509" s="1">
        <v>96631</v>
      </c>
      <c r="E509" s="2" t="s">
        <v>1578</v>
      </c>
      <c r="F509" s="2" t="s">
        <v>1579</v>
      </c>
      <c r="G509" s="2">
        <v>0</v>
      </c>
      <c r="H509" s="2">
        <v>0</v>
      </c>
      <c r="I509" s="1">
        <v>0</v>
      </c>
      <c r="J509" s="3" t="s">
        <v>19</v>
      </c>
      <c r="K509" s="2" t="str">
        <f>J509*17918.00</f>
        <v>0</v>
      </c>
      <c r="L509" s="5"/>
    </row>
    <row r="510" spans="1:12" outlineLevel="5">
      <c r="A510" s="1"/>
      <c r="B510" s="1">
        <v>958441</v>
      </c>
      <c r="C510" s="1" t="s">
        <v>1580</v>
      </c>
      <c r="D510" s="1">
        <v>53361</v>
      </c>
      <c r="E510" s="2" t="s">
        <v>1581</v>
      </c>
      <c r="F510" s="2" t="s">
        <v>1582</v>
      </c>
      <c r="G510" s="2">
        <v>0</v>
      </c>
      <c r="H510" s="2">
        <v>0</v>
      </c>
      <c r="I510" s="1">
        <v>0</v>
      </c>
      <c r="J510" s="3" t="s">
        <v>19</v>
      </c>
      <c r="K510" s="2" t="str">
        <f>J510*19183.00</f>
        <v>0</v>
      </c>
      <c r="L510" s="5"/>
    </row>
    <row r="511" spans="1:12" outlineLevel="5">
      <c r="A511" s="1"/>
      <c r="B511" s="1">
        <v>958442</v>
      </c>
      <c r="C511" s="1" t="s">
        <v>1583</v>
      </c>
      <c r="D511" s="1">
        <v>44204</v>
      </c>
      <c r="E511" s="2" t="s">
        <v>1584</v>
      </c>
      <c r="F511" s="2" t="s">
        <v>1585</v>
      </c>
      <c r="G511" s="2">
        <v>0</v>
      </c>
      <c r="H511" s="2">
        <v>0</v>
      </c>
      <c r="I511" s="1">
        <v>0</v>
      </c>
      <c r="J511" s="3" t="s">
        <v>19</v>
      </c>
      <c r="K511" s="2" t="str">
        <f>J511*19705.00</f>
        <v>0</v>
      </c>
      <c r="L511" s="5"/>
    </row>
    <row r="512" spans="1:12" outlineLevel="5">
      <c r="A512" s="1"/>
      <c r="B512" s="1">
        <v>958443</v>
      </c>
      <c r="C512" s="1" t="s">
        <v>1586</v>
      </c>
      <c r="D512" s="1">
        <v>92102</v>
      </c>
      <c r="E512" s="2" t="s">
        <v>1587</v>
      </c>
      <c r="F512" s="2" t="s">
        <v>1588</v>
      </c>
      <c r="G512" s="2">
        <v>0</v>
      </c>
      <c r="H512" s="2">
        <v>0</v>
      </c>
      <c r="I512" s="1">
        <v>0</v>
      </c>
      <c r="J512" s="3" t="s">
        <v>19</v>
      </c>
      <c r="K512" s="2" t="str">
        <f>J512*19816.00</f>
        <v>0</v>
      </c>
      <c r="L512" s="5"/>
    </row>
    <row r="513" spans="1:12" outlineLevel="5">
      <c r="A513" s="1"/>
      <c r="B513" s="1">
        <v>958444</v>
      </c>
      <c r="C513" s="1" t="s">
        <v>1589</v>
      </c>
      <c r="D513" s="1">
        <v>26384</v>
      </c>
      <c r="E513" s="2" t="s">
        <v>1590</v>
      </c>
      <c r="F513" s="2" t="s">
        <v>1591</v>
      </c>
      <c r="G513" s="2">
        <v>-1</v>
      </c>
      <c r="H513" s="2">
        <v>0</v>
      </c>
      <c r="I513" s="1">
        <v>0</v>
      </c>
      <c r="J513" s="3" t="s">
        <v>19</v>
      </c>
      <c r="K513" s="2" t="str">
        <f>J513*19511.00</f>
        <v>0</v>
      </c>
      <c r="L513" s="5"/>
    </row>
    <row r="514" spans="1:12" outlineLevel="5">
      <c r="A514" s="1"/>
      <c r="B514" s="1">
        <v>958445</v>
      </c>
      <c r="C514" s="1" t="s">
        <v>1592</v>
      </c>
      <c r="D514" s="1">
        <v>92831</v>
      </c>
      <c r="E514" s="2" t="s">
        <v>1593</v>
      </c>
      <c r="F514" s="2" t="s">
        <v>1594</v>
      </c>
      <c r="G514" s="2">
        <v>0</v>
      </c>
      <c r="H514" s="2">
        <v>0</v>
      </c>
      <c r="I514" s="1">
        <v>0</v>
      </c>
      <c r="J514" s="3" t="s">
        <v>19</v>
      </c>
      <c r="K514" s="2" t="str">
        <f>J514*19110.00</f>
        <v>0</v>
      </c>
      <c r="L514" s="5"/>
    </row>
    <row r="515" spans="1:12" outlineLevel="5">
      <c r="A515" s="1"/>
      <c r="B515" s="1">
        <v>958446</v>
      </c>
      <c r="C515" s="1" t="s">
        <v>1595</v>
      </c>
      <c r="D515" s="1">
        <v>15443</v>
      </c>
      <c r="E515" s="2" t="s">
        <v>1596</v>
      </c>
      <c r="F515" s="2" t="s">
        <v>1597</v>
      </c>
      <c r="G515" s="2">
        <v>0</v>
      </c>
      <c r="H515" s="2">
        <v>0</v>
      </c>
      <c r="I515" s="1">
        <v>0</v>
      </c>
      <c r="J515" s="3" t="s">
        <v>19</v>
      </c>
      <c r="K515" s="2" t="str">
        <f>J515*19719.00</f>
        <v>0</v>
      </c>
      <c r="L515" s="5"/>
    </row>
    <row r="516" spans="1:12" outlineLevel="3">
      <c r="A516" s="9" t="s">
        <v>1598</v>
      </c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5"/>
    </row>
    <row r="517" spans="1:12" outlineLevel="5">
      <c r="A517" s="1"/>
      <c r="B517" s="1">
        <v>958447</v>
      </c>
      <c r="C517" s="1" t="s">
        <v>1599</v>
      </c>
      <c r="D517" s="1">
        <v>56683</v>
      </c>
      <c r="E517" s="2" t="s">
        <v>1600</v>
      </c>
      <c r="F517" s="2" t="s">
        <v>1601</v>
      </c>
      <c r="G517" s="2">
        <v>0</v>
      </c>
      <c r="H517" s="2">
        <v>0</v>
      </c>
      <c r="I517" s="1">
        <v>0</v>
      </c>
      <c r="J517" s="3" t="s">
        <v>19</v>
      </c>
      <c r="K517" s="2" t="str">
        <f>J517*23868.00</f>
        <v>0</v>
      </c>
      <c r="L517" s="5"/>
    </row>
    <row r="518" spans="1:12" outlineLevel="5">
      <c r="A518" s="1"/>
      <c r="B518" s="1">
        <v>958448</v>
      </c>
      <c r="C518" s="1" t="s">
        <v>1602</v>
      </c>
      <c r="D518" s="1">
        <v>45847</v>
      </c>
      <c r="E518" s="2" t="s">
        <v>1603</v>
      </c>
      <c r="F518" s="2" t="s">
        <v>1604</v>
      </c>
      <c r="G518" s="2">
        <v>0</v>
      </c>
      <c r="H518" s="2">
        <v>0</v>
      </c>
      <c r="I518" s="1">
        <v>0</v>
      </c>
      <c r="J518" s="3" t="s">
        <v>19</v>
      </c>
      <c r="K518" s="2" t="str">
        <f>J518*21328.00</f>
        <v>0</v>
      </c>
      <c r="L518" s="5"/>
    </row>
    <row r="519" spans="1:12" outlineLevel="3">
      <c r="A519" s="9" t="s">
        <v>1605</v>
      </c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5"/>
    </row>
    <row r="520" spans="1:12" outlineLevel="5">
      <c r="A520" s="1"/>
      <c r="B520" s="1">
        <v>958467</v>
      </c>
      <c r="C520" s="1" t="s">
        <v>1606</v>
      </c>
      <c r="D520" s="1">
        <v>13987</v>
      </c>
      <c r="E520" s="2" t="s">
        <v>1607</v>
      </c>
      <c r="F520" s="2" t="s">
        <v>1608</v>
      </c>
      <c r="G520" s="2">
        <v>0</v>
      </c>
      <c r="H520" s="2">
        <v>0</v>
      </c>
      <c r="I520" s="1">
        <v>0</v>
      </c>
      <c r="J520" s="3" t="s">
        <v>19</v>
      </c>
      <c r="K520" s="2" t="str">
        <f>J520*17266.00</f>
        <v>0</v>
      </c>
      <c r="L520" s="5"/>
    </row>
    <row r="521" spans="1:12" outlineLevel="5">
      <c r="A521" s="1"/>
      <c r="B521" s="1">
        <v>958468</v>
      </c>
      <c r="C521" s="1" t="s">
        <v>1609</v>
      </c>
      <c r="D521" s="1">
        <v>79280</v>
      </c>
      <c r="E521" s="2" t="s">
        <v>1610</v>
      </c>
      <c r="F521" s="2" t="s">
        <v>1611</v>
      </c>
      <c r="G521" s="2">
        <v>0</v>
      </c>
      <c r="H521" s="2">
        <v>0</v>
      </c>
      <c r="I521" s="1">
        <v>0</v>
      </c>
      <c r="J521" s="3" t="s">
        <v>19</v>
      </c>
      <c r="K521" s="2" t="str">
        <f>J521*16637.00</f>
        <v>0</v>
      </c>
      <c r="L521" s="5"/>
    </row>
    <row r="522" spans="1:12" outlineLevel="5">
      <c r="A522" s="1"/>
      <c r="B522" s="1">
        <v>958469</v>
      </c>
      <c r="C522" s="1" t="s">
        <v>1612</v>
      </c>
      <c r="D522" s="1">
        <v>24363</v>
      </c>
      <c r="E522" s="2" t="s">
        <v>1613</v>
      </c>
      <c r="F522" s="2" t="s">
        <v>1614</v>
      </c>
      <c r="G522" s="2">
        <v>0</v>
      </c>
      <c r="H522" s="2">
        <v>0</v>
      </c>
      <c r="I522" s="1">
        <v>0</v>
      </c>
      <c r="J522" s="3" t="s">
        <v>19</v>
      </c>
      <c r="K522" s="2" t="str">
        <f>J522*18429.00</f>
        <v>0</v>
      </c>
      <c r="L522" s="5"/>
    </row>
    <row r="523" spans="1:12" outlineLevel="5">
      <c r="A523" s="1"/>
      <c r="B523" s="1">
        <v>958470</v>
      </c>
      <c r="C523" s="1" t="s">
        <v>1615</v>
      </c>
      <c r="D523" s="1">
        <v>87658</v>
      </c>
      <c r="E523" s="2" t="s">
        <v>1616</v>
      </c>
      <c r="F523" s="2" t="s">
        <v>1617</v>
      </c>
      <c r="G523" s="2">
        <v>0</v>
      </c>
      <c r="H523" s="2">
        <v>0</v>
      </c>
      <c r="I523" s="1">
        <v>0</v>
      </c>
      <c r="J523" s="3" t="s">
        <v>19</v>
      </c>
      <c r="K523" s="2" t="str">
        <f>J523*18162.00</f>
        <v>0</v>
      </c>
      <c r="L523" s="5"/>
    </row>
    <row r="524" spans="1:12" outlineLevel="5">
      <c r="A524" s="1"/>
      <c r="B524" s="1">
        <v>958471</v>
      </c>
      <c r="C524" s="1" t="s">
        <v>1618</v>
      </c>
      <c r="D524" s="1">
        <v>96176</v>
      </c>
      <c r="E524" s="2" t="s">
        <v>1619</v>
      </c>
      <c r="F524" s="2" t="s">
        <v>1620</v>
      </c>
      <c r="G524" s="2">
        <v>0</v>
      </c>
      <c r="H524" s="2">
        <v>0</v>
      </c>
      <c r="I524" s="1">
        <v>0</v>
      </c>
      <c r="J524" s="3" t="s">
        <v>19</v>
      </c>
      <c r="K524" s="2" t="str">
        <f>J524*19943.00</f>
        <v>0</v>
      </c>
      <c r="L524" s="5"/>
    </row>
    <row r="525" spans="1:12" outlineLevel="5">
      <c r="A525" s="1"/>
      <c r="B525" s="1">
        <v>958472</v>
      </c>
      <c r="C525" s="1" t="s">
        <v>1621</v>
      </c>
      <c r="D525" s="1">
        <v>23429</v>
      </c>
      <c r="E525" s="2" t="s">
        <v>1622</v>
      </c>
      <c r="F525" s="2" t="s">
        <v>1623</v>
      </c>
      <c r="G525" s="2">
        <v>0</v>
      </c>
      <c r="H525" s="2">
        <v>0</v>
      </c>
      <c r="I525" s="1">
        <v>0</v>
      </c>
      <c r="J525" s="3" t="s">
        <v>19</v>
      </c>
      <c r="K525" s="2" t="str">
        <f>J525*15728.00</f>
        <v>0</v>
      </c>
      <c r="L525" s="5"/>
    </row>
    <row r="526" spans="1:12" outlineLevel="5">
      <c r="A526" s="1"/>
      <c r="B526" s="1">
        <v>958473</v>
      </c>
      <c r="C526" s="1" t="s">
        <v>1624</v>
      </c>
      <c r="D526" s="1">
        <v>84632</v>
      </c>
      <c r="E526" s="2" t="s">
        <v>1625</v>
      </c>
      <c r="F526" s="2" t="s">
        <v>1626</v>
      </c>
      <c r="G526" s="2">
        <v>0</v>
      </c>
      <c r="H526" s="2">
        <v>0</v>
      </c>
      <c r="I526" s="1">
        <v>0</v>
      </c>
      <c r="J526" s="3" t="s">
        <v>19</v>
      </c>
      <c r="K526" s="2" t="str">
        <f>J526*17646.00</f>
        <v>0</v>
      </c>
      <c r="L526" s="5"/>
    </row>
    <row r="527" spans="1:12" outlineLevel="5">
      <c r="A527" s="1"/>
      <c r="B527" s="1">
        <v>958474</v>
      </c>
      <c r="C527" s="1" t="s">
        <v>1627</v>
      </c>
      <c r="D527" s="1">
        <v>99850</v>
      </c>
      <c r="E527" s="2" t="s">
        <v>1628</v>
      </c>
      <c r="F527" s="2" t="s">
        <v>1629</v>
      </c>
      <c r="G527" s="2">
        <v>0</v>
      </c>
      <c r="H527" s="2">
        <v>0</v>
      </c>
      <c r="I527" s="1">
        <v>0</v>
      </c>
      <c r="J527" s="3" t="s">
        <v>19</v>
      </c>
      <c r="K527" s="2" t="str">
        <f>J527*18057.00</f>
        <v>0</v>
      </c>
      <c r="L527" s="5"/>
    </row>
    <row r="528" spans="1:12" outlineLevel="5">
      <c r="A528" s="1"/>
      <c r="B528" s="1">
        <v>958475</v>
      </c>
      <c r="C528" s="1" t="s">
        <v>1630</v>
      </c>
      <c r="D528" s="1">
        <v>36339</v>
      </c>
      <c r="E528" s="2" t="s">
        <v>1631</v>
      </c>
      <c r="F528" s="2" t="s">
        <v>1632</v>
      </c>
      <c r="G528" s="2">
        <v>0</v>
      </c>
      <c r="H528" s="2">
        <v>0</v>
      </c>
      <c r="I528" s="1">
        <v>0</v>
      </c>
      <c r="J528" s="3" t="s">
        <v>19</v>
      </c>
      <c r="K528" s="2" t="str">
        <f>J528*17632.00</f>
        <v>0</v>
      </c>
      <c r="L528" s="5"/>
    </row>
    <row r="529" spans="1:12" outlineLevel="5">
      <c r="A529" s="1"/>
      <c r="B529" s="1">
        <v>958476</v>
      </c>
      <c r="C529" s="1" t="s">
        <v>1633</v>
      </c>
      <c r="D529" s="1">
        <v>87955</v>
      </c>
      <c r="E529" s="2" t="s">
        <v>1634</v>
      </c>
      <c r="F529" s="2" t="s">
        <v>1635</v>
      </c>
      <c r="G529" s="2">
        <v>0</v>
      </c>
      <c r="H529" s="2">
        <v>0</v>
      </c>
      <c r="I529" s="1">
        <v>0</v>
      </c>
      <c r="J529" s="3" t="s">
        <v>19</v>
      </c>
      <c r="K529" s="2" t="str">
        <f>J529*17241.00</f>
        <v>0</v>
      </c>
      <c r="L529" s="5"/>
    </row>
    <row r="530" spans="1:12" outlineLevel="5">
      <c r="A530" s="1"/>
      <c r="B530" s="1">
        <v>958477</v>
      </c>
      <c r="C530" s="1" t="s">
        <v>1636</v>
      </c>
      <c r="D530" s="1">
        <v>68264</v>
      </c>
      <c r="E530" s="2" t="s">
        <v>1637</v>
      </c>
      <c r="F530" s="2" t="s">
        <v>1638</v>
      </c>
      <c r="G530" s="2">
        <v>-1</v>
      </c>
      <c r="H530" s="2">
        <v>0</v>
      </c>
      <c r="I530" s="1">
        <v>0</v>
      </c>
      <c r="J530" s="3" t="s">
        <v>19</v>
      </c>
      <c r="K530" s="2" t="str">
        <f>J530*17336.00</f>
        <v>0</v>
      </c>
      <c r="L530" s="5"/>
    </row>
    <row r="531" spans="1:12" outlineLevel="5">
      <c r="A531" s="1"/>
      <c r="B531" s="1">
        <v>958478</v>
      </c>
      <c r="C531" s="1" t="s">
        <v>1639</v>
      </c>
      <c r="D531" s="1">
        <v>64056</v>
      </c>
      <c r="E531" s="2" t="s">
        <v>1640</v>
      </c>
      <c r="F531" s="2" t="s">
        <v>1641</v>
      </c>
      <c r="G531" s="2">
        <v>0</v>
      </c>
      <c r="H531" s="2">
        <v>0</v>
      </c>
      <c r="I531" s="1">
        <v>0</v>
      </c>
      <c r="J531" s="3" t="s">
        <v>19</v>
      </c>
      <c r="K531" s="2" t="str">
        <f>J531*20580.00</f>
        <v>0</v>
      </c>
      <c r="L531" s="5"/>
    </row>
    <row r="532" spans="1:12" outlineLevel="1">
      <c r="A532" s="7" t="s">
        <v>1642</v>
      </c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5"/>
    </row>
    <row r="533" spans="1:12" outlineLevel="2">
      <c r="A533" s="8" t="s">
        <v>1643</v>
      </c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5"/>
    </row>
    <row r="534" spans="1:12" customHeight="1" ht="105" outlineLevel="4">
      <c r="A534" s="1"/>
      <c r="B534" s="1">
        <v>833340</v>
      </c>
      <c r="C534" s="1" t="s">
        <v>1644</v>
      </c>
      <c r="D534" s="1" t="s">
        <v>1645</v>
      </c>
      <c r="E534" s="2" t="s">
        <v>1646</v>
      </c>
      <c r="F534" s="2" t="s">
        <v>1647</v>
      </c>
      <c r="G534" s="2">
        <v>1</v>
      </c>
      <c r="H534" s="2">
        <v>0</v>
      </c>
      <c r="I534" s="1">
        <v>0</v>
      </c>
      <c r="J534" s="3" t="s">
        <v>19</v>
      </c>
      <c r="K534" s="2" t="str">
        <f>J534*12171.96</f>
        <v>0</v>
      </c>
      <c r="L534" s="5"/>
    </row>
    <row r="535" spans="1:12" customHeight="1" ht="105" outlineLevel="4">
      <c r="A535" s="1"/>
      <c r="B535" s="1">
        <v>833341</v>
      </c>
      <c r="C535" s="1" t="s">
        <v>1648</v>
      </c>
      <c r="D535" s="1" t="s">
        <v>1649</v>
      </c>
      <c r="E535" s="2" t="s">
        <v>1650</v>
      </c>
      <c r="F535" s="2" t="s">
        <v>1651</v>
      </c>
      <c r="G535" s="2">
        <v>2</v>
      </c>
      <c r="H535" s="2">
        <v>0</v>
      </c>
      <c r="I535" s="1">
        <v>0</v>
      </c>
      <c r="J535" s="3" t="s">
        <v>19</v>
      </c>
      <c r="K535" s="2" t="str">
        <f>J535*10407.13</f>
        <v>0</v>
      </c>
      <c r="L535" s="5"/>
    </row>
    <row r="536" spans="1:12" customHeight="1" ht="105" outlineLevel="4">
      <c r="A536" s="1"/>
      <c r="B536" s="1">
        <v>833342</v>
      </c>
      <c r="C536" s="1" t="s">
        <v>1652</v>
      </c>
      <c r="D536" s="1" t="s">
        <v>1653</v>
      </c>
      <c r="E536" s="2" t="s">
        <v>1654</v>
      </c>
      <c r="F536" s="2" t="s">
        <v>1655</v>
      </c>
      <c r="G536" s="2">
        <v>2</v>
      </c>
      <c r="H536" s="2">
        <v>0</v>
      </c>
      <c r="I536" s="1">
        <v>0</v>
      </c>
      <c r="J536" s="3" t="s">
        <v>19</v>
      </c>
      <c r="K536" s="2" t="str">
        <f>J536*11225.88</f>
        <v>0</v>
      </c>
      <c r="L536" s="5"/>
    </row>
    <row r="537" spans="1:12" customHeight="1" ht="105" outlineLevel="4">
      <c r="A537" s="1"/>
      <c r="B537" s="1">
        <v>833343</v>
      </c>
      <c r="C537" s="1" t="s">
        <v>1656</v>
      </c>
      <c r="D537" s="1" t="s">
        <v>1657</v>
      </c>
      <c r="E537" s="2" t="s">
        <v>1650</v>
      </c>
      <c r="F537" s="2" t="s">
        <v>1658</v>
      </c>
      <c r="G537" s="2">
        <v>2</v>
      </c>
      <c r="H537" s="2">
        <v>0</v>
      </c>
      <c r="I537" s="1">
        <v>0</v>
      </c>
      <c r="J537" s="3" t="s">
        <v>19</v>
      </c>
      <c r="K537" s="2" t="str">
        <f>J537*10583.29</f>
        <v>0</v>
      </c>
      <c r="L537" s="5"/>
    </row>
    <row r="538" spans="1:12" customHeight="1" ht="105" outlineLevel="4">
      <c r="A538" s="1"/>
      <c r="B538" s="1">
        <v>833344</v>
      </c>
      <c r="C538" s="1" t="s">
        <v>1659</v>
      </c>
      <c r="D538" s="1" t="s">
        <v>1660</v>
      </c>
      <c r="E538" s="2" t="s">
        <v>1661</v>
      </c>
      <c r="F538" s="2" t="s">
        <v>1662</v>
      </c>
      <c r="G538" s="2">
        <v>1</v>
      </c>
      <c r="H538" s="2">
        <v>0</v>
      </c>
      <c r="I538" s="1">
        <v>0</v>
      </c>
      <c r="J538" s="3" t="s">
        <v>19</v>
      </c>
      <c r="K538" s="2" t="str">
        <f>J538*12258.60</f>
        <v>0</v>
      </c>
      <c r="L538" s="5"/>
    </row>
    <row r="539" spans="1:12" customHeight="1" ht="105" outlineLevel="4">
      <c r="A539" s="1"/>
      <c r="B539" s="1">
        <v>833345</v>
      </c>
      <c r="C539" s="1" t="s">
        <v>1663</v>
      </c>
      <c r="D539" s="1" t="s">
        <v>1664</v>
      </c>
      <c r="E539" s="2" t="s">
        <v>1665</v>
      </c>
      <c r="F539" s="2" t="s">
        <v>1666</v>
      </c>
      <c r="G539" s="2">
        <v>3</v>
      </c>
      <c r="H539" s="2">
        <v>0</v>
      </c>
      <c r="I539" s="1">
        <v>0</v>
      </c>
      <c r="J539" s="3" t="s">
        <v>19</v>
      </c>
      <c r="K539" s="2" t="str">
        <f>J539*14237.61</f>
        <v>0</v>
      </c>
      <c r="L539" s="5"/>
    </row>
    <row r="540" spans="1:12" customHeight="1" ht="105" outlineLevel="4">
      <c r="A540" s="1"/>
      <c r="B540" s="1">
        <v>833346</v>
      </c>
      <c r="C540" s="1" t="s">
        <v>1667</v>
      </c>
      <c r="D540" s="1" t="s">
        <v>1668</v>
      </c>
      <c r="E540" s="2" t="s">
        <v>1669</v>
      </c>
      <c r="F540" s="2" t="s">
        <v>1670</v>
      </c>
      <c r="G540" s="2">
        <v>2</v>
      </c>
      <c r="H540" s="2">
        <v>0</v>
      </c>
      <c r="I540" s="1">
        <v>0</v>
      </c>
      <c r="J540" s="3" t="s">
        <v>19</v>
      </c>
      <c r="K540" s="2" t="str">
        <f>J540*16167.93</f>
        <v>0</v>
      </c>
      <c r="L540" s="5"/>
    </row>
    <row r="541" spans="1:12" outlineLevel="2">
      <c r="A541" s="8" t="s">
        <v>1671</v>
      </c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5"/>
    </row>
    <row r="542" spans="1:12" outlineLevel="3">
      <c r="A542" s="9" t="s">
        <v>1672</v>
      </c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5"/>
    </row>
    <row r="543" spans="1:12" outlineLevel="4">
      <c r="A543" s="10" t="s">
        <v>1673</v>
      </c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5"/>
    </row>
    <row r="544" spans="1:12" customHeight="1" ht="105" outlineLevel="6">
      <c r="A544" s="1"/>
      <c r="B544" s="1">
        <v>833354</v>
      </c>
      <c r="C544" s="1" t="s">
        <v>1674</v>
      </c>
      <c r="D544" s="1" t="s">
        <v>1675</v>
      </c>
      <c r="E544" s="2" t="s">
        <v>1676</v>
      </c>
      <c r="F544" s="2" t="s">
        <v>1677</v>
      </c>
      <c r="G544" s="2">
        <v>2</v>
      </c>
      <c r="H544" s="2">
        <v>0</v>
      </c>
      <c r="I544" s="1">
        <v>0</v>
      </c>
      <c r="J544" s="3" t="s">
        <v>19</v>
      </c>
      <c r="K544" s="2" t="str">
        <f>J544*12661.20</f>
        <v>0</v>
      </c>
      <c r="L544" s="5"/>
    </row>
    <row r="545" spans="1:12" customHeight="1" ht="105" outlineLevel="6">
      <c r="A545" s="1"/>
      <c r="B545" s="1">
        <v>833355</v>
      </c>
      <c r="C545" s="1" t="s">
        <v>1678</v>
      </c>
      <c r="D545" s="1" t="s">
        <v>1679</v>
      </c>
      <c r="E545" s="2" t="s">
        <v>1680</v>
      </c>
      <c r="F545" s="2" t="s">
        <v>1681</v>
      </c>
      <c r="G545" s="2">
        <v>-1</v>
      </c>
      <c r="H545" s="2">
        <v>0</v>
      </c>
      <c r="I545" s="1">
        <v>0</v>
      </c>
      <c r="J545" s="3" t="s">
        <v>19</v>
      </c>
      <c r="K545" s="2" t="str">
        <f>J545*12611.82</f>
        <v>0</v>
      </c>
      <c r="L545" s="5"/>
    </row>
    <row r="546" spans="1:12" customHeight="1" ht="105" outlineLevel="6">
      <c r="A546" s="1"/>
      <c r="B546" s="1">
        <v>839824</v>
      </c>
      <c r="C546" s="1" t="s">
        <v>1682</v>
      </c>
      <c r="D546" s="1" t="s">
        <v>1683</v>
      </c>
      <c r="E546" s="2" t="s">
        <v>1684</v>
      </c>
      <c r="F546" s="2" t="s">
        <v>1685</v>
      </c>
      <c r="G546" s="2">
        <v>1</v>
      </c>
      <c r="H546" s="2">
        <v>0</v>
      </c>
      <c r="I546" s="1">
        <v>0</v>
      </c>
      <c r="J546" s="3" t="s">
        <v>19</v>
      </c>
      <c r="K546" s="2" t="str">
        <f>J546*10478.14</f>
        <v>0</v>
      </c>
      <c r="L546" s="5"/>
    </row>
    <row r="547" spans="1:12" customHeight="1" ht="105" outlineLevel="6">
      <c r="A547" s="1"/>
      <c r="B547" s="1">
        <v>839825</v>
      </c>
      <c r="C547" s="1" t="s">
        <v>1686</v>
      </c>
      <c r="D547" s="1" t="s">
        <v>1687</v>
      </c>
      <c r="E547" s="2" t="s">
        <v>1688</v>
      </c>
      <c r="F547" s="2" t="s">
        <v>1689</v>
      </c>
      <c r="G547" s="2">
        <v>1</v>
      </c>
      <c r="H547" s="2">
        <v>0</v>
      </c>
      <c r="I547" s="1">
        <v>0</v>
      </c>
      <c r="J547" s="3" t="s">
        <v>19</v>
      </c>
      <c r="K547" s="2" t="str">
        <f>J547*12000.37</f>
        <v>0</v>
      </c>
      <c r="L547" s="5"/>
    </row>
    <row r="548" spans="1:12" customHeight="1" ht="105" outlineLevel="6">
      <c r="A548" s="1"/>
      <c r="B548" s="1">
        <v>839826</v>
      </c>
      <c r="C548" s="1" t="s">
        <v>1690</v>
      </c>
      <c r="D548" s="1" t="s">
        <v>1691</v>
      </c>
      <c r="E548" s="2" t="s">
        <v>1692</v>
      </c>
      <c r="F548" s="2" t="s">
        <v>1693</v>
      </c>
      <c r="G548" s="2">
        <v>0</v>
      </c>
      <c r="H548" s="2">
        <v>0</v>
      </c>
      <c r="I548" s="1">
        <v>0</v>
      </c>
      <c r="J548" s="3" t="s">
        <v>19</v>
      </c>
      <c r="K548" s="2" t="str">
        <f>J548*13216.01</f>
        <v>0</v>
      </c>
      <c r="L548" s="5"/>
    </row>
    <row r="549" spans="1:12" customHeight="1" ht="105" outlineLevel="6">
      <c r="A549" s="1"/>
      <c r="B549" s="1">
        <v>839827</v>
      </c>
      <c r="C549" s="1" t="s">
        <v>1694</v>
      </c>
      <c r="D549" s="1" t="s">
        <v>1695</v>
      </c>
      <c r="E549" s="2" t="s">
        <v>1696</v>
      </c>
      <c r="F549" s="2" t="s">
        <v>1697</v>
      </c>
      <c r="G549" s="2">
        <v>1</v>
      </c>
      <c r="H549" s="2">
        <v>0</v>
      </c>
      <c r="I549" s="1">
        <v>0</v>
      </c>
      <c r="J549" s="3" t="s">
        <v>19</v>
      </c>
      <c r="K549" s="2" t="str">
        <f>J549*15641.90</f>
        <v>0</v>
      </c>
      <c r="L549" s="5"/>
    </row>
    <row r="550" spans="1:12" customHeight="1" ht="105" outlineLevel="6">
      <c r="A550" s="1"/>
      <c r="B550" s="1">
        <v>839828</v>
      </c>
      <c r="C550" s="1" t="s">
        <v>1698</v>
      </c>
      <c r="D550" s="1" t="s">
        <v>1699</v>
      </c>
      <c r="E550" s="2" t="s">
        <v>1700</v>
      </c>
      <c r="F550" s="2" t="s">
        <v>1701</v>
      </c>
      <c r="G550" s="2">
        <v>1</v>
      </c>
      <c r="H550" s="2">
        <v>0</v>
      </c>
      <c r="I550" s="1">
        <v>0</v>
      </c>
      <c r="J550" s="3" t="s">
        <v>19</v>
      </c>
      <c r="K550" s="2" t="str">
        <f>J550*20326.95</f>
        <v>0</v>
      </c>
      <c r="L550" s="5"/>
    </row>
    <row r="551" spans="1:12" customHeight="1" ht="105" outlineLevel="6">
      <c r="A551" s="1"/>
      <c r="B551" s="1">
        <v>839829</v>
      </c>
      <c r="C551" s="1" t="s">
        <v>1702</v>
      </c>
      <c r="D551" s="1" t="s">
        <v>1703</v>
      </c>
      <c r="E551" s="2" t="s">
        <v>1704</v>
      </c>
      <c r="F551" s="2" t="s">
        <v>523</v>
      </c>
      <c r="G551" s="2">
        <v>0</v>
      </c>
      <c r="H551" s="2">
        <v>0</v>
      </c>
      <c r="I551" s="1">
        <v>0</v>
      </c>
      <c r="J551" s="3" t="s">
        <v>19</v>
      </c>
      <c r="K551" s="2" t="str">
        <f>J551*0.00</f>
        <v>0</v>
      </c>
      <c r="L551" s="5"/>
    </row>
    <row r="552" spans="1:12" customHeight="1" ht="105" outlineLevel="6">
      <c r="A552" s="1"/>
      <c r="B552" s="1">
        <v>858808</v>
      </c>
      <c r="C552" s="1" t="s">
        <v>1705</v>
      </c>
      <c r="D552" s="1" t="s">
        <v>1706</v>
      </c>
      <c r="E552" s="2" t="s">
        <v>1707</v>
      </c>
      <c r="F552" s="2" t="s">
        <v>1708</v>
      </c>
      <c r="G552" s="2">
        <v>2</v>
      </c>
      <c r="H552" s="2">
        <v>0</v>
      </c>
      <c r="I552" s="1">
        <v>0</v>
      </c>
      <c r="J552" s="3" t="s">
        <v>19</v>
      </c>
      <c r="K552" s="2" t="str">
        <f>J552*24487.32</f>
        <v>0</v>
      </c>
      <c r="L552" s="5"/>
    </row>
    <row r="553" spans="1:12" customHeight="1" ht="105" outlineLevel="6">
      <c r="A553" s="1"/>
      <c r="B553" s="1">
        <v>883381</v>
      </c>
      <c r="C553" s="1" t="s">
        <v>1709</v>
      </c>
      <c r="D553" s="1" t="s">
        <v>1710</v>
      </c>
      <c r="E553" s="2" t="s">
        <v>1711</v>
      </c>
      <c r="F553" s="2" t="s">
        <v>1712</v>
      </c>
      <c r="G553" s="2">
        <v>2</v>
      </c>
      <c r="H553" s="2">
        <v>0</v>
      </c>
      <c r="I553" s="1">
        <v>0</v>
      </c>
      <c r="J553" s="3" t="s">
        <v>19</v>
      </c>
      <c r="K553" s="2" t="str">
        <f>J553*11137.92</f>
        <v>0</v>
      </c>
      <c r="L553" s="5"/>
    </row>
    <row r="554" spans="1:12" outlineLevel="4">
      <c r="A554" s="10" t="s">
        <v>1713</v>
      </c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5"/>
    </row>
    <row r="555" spans="1:12" customHeight="1" ht="105" outlineLevel="6">
      <c r="A555" s="1"/>
      <c r="B555" s="1">
        <v>833347</v>
      </c>
      <c r="C555" s="1" t="s">
        <v>1714</v>
      </c>
      <c r="D555" s="1" t="s">
        <v>1715</v>
      </c>
      <c r="E555" s="2" t="s">
        <v>1716</v>
      </c>
      <c r="F555" s="2" t="s">
        <v>1717</v>
      </c>
      <c r="G555" s="2">
        <v>0</v>
      </c>
      <c r="H555" s="2">
        <v>0</v>
      </c>
      <c r="I555" s="1">
        <v>0</v>
      </c>
      <c r="J555" s="3" t="s">
        <v>19</v>
      </c>
      <c r="K555" s="2" t="str">
        <f>J555*11601.27</f>
        <v>0</v>
      </c>
      <c r="L555" s="5"/>
    </row>
    <row r="556" spans="1:12" customHeight="1" ht="105" outlineLevel="6">
      <c r="A556" s="1"/>
      <c r="B556" s="1">
        <v>833348</v>
      </c>
      <c r="C556" s="1" t="s">
        <v>1718</v>
      </c>
      <c r="D556" s="1" t="s">
        <v>1719</v>
      </c>
      <c r="E556" s="2" t="s">
        <v>1720</v>
      </c>
      <c r="F556" s="2" t="s">
        <v>1721</v>
      </c>
      <c r="G556" s="2">
        <v>1</v>
      </c>
      <c r="H556" s="2">
        <v>0</v>
      </c>
      <c r="I556" s="1">
        <v>0</v>
      </c>
      <c r="J556" s="3" t="s">
        <v>19</v>
      </c>
      <c r="K556" s="2" t="str">
        <f>J556*12977.49</f>
        <v>0</v>
      </c>
      <c r="L556" s="5"/>
    </row>
    <row r="557" spans="1:12" customHeight="1" ht="105" outlineLevel="6">
      <c r="A557" s="1"/>
      <c r="B557" s="1">
        <v>833349</v>
      </c>
      <c r="C557" s="1" t="s">
        <v>1722</v>
      </c>
      <c r="D557" s="1" t="s">
        <v>1723</v>
      </c>
      <c r="E557" s="2" t="s">
        <v>1724</v>
      </c>
      <c r="F557" s="2" t="s">
        <v>1725</v>
      </c>
      <c r="G557" s="2">
        <v>1</v>
      </c>
      <c r="H557" s="2">
        <v>0</v>
      </c>
      <c r="I557" s="1">
        <v>0</v>
      </c>
      <c r="J557" s="3" t="s">
        <v>19</v>
      </c>
      <c r="K557" s="2" t="str">
        <f>J557*15361.73</f>
        <v>0</v>
      </c>
      <c r="L557" s="5"/>
    </row>
    <row r="558" spans="1:12" customHeight="1" ht="105" outlineLevel="6">
      <c r="A558" s="1"/>
      <c r="B558" s="1">
        <v>833350</v>
      </c>
      <c r="C558" s="1" t="s">
        <v>1726</v>
      </c>
      <c r="D558" s="1" t="s">
        <v>1727</v>
      </c>
      <c r="E558" s="2" t="s">
        <v>1728</v>
      </c>
      <c r="F558" s="2" t="s">
        <v>1729</v>
      </c>
      <c r="G558" s="2">
        <v>0</v>
      </c>
      <c r="H558" s="2">
        <v>0</v>
      </c>
      <c r="I558" s="1">
        <v>0</v>
      </c>
      <c r="J558" s="3" t="s">
        <v>19</v>
      </c>
      <c r="K558" s="2" t="str">
        <f>J558*19600.65</f>
        <v>0</v>
      </c>
      <c r="L558" s="5"/>
    </row>
    <row r="559" spans="1:12" customHeight="1" ht="105" outlineLevel="6">
      <c r="A559" s="1"/>
      <c r="B559" s="1">
        <v>833351</v>
      </c>
      <c r="C559" s="1" t="s">
        <v>1730</v>
      </c>
      <c r="D559" s="1" t="s">
        <v>1731</v>
      </c>
      <c r="E559" s="2" t="s">
        <v>1732</v>
      </c>
      <c r="F559" s="2" t="s">
        <v>1733</v>
      </c>
      <c r="G559" s="2">
        <v>1</v>
      </c>
      <c r="H559" s="2">
        <v>0</v>
      </c>
      <c r="I559" s="1">
        <v>0</v>
      </c>
      <c r="J559" s="3" t="s">
        <v>19</v>
      </c>
      <c r="K559" s="2" t="str">
        <f>J559*13287.77</f>
        <v>0</v>
      </c>
      <c r="L559" s="5"/>
    </row>
    <row r="560" spans="1:12" customHeight="1" ht="105" outlineLevel="6">
      <c r="A560" s="1"/>
      <c r="B560" s="1">
        <v>833352</v>
      </c>
      <c r="C560" s="1" t="s">
        <v>1734</v>
      </c>
      <c r="D560" s="1" t="s">
        <v>1735</v>
      </c>
      <c r="E560" s="2" t="s">
        <v>1736</v>
      </c>
      <c r="F560" s="2" t="s">
        <v>1737</v>
      </c>
      <c r="G560" s="2">
        <v>1</v>
      </c>
      <c r="H560" s="2">
        <v>0</v>
      </c>
      <c r="I560" s="1">
        <v>0</v>
      </c>
      <c r="J560" s="3" t="s">
        <v>19</v>
      </c>
      <c r="K560" s="2" t="str">
        <f>J560*15403.29</f>
        <v>0</v>
      </c>
      <c r="L560" s="5"/>
    </row>
    <row r="561" spans="1:12" customHeight="1" ht="105" outlineLevel="6">
      <c r="A561" s="1"/>
      <c r="B561" s="1">
        <v>833353</v>
      </c>
      <c r="C561" s="1" t="s">
        <v>1738</v>
      </c>
      <c r="D561" s="1" t="s">
        <v>1739</v>
      </c>
      <c r="E561" s="2" t="s">
        <v>1740</v>
      </c>
      <c r="F561" s="2" t="s">
        <v>1741</v>
      </c>
      <c r="G561" s="2">
        <v>1</v>
      </c>
      <c r="H561" s="2">
        <v>0</v>
      </c>
      <c r="I561" s="1">
        <v>0</v>
      </c>
      <c r="J561" s="3" t="s">
        <v>19</v>
      </c>
      <c r="K561" s="2" t="str">
        <f>J561*16683.01</f>
        <v>0</v>
      </c>
      <c r="L561" s="5"/>
    </row>
    <row r="562" spans="1:12" customHeight="1" ht="105" outlineLevel="6">
      <c r="A562" s="1"/>
      <c r="B562" s="1">
        <v>833362</v>
      </c>
      <c r="C562" s="1" t="s">
        <v>1742</v>
      </c>
      <c r="D562" s="1" t="s">
        <v>1743</v>
      </c>
      <c r="E562" s="2" t="s">
        <v>1744</v>
      </c>
      <c r="F562" s="2" t="s">
        <v>1745</v>
      </c>
      <c r="G562" s="2">
        <v>0</v>
      </c>
      <c r="H562" s="2">
        <v>0</v>
      </c>
      <c r="I562" s="1">
        <v>0</v>
      </c>
      <c r="J562" s="3" t="s">
        <v>19</v>
      </c>
      <c r="K562" s="2" t="str">
        <f>J562*11737.82</f>
        <v>0</v>
      </c>
      <c r="L562" s="5"/>
    </row>
    <row r="563" spans="1:12" customHeight="1" ht="105" outlineLevel="6">
      <c r="A563" s="1"/>
      <c r="B563" s="1">
        <v>833363</v>
      </c>
      <c r="C563" s="1" t="s">
        <v>1746</v>
      </c>
      <c r="D563" s="1" t="s">
        <v>1747</v>
      </c>
      <c r="E563" s="2" t="s">
        <v>1748</v>
      </c>
      <c r="F563" s="2" t="s">
        <v>1749</v>
      </c>
      <c r="G563" s="2">
        <v>0</v>
      </c>
      <c r="H563" s="2">
        <v>0</v>
      </c>
      <c r="I563" s="1">
        <v>0</v>
      </c>
      <c r="J563" s="3" t="s">
        <v>19</v>
      </c>
      <c r="K563" s="2" t="str">
        <f>J563*14542.32</f>
        <v>0</v>
      </c>
      <c r="L563" s="5"/>
    </row>
    <row r="564" spans="1:12" customHeight="1" ht="105" outlineLevel="6">
      <c r="A564" s="1"/>
      <c r="B564" s="1">
        <v>833364</v>
      </c>
      <c r="C564" s="1" t="s">
        <v>1750</v>
      </c>
      <c r="D564" s="1" t="s">
        <v>1751</v>
      </c>
      <c r="E564" s="2" t="s">
        <v>1752</v>
      </c>
      <c r="F564" s="2" t="s">
        <v>1753</v>
      </c>
      <c r="G564" s="2">
        <v>2</v>
      </c>
      <c r="H564" s="2">
        <v>0</v>
      </c>
      <c r="I564" s="1">
        <v>0</v>
      </c>
      <c r="J564" s="3" t="s">
        <v>19</v>
      </c>
      <c r="K564" s="2" t="str">
        <f>J564*15657.52</f>
        <v>0</v>
      </c>
      <c r="L564" s="5"/>
    </row>
    <row r="565" spans="1:12" customHeight="1" ht="105" outlineLevel="6">
      <c r="A565" s="1"/>
      <c r="B565" s="1">
        <v>833365</v>
      </c>
      <c r="C565" s="1" t="s">
        <v>1754</v>
      </c>
      <c r="D565" s="1" t="s">
        <v>1755</v>
      </c>
      <c r="E565" s="2" t="s">
        <v>1756</v>
      </c>
      <c r="F565" s="2" t="s">
        <v>1757</v>
      </c>
      <c r="G565" s="2">
        <v>4</v>
      </c>
      <c r="H565" s="2">
        <v>0</v>
      </c>
      <c r="I565" s="1">
        <v>0</v>
      </c>
      <c r="J565" s="3" t="s">
        <v>19</v>
      </c>
      <c r="K565" s="2" t="str">
        <f>J565*21473.38</f>
        <v>0</v>
      </c>
      <c r="L565" s="5"/>
    </row>
    <row r="566" spans="1:12" customHeight="1" ht="105" outlineLevel="6">
      <c r="A566" s="1"/>
      <c r="B566" s="1">
        <v>833370</v>
      </c>
      <c r="C566" s="1" t="s">
        <v>1758</v>
      </c>
      <c r="D566" s="1" t="s">
        <v>1759</v>
      </c>
      <c r="E566" s="2" t="s">
        <v>1760</v>
      </c>
      <c r="F566" s="2" t="s">
        <v>1761</v>
      </c>
      <c r="G566" s="2">
        <v>1</v>
      </c>
      <c r="H566" s="2">
        <v>0</v>
      </c>
      <c r="I566" s="1">
        <v>0</v>
      </c>
      <c r="J566" s="3" t="s">
        <v>19</v>
      </c>
      <c r="K566" s="2" t="str">
        <f>J566*12709.49</f>
        <v>0</v>
      </c>
      <c r="L566" s="5"/>
    </row>
    <row r="567" spans="1:12" customHeight="1" ht="105" outlineLevel="6">
      <c r="A567" s="1"/>
      <c r="B567" s="1">
        <v>833371</v>
      </c>
      <c r="C567" s="1" t="s">
        <v>1762</v>
      </c>
      <c r="D567" s="1" t="s">
        <v>1763</v>
      </c>
      <c r="E567" s="2" t="s">
        <v>1764</v>
      </c>
      <c r="F567" s="2" t="s">
        <v>1765</v>
      </c>
      <c r="G567" s="2">
        <v>0</v>
      </c>
      <c r="H567" s="2">
        <v>0</v>
      </c>
      <c r="I567" s="1">
        <v>0</v>
      </c>
      <c r="J567" s="3" t="s">
        <v>19</v>
      </c>
      <c r="K567" s="2" t="str">
        <f>J567*15592.52</f>
        <v>0</v>
      </c>
      <c r="L567" s="5"/>
    </row>
    <row r="568" spans="1:12" customHeight="1" ht="105" outlineLevel="6">
      <c r="A568" s="1"/>
      <c r="B568" s="1">
        <v>833372</v>
      </c>
      <c r="C568" s="1" t="s">
        <v>1766</v>
      </c>
      <c r="D568" s="1" t="s">
        <v>1767</v>
      </c>
      <c r="E568" s="2" t="s">
        <v>1768</v>
      </c>
      <c r="F568" s="2" t="s">
        <v>1769</v>
      </c>
      <c r="G568" s="2">
        <v>2</v>
      </c>
      <c r="H568" s="2">
        <v>0</v>
      </c>
      <c r="I568" s="1">
        <v>0</v>
      </c>
      <c r="J568" s="3" t="s">
        <v>19</v>
      </c>
      <c r="K568" s="2" t="str">
        <f>J568*19400.03</f>
        <v>0</v>
      </c>
      <c r="L568" s="5"/>
    </row>
    <row r="569" spans="1:12" customHeight="1" ht="105" outlineLevel="6">
      <c r="A569" s="1"/>
      <c r="B569" s="1">
        <v>833373</v>
      </c>
      <c r="C569" s="1" t="s">
        <v>1770</v>
      </c>
      <c r="D569" s="1" t="s">
        <v>1771</v>
      </c>
      <c r="E569" s="2" t="s">
        <v>1772</v>
      </c>
      <c r="F569" s="2" t="s">
        <v>1773</v>
      </c>
      <c r="G569" s="2">
        <v>3</v>
      </c>
      <c r="H569" s="2">
        <v>0</v>
      </c>
      <c r="I569" s="1">
        <v>0</v>
      </c>
      <c r="J569" s="3" t="s">
        <v>19</v>
      </c>
      <c r="K569" s="2" t="str">
        <f>J569*20020.03</f>
        <v>0</v>
      </c>
      <c r="L569" s="5"/>
    </row>
    <row r="570" spans="1:12" customHeight="1" ht="105" outlineLevel="6">
      <c r="A570" s="1"/>
      <c r="B570" s="1">
        <v>858809</v>
      </c>
      <c r="C570" s="1" t="s">
        <v>1774</v>
      </c>
      <c r="D570" s="1" t="s">
        <v>1775</v>
      </c>
      <c r="E570" s="2" t="s">
        <v>1776</v>
      </c>
      <c r="F570" s="2" t="s">
        <v>1777</v>
      </c>
      <c r="G570" s="2">
        <v>3</v>
      </c>
      <c r="H570" s="2">
        <v>0</v>
      </c>
      <c r="I570" s="1">
        <v>0</v>
      </c>
      <c r="J570" s="3" t="s">
        <v>19</v>
      </c>
      <c r="K570" s="2" t="str">
        <f>J570*31637.08</f>
        <v>0</v>
      </c>
      <c r="L570" s="5"/>
    </row>
    <row r="571" spans="1:12" customHeight="1" ht="105" outlineLevel="6">
      <c r="A571" s="1"/>
      <c r="B571" s="1">
        <v>858810</v>
      </c>
      <c r="C571" s="1" t="s">
        <v>1778</v>
      </c>
      <c r="D571" s="1" t="s">
        <v>1779</v>
      </c>
      <c r="E571" s="2" t="s">
        <v>1780</v>
      </c>
      <c r="F571" s="2" t="s">
        <v>1781</v>
      </c>
      <c r="G571" s="2">
        <v>2</v>
      </c>
      <c r="H571" s="2">
        <v>0</v>
      </c>
      <c r="I571" s="1">
        <v>0</v>
      </c>
      <c r="J571" s="3" t="s">
        <v>19</v>
      </c>
      <c r="K571" s="2" t="str">
        <f>J571*12744.85</f>
        <v>0</v>
      </c>
      <c r="L571" s="5"/>
    </row>
    <row r="572" spans="1:12" customHeight="1" ht="105" outlineLevel="6">
      <c r="A572" s="1"/>
      <c r="B572" s="1">
        <v>858832</v>
      </c>
      <c r="C572" s="1" t="s">
        <v>1782</v>
      </c>
      <c r="D572" s="1" t="s">
        <v>1783</v>
      </c>
      <c r="E572" s="2" t="s">
        <v>1784</v>
      </c>
      <c r="F572" s="2" t="s">
        <v>1785</v>
      </c>
      <c r="G572" s="2">
        <v>0</v>
      </c>
      <c r="H572" s="2">
        <v>0</v>
      </c>
      <c r="I572" s="1">
        <v>0</v>
      </c>
      <c r="J572" s="3" t="s">
        <v>19</v>
      </c>
      <c r="K572" s="2" t="str">
        <f>J572*15959.23</f>
        <v>0</v>
      </c>
      <c r="L572" s="5"/>
    </row>
    <row r="573" spans="1:12" customHeight="1" ht="105" outlineLevel="6">
      <c r="A573" s="1"/>
      <c r="B573" s="1">
        <v>883378</v>
      </c>
      <c r="C573" s="1" t="s">
        <v>1786</v>
      </c>
      <c r="D573" s="1" t="s">
        <v>1787</v>
      </c>
      <c r="E573" s="2" t="s">
        <v>1788</v>
      </c>
      <c r="F573" s="2" t="s">
        <v>1789</v>
      </c>
      <c r="G573" s="2">
        <v>2</v>
      </c>
      <c r="H573" s="2">
        <v>0</v>
      </c>
      <c r="I573" s="1">
        <v>0</v>
      </c>
      <c r="J573" s="3" t="s">
        <v>19</v>
      </c>
      <c r="K573" s="2" t="str">
        <f>J573*10050.01</f>
        <v>0</v>
      </c>
      <c r="L573" s="5"/>
    </row>
    <row r="574" spans="1:12" customHeight="1" ht="105" outlineLevel="6">
      <c r="A574" s="1"/>
      <c r="B574" s="1">
        <v>883379</v>
      </c>
      <c r="C574" s="1" t="s">
        <v>1790</v>
      </c>
      <c r="D574" s="1" t="s">
        <v>1791</v>
      </c>
      <c r="E574" s="2" t="s">
        <v>1792</v>
      </c>
      <c r="F574" s="2" t="s">
        <v>1793</v>
      </c>
      <c r="G574" s="2">
        <v>2</v>
      </c>
      <c r="H574" s="2">
        <v>0</v>
      </c>
      <c r="I574" s="1">
        <v>0</v>
      </c>
      <c r="J574" s="3" t="s">
        <v>19</v>
      </c>
      <c r="K574" s="2" t="str">
        <f>J574*13691.11</f>
        <v>0</v>
      </c>
      <c r="L574" s="5"/>
    </row>
    <row r="575" spans="1:12" customHeight="1" ht="105" outlineLevel="6">
      <c r="A575" s="1"/>
      <c r="B575" s="1">
        <v>883380</v>
      </c>
      <c r="C575" s="1" t="s">
        <v>1794</v>
      </c>
      <c r="D575" s="1" t="s">
        <v>1795</v>
      </c>
      <c r="E575" s="2" t="s">
        <v>1796</v>
      </c>
      <c r="F575" s="2" t="s">
        <v>1797</v>
      </c>
      <c r="G575" s="2">
        <v>2</v>
      </c>
      <c r="H575" s="2">
        <v>0</v>
      </c>
      <c r="I575" s="1">
        <v>0</v>
      </c>
      <c r="J575" s="3" t="s">
        <v>19</v>
      </c>
      <c r="K575" s="2" t="str">
        <f>J575*13527.91</f>
        <v>0</v>
      </c>
      <c r="L575" s="5"/>
    </row>
    <row r="576" spans="1:12" outlineLevel="6">
      <c r="A576" s="1"/>
      <c r="B576" s="1">
        <v>956608</v>
      </c>
      <c r="C576" s="1" t="s">
        <v>1798</v>
      </c>
      <c r="D576" s="1" t="s">
        <v>1799</v>
      </c>
      <c r="E576" s="2" t="s">
        <v>1800</v>
      </c>
      <c r="F576" s="2" t="s">
        <v>1801</v>
      </c>
      <c r="G576" s="2">
        <v>0</v>
      </c>
      <c r="H576" s="2">
        <v>0</v>
      </c>
      <c r="I576" s="1">
        <v>0</v>
      </c>
      <c r="J576" s="3" t="s">
        <v>19</v>
      </c>
      <c r="K576" s="2" t="str">
        <f>J576*24810.76</f>
        <v>0</v>
      </c>
      <c r="L576" s="5"/>
    </row>
    <row r="577" spans="1:12" outlineLevel="4">
      <c r="A577" s="10" t="s">
        <v>1802</v>
      </c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5"/>
    </row>
    <row r="578" spans="1:12" customHeight="1" ht="105" outlineLevel="6">
      <c r="A578" s="1"/>
      <c r="B578" s="1">
        <v>833356</v>
      </c>
      <c r="C578" s="1" t="s">
        <v>1803</v>
      </c>
      <c r="D578" s="1" t="s">
        <v>1804</v>
      </c>
      <c r="E578" s="2" t="s">
        <v>1805</v>
      </c>
      <c r="F578" s="2" t="s">
        <v>1806</v>
      </c>
      <c r="G578" s="2">
        <v>1</v>
      </c>
      <c r="H578" s="2">
        <v>0</v>
      </c>
      <c r="I578" s="1">
        <v>0</v>
      </c>
      <c r="J578" s="3" t="s">
        <v>19</v>
      </c>
      <c r="K578" s="2" t="str">
        <f>J578*14154.77</f>
        <v>0</v>
      </c>
      <c r="L578" s="5"/>
    </row>
    <row r="579" spans="1:12" customHeight="1" ht="105" outlineLevel="6">
      <c r="A579" s="1"/>
      <c r="B579" s="1">
        <v>833357</v>
      </c>
      <c r="C579" s="1" t="s">
        <v>1807</v>
      </c>
      <c r="D579" s="1" t="s">
        <v>1808</v>
      </c>
      <c r="E579" s="2" t="s">
        <v>1809</v>
      </c>
      <c r="F579" s="2" t="s">
        <v>1810</v>
      </c>
      <c r="G579" s="2">
        <v>2</v>
      </c>
      <c r="H579" s="2">
        <v>0</v>
      </c>
      <c r="I579" s="1">
        <v>0</v>
      </c>
      <c r="J579" s="3" t="s">
        <v>19</v>
      </c>
      <c r="K579" s="2" t="str">
        <f>J579*16044.30</f>
        <v>0</v>
      </c>
      <c r="L579" s="5"/>
    </row>
    <row r="580" spans="1:12" customHeight="1" ht="105" outlineLevel="6">
      <c r="A580" s="1"/>
      <c r="B580" s="1">
        <v>833358</v>
      </c>
      <c r="C580" s="1" t="s">
        <v>1811</v>
      </c>
      <c r="D580" s="1" t="s">
        <v>1812</v>
      </c>
      <c r="E580" s="2" t="s">
        <v>1813</v>
      </c>
      <c r="F580" s="2" t="s">
        <v>1814</v>
      </c>
      <c r="G580" s="2">
        <v>1</v>
      </c>
      <c r="H580" s="2">
        <v>0</v>
      </c>
      <c r="I580" s="1">
        <v>0</v>
      </c>
      <c r="J580" s="3" t="s">
        <v>19</v>
      </c>
      <c r="K580" s="2" t="str">
        <f>J580*18085.07</f>
        <v>0</v>
      </c>
      <c r="L580" s="5"/>
    </row>
    <row r="581" spans="1:12" customHeight="1" ht="105" outlineLevel="6">
      <c r="A581" s="1"/>
      <c r="B581" s="1">
        <v>833359</v>
      </c>
      <c r="C581" s="1" t="s">
        <v>1815</v>
      </c>
      <c r="D581" s="1" t="s">
        <v>1816</v>
      </c>
      <c r="E581" s="2" t="s">
        <v>1817</v>
      </c>
      <c r="F581" s="2" t="s">
        <v>1818</v>
      </c>
      <c r="G581" s="2">
        <v>1</v>
      </c>
      <c r="H581" s="2">
        <v>0</v>
      </c>
      <c r="I581" s="1">
        <v>0</v>
      </c>
      <c r="J581" s="3" t="s">
        <v>19</v>
      </c>
      <c r="K581" s="2" t="str">
        <f>J581*13928.84</f>
        <v>0</v>
      </c>
      <c r="L581" s="5"/>
    </row>
    <row r="582" spans="1:12" customHeight="1" ht="105" outlineLevel="6">
      <c r="A582" s="1"/>
      <c r="B582" s="1">
        <v>833360</v>
      </c>
      <c r="C582" s="1" t="s">
        <v>1819</v>
      </c>
      <c r="D582" s="1" t="s">
        <v>1820</v>
      </c>
      <c r="E582" s="2" t="s">
        <v>1821</v>
      </c>
      <c r="F582" s="2" t="s">
        <v>1822</v>
      </c>
      <c r="G582" s="2">
        <v>2</v>
      </c>
      <c r="H582" s="2">
        <v>0</v>
      </c>
      <c r="I582" s="1">
        <v>0</v>
      </c>
      <c r="J582" s="3" t="s">
        <v>19</v>
      </c>
      <c r="K582" s="2" t="str">
        <f>J582*14511.03</f>
        <v>0</v>
      </c>
      <c r="L582" s="5"/>
    </row>
    <row r="583" spans="1:12" customHeight="1" ht="105" outlineLevel="6">
      <c r="A583" s="1"/>
      <c r="B583" s="1">
        <v>833361</v>
      </c>
      <c r="C583" s="1" t="s">
        <v>1823</v>
      </c>
      <c r="D583" s="1" t="s">
        <v>1824</v>
      </c>
      <c r="E583" s="2" t="s">
        <v>1825</v>
      </c>
      <c r="F583" s="2" t="s">
        <v>1826</v>
      </c>
      <c r="G583" s="2">
        <v>2</v>
      </c>
      <c r="H583" s="2">
        <v>0</v>
      </c>
      <c r="I583" s="1">
        <v>0</v>
      </c>
      <c r="J583" s="3" t="s">
        <v>19</v>
      </c>
      <c r="K583" s="2" t="str">
        <f>J583*18425.29</f>
        <v>0</v>
      </c>
      <c r="L583" s="5"/>
    </row>
    <row r="584" spans="1:12" customHeight="1" ht="105" outlineLevel="6">
      <c r="A584" s="1"/>
      <c r="B584" s="1">
        <v>833366</v>
      </c>
      <c r="C584" s="1" t="s">
        <v>1827</v>
      </c>
      <c r="D584" s="1" t="s">
        <v>1828</v>
      </c>
      <c r="E584" s="2" t="s">
        <v>1829</v>
      </c>
      <c r="F584" s="2" t="s">
        <v>1830</v>
      </c>
      <c r="G584" s="2">
        <v>5</v>
      </c>
      <c r="H584" s="2">
        <v>0</v>
      </c>
      <c r="I584" s="1">
        <v>0</v>
      </c>
      <c r="J584" s="3" t="s">
        <v>19</v>
      </c>
      <c r="K584" s="2" t="str">
        <f>J584*15818.54</f>
        <v>0</v>
      </c>
      <c r="L584" s="5"/>
    </row>
    <row r="585" spans="1:12" customHeight="1" ht="105" outlineLevel="6">
      <c r="A585" s="1"/>
      <c r="B585" s="1">
        <v>833367</v>
      </c>
      <c r="C585" s="1" t="s">
        <v>1831</v>
      </c>
      <c r="D585" s="1" t="s">
        <v>1832</v>
      </c>
      <c r="E585" s="2" t="s">
        <v>1833</v>
      </c>
      <c r="F585" s="2" t="s">
        <v>1834</v>
      </c>
      <c r="G585" s="2">
        <v>3</v>
      </c>
      <c r="H585" s="2">
        <v>0</v>
      </c>
      <c r="I585" s="1">
        <v>0</v>
      </c>
      <c r="J585" s="3" t="s">
        <v>19</v>
      </c>
      <c r="K585" s="2" t="str">
        <f>J585*17582.37</f>
        <v>0</v>
      </c>
      <c r="L585" s="5"/>
    </row>
    <row r="586" spans="1:12" customHeight="1" ht="105" outlineLevel="6">
      <c r="A586" s="1"/>
      <c r="B586" s="1">
        <v>833368</v>
      </c>
      <c r="C586" s="1" t="s">
        <v>1835</v>
      </c>
      <c r="D586" s="1" t="s">
        <v>1836</v>
      </c>
      <c r="E586" s="2" t="s">
        <v>1837</v>
      </c>
      <c r="F586" s="2" t="s">
        <v>1838</v>
      </c>
      <c r="G586" s="2">
        <v>3</v>
      </c>
      <c r="H586" s="2">
        <v>0</v>
      </c>
      <c r="I586" s="1">
        <v>0</v>
      </c>
      <c r="J586" s="3" t="s">
        <v>19</v>
      </c>
      <c r="K586" s="2" t="str">
        <f>J586*20018.15</f>
        <v>0</v>
      </c>
      <c r="L586" s="5"/>
    </row>
    <row r="587" spans="1:12" customHeight="1" ht="105" outlineLevel="6">
      <c r="A587" s="1"/>
      <c r="B587" s="1">
        <v>833369</v>
      </c>
      <c r="C587" s="1" t="s">
        <v>1839</v>
      </c>
      <c r="D587" s="1" t="s">
        <v>1840</v>
      </c>
      <c r="E587" s="2" t="s">
        <v>1841</v>
      </c>
      <c r="F587" s="2" t="s">
        <v>1842</v>
      </c>
      <c r="G587" s="2">
        <v>3</v>
      </c>
      <c r="H587" s="2">
        <v>0</v>
      </c>
      <c r="I587" s="1">
        <v>0</v>
      </c>
      <c r="J587" s="3" t="s">
        <v>19</v>
      </c>
      <c r="K587" s="2" t="str">
        <f>J587*19541.22</f>
        <v>0</v>
      </c>
      <c r="L587" s="5"/>
    </row>
    <row r="588" spans="1:12" customHeight="1" ht="105" outlineLevel="6">
      <c r="A588" s="1"/>
      <c r="B588" s="1">
        <v>833374</v>
      </c>
      <c r="C588" s="1" t="s">
        <v>1843</v>
      </c>
      <c r="D588" s="1" t="s">
        <v>1844</v>
      </c>
      <c r="E588" s="2" t="s">
        <v>1845</v>
      </c>
      <c r="F588" s="2" t="s">
        <v>1846</v>
      </c>
      <c r="G588" s="2">
        <v>4</v>
      </c>
      <c r="H588" s="2">
        <v>0</v>
      </c>
      <c r="I588" s="1">
        <v>0</v>
      </c>
      <c r="J588" s="3" t="s">
        <v>19</v>
      </c>
      <c r="K588" s="2" t="str">
        <f>J588*13932.54</f>
        <v>0</v>
      </c>
      <c r="L588" s="5"/>
    </row>
    <row r="589" spans="1:12" customHeight="1" ht="105" outlineLevel="6">
      <c r="A589" s="1"/>
      <c r="B589" s="1">
        <v>833375</v>
      </c>
      <c r="C589" s="1" t="s">
        <v>1847</v>
      </c>
      <c r="D589" s="1" t="s">
        <v>1848</v>
      </c>
      <c r="E589" s="2" t="s">
        <v>1849</v>
      </c>
      <c r="F589" s="2" t="s">
        <v>1850</v>
      </c>
      <c r="G589" s="2">
        <v>1</v>
      </c>
      <c r="H589" s="2">
        <v>0</v>
      </c>
      <c r="I589" s="1">
        <v>0</v>
      </c>
      <c r="J589" s="3" t="s">
        <v>19</v>
      </c>
      <c r="K589" s="2" t="str">
        <f>J589*17176.16</f>
        <v>0</v>
      </c>
      <c r="L589" s="5"/>
    </row>
    <row r="590" spans="1:12" customHeight="1" ht="105" outlineLevel="6">
      <c r="A590" s="1"/>
      <c r="B590" s="1">
        <v>833376</v>
      </c>
      <c r="C590" s="1" t="s">
        <v>1851</v>
      </c>
      <c r="D590" s="1" t="s">
        <v>1852</v>
      </c>
      <c r="E590" s="2" t="s">
        <v>1853</v>
      </c>
      <c r="F590" s="2" t="s">
        <v>1854</v>
      </c>
      <c r="G590" s="2">
        <v>0</v>
      </c>
      <c r="H590" s="2">
        <v>0</v>
      </c>
      <c r="I590" s="1">
        <v>0</v>
      </c>
      <c r="J590" s="3" t="s">
        <v>19</v>
      </c>
      <c r="K590" s="2" t="str">
        <f>J590*21017.66</f>
        <v>0</v>
      </c>
      <c r="L590" s="5"/>
    </row>
    <row r="591" spans="1:12" customHeight="1" ht="105" outlineLevel="6">
      <c r="A591" s="1"/>
      <c r="B591" s="1">
        <v>833377</v>
      </c>
      <c r="C591" s="1" t="s">
        <v>1855</v>
      </c>
      <c r="D591" s="1" t="s">
        <v>1856</v>
      </c>
      <c r="E591" s="2" t="s">
        <v>1857</v>
      </c>
      <c r="F591" s="2" t="s">
        <v>1858</v>
      </c>
      <c r="G591" s="2">
        <v>0</v>
      </c>
      <c r="H591" s="2">
        <v>0</v>
      </c>
      <c r="I591" s="1">
        <v>0</v>
      </c>
      <c r="J591" s="3" t="s">
        <v>19</v>
      </c>
      <c r="K591" s="2" t="str">
        <f>J591*25724.02</f>
        <v>0</v>
      </c>
      <c r="L591" s="5"/>
    </row>
    <row r="592" spans="1:12" customHeight="1" ht="105" outlineLevel="6">
      <c r="A592" s="1"/>
      <c r="B592" s="1">
        <v>839072</v>
      </c>
      <c r="C592" s="1" t="s">
        <v>1859</v>
      </c>
      <c r="D592" s="1" t="s">
        <v>1860</v>
      </c>
      <c r="E592" s="2" t="s">
        <v>1861</v>
      </c>
      <c r="F592" s="2" t="s">
        <v>1862</v>
      </c>
      <c r="G592" s="2">
        <v>2</v>
      </c>
      <c r="H592" s="2">
        <v>0</v>
      </c>
      <c r="I592" s="1">
        <v>0</v>
      </c>
      <c r="J592" s="3" t="s">
        <v>19</v>
      </c>
      <c r="K592" s="2" t="str">
        <f>J592*14004.02</f>
        <v>0</v>
      </c>
      <c r="L592" s="5"/>
    </row>
    <row r="593" spans="1:12" customHeight="1" ht="105" outlineLevel="6">
      <c r="A593" s="1"/>
      <c r="B593" s="1">
        <v>839073</v>
      </c>
      <c r="C593" s="1" t="s">
        <v>1863</v>
      </c>
      <c r="D593" s="1" t="s">
        <v>1864</v>
      </c>
      <c r="E593" s="2" t="s">
        <v>1865</v>
      </c>
      <c r="F593" s="2" t="s">
        <v>1866</v>
      </c>
      <c r="G593" s="2">
        <v>1</v>
      </c>
      <c r="H593" s="2">
        <v>0</v>
      </c>
      <c r="I593" s="1">
        <v>0</v>
      </c>
      <c r="J593" s="3" t="s">
        <v>19</v>
      </c>
      <c r="K593" s="2" t="str">
        <f>J593*17373.92</f>
        <v>0</v>
      </c>
      <c r="L593" s="5"/>
    </row>
    <row r="594" spans="1:12" customHeight="1" ht="105" outlineLevel="6">
      <c r="A594" s="1"/>
      <c r="B594" s="1">
        <v>839074</v>
      </c>
      <c r="C594" s="1" t="s">
        <v>1867</v>
      </c>
      <c r="D594" s="1" t="s">
        <v>1868</v>
      </c>
      <c r="E594" s="2" t="s">
        <v>1869</v>
      </c>
      <c r="F594" s="2" t="s">
        <v>1870</v>
      </c>
      <c r="G594" s="2">
        <v>1</v>
      </c>
      <c r="H594" s="2">
        <v>0</v>
      </c>
      <c r="I594" s="1">
        <v>0</v>
      </c>
      <c r="J594" s="3" t="s">
        <v>19</v>
      </c>
      <c r="K594" s="2" t="str">
        <f>J594*22153.09</f>
        <v>0</v>
      </c>
      <c r="L594" s="5"/>
    </row>
    <row r="595" spans="1:12" customHeight="1" ht="105" outlineLevel="6">
      <c r="A595" s="1"/>
      <c r="B595" s="1">
        <v>839075</v>
      </c>
      <c r="C595" s="1" t="s">
        <v>1871</v>
      </c>
      <c r="D595" s="1" t="s">
        <v>1872</v>
      </c>
      <c r="E595" s="2" t="s">
        <v>1873</v>
      </c>
      <c r="F595" s="2" t="s">
        <v>1854</v>
      </c>
      <c r="G595" s="2">
        <v>2</v>
      </c>
      <c r="H595" s="2">
        <v>0</v>
      </c>
      <c r="I595" s="1">
        <v>0</v>
      </c>
      <c r="J595" s="3" t="s">
        <v>19</v>
      </c>
      <c r="K595" s="2" t="str">
        <f>J595*21017.66</f>
        <v>0</v>
      </c>
      <c r="L595" s="5"/>
    </row>
    <row r="596" spans="1:12" customHeight="1" ht="105" outlineLevel="6">
      <c r="A596" s="1"/>
      <c r="B596" s="1">
        <v>839830</v>
      </c>
      <c r="C596" s="1" t="s">
        <v>1874</v>
      </c>
      <c r="D596" s="1" t="s">
        <v>1875</v>
      </c>
      <c r="E596" s="2" t="s">
        <v>1876</v>
      </c>
      <c r="F596" s="2" t="s">
        <v>1877</v>
      </c>
      <c r="G596" s="2">
        <v>0</v>
      </c>
      <c r="H596" s="2">
        <v>0</v>
      </c>
      <c r="I596" s="1">
        <v>0</v>
      </c>
      <c r="J596" s="3" t="s">
        <v>19</v>
      </c>
      <c r="K596" s="2" t="str">
        <f>J596*16134.34</f>
        <v>0</v>
      </c>
      <c r="L596" s="5"/>
    </row>
    <row r="597" spans="1:12" customHeight="1" ht="105" outlineLevel="6">
      <c r="A597" s="1"/>
      <c r="B597" s="1">
        <v>839831</v>
      </c>
      <c r="C597" s="1" t="s">
        <v>1878</v>
      </c>
      <c r="D597" s="1" t="s">
        <v>1879</v>
      </c>
      <c r="E597" s="2" t="s">
        <v>1880</v>
      </c>
      <c r="F597" s="2" t="s">
        <v>1881</v>
      </c>
      <c r="G597" s="2">
        <v>0</v>
      </c>
      <c r="H597" s="2">
        <v>0</v>
      </c>
      <c r="I597" s="1">
        <v>0</v>
      </c>
      <c r="J597" s="3" t="s">
        <v>19</v>
      </c>
      <c r="K597" s="2" t="str">
        <f>J597*33666.57</f>
        <v>0</v>
      </c>
      <c r="L597" s="5"/>
    </row>
    <row r="598" spans="1:12" customHeight="1" ht="105" outlineLevel="6">
      <c r="A598" s="1"/>
      <c r="B598" s="1">
        <v>858833</v>
      </c>
      <c r="C598" s="1" t="s">
        <v>1882</v>
      </c>
      <c r="D598" s="1" t="s">
        <v>1883</v>
      </c>
      <c r="E598" s="2" t="s">
        <v>1884</v>
      </c>
      <c r="F598" s="2" t="s">
        <v>1885</v>
      </c>
      <c r="G598" s="2">
        <v>2</v>
      </c>
      <c r="H598" s="2">
        <v>0</v>
      </c>
      <c r="I598" s="1">
        <v>0</v>
      </c>
      <c r="J598" s="3" t="s">
        <v>19</v>
      </c>
      <c r="K598" s="2" t="str">
        <f>J598*18572.97</f>
        <v>0</v>
      </c>
      <c r="L598" s="5"/>
    </row>
    <row r="599" spans="1:12" customHeight="1" ht="105" outlineLevel="6">
      <c r="A599" s="1"/>
      <c r="B599" s="1">
        <v>858834</v>
      </c>
      <c r="C599" s="1" t="s">
        <v>1886</v>
      </c>
      <c r="D599" s="1" t="s">
        <v>1887</v>
      </c>
      <c r="E599" s="2" t="s">
        <v>1888</v>
      </c>
      <c r="F599" s="2" t="s">
        <v>1889</v>
      </c>
      <c r="G599" s="2">
        <v>2</v>
      </c>
      <c r="H599" s="2">
        <v>0</v>
      </c>
      <c r="I599" s="1">
        <v>0</v>
      </c>
      <c r="J599" s="3" t="s">
        <v>19</v>
      </c>
      <c r="K599" s="2" t="str">
        <f>J599*12838.16</f>
        <v>0</v>
      </c>
      <c r="L599" s="5"/>
    </row>
    <row r="600" spans="1:12" customHeight="1" ht="105" outlineLevel="6">
      <c r="A600" s="1"/>
      <c r="B600" s="1">
        <v>858835</v>
      </c>
      <c r="C600" s="1" t="s">
        <v>1890</v>
      </c>
      <c r="D600" s="1" t="s">
        <v>1891</v>
      </c>
      <c r="E600" s="2" t="s">
        <v>1892</v>
      </c>
      <c r="F600" s="2" t="s">
        <v>1893</v>
      </c>
      <c r="G600" s="2">
        <v>3</v>
      </c>
      <c r="H600" s="2">
        <v>0</v>
      </c>
      <c r="I600" s="1">
        <v>0</v>
      </c>
      <c r="J600" s="3" t="s">
        <v>19</v>
      </c>
      <c r="K600" s="2" t="str">
        <f>J600*14910.86</f>
        <v>0</v>
      </c>
      <c r="L600" s="5"/>
    </row>
    <row r="601" spans="1:12" customHeight="1" ht="105" outlineLevel="6">
      <c r="A601" s="1"/>
      <c r="B601" s="1">
        <v>858836</v>
      </c>
      <c r="C601" s="1" t="s">
        <v>1894</v>
      </c>
      <c r="D601" s="1" t="s">
        <v>1895</v>
      </c>
      <c r="E601" s="2" t="s">
        <v>1896</v>
      </c>
      <c r="F601" s="2" t="s">
        <v>1897</v>
      </c>
      <c r="G601" s="2">
        <v>2</v>
      </c>
      <c r="H601" s="2">
        <v>0</v>
      </c>
      <c r="I601" s="1">
        <v>0</v>
      </c>
      <c r="J601" s="3" t="s">
        <v>19</v>
      </c>
      <c r="K601" s="2" t="str">
        <f>J601*16058.44</f>
        <v>0</v>
      </c>
      <c r="L601" s="5"/>
    </row>
    <row r="602" spans="1:12" customHeight="1" ht="105" outlineLevel="6">
      <c r="A602" s="1"/>
      <c r="B602" s="1">
        <v>858837</v>
      </c>
      <c r="C602" s="1" t="s">
        <v>1898</v>
      </c>
      <c r="D602" s="1" t="s">
        <v>1899</v>
      </c>
      <c r="E602" s="2" t="s">
        <v>1900</v>
      </c>
      <c r="F602" s="2" t="s">
        <v>1901</v>
      </c>
      <c r="G602" s="2">
        <v>2</v>
      </c>
      <c r="H602" s="2">
        <v>0</v>
      </c>
      <c r="I602" s="1">
        <v>0</v>
      </c>
      <c r="J602" s="3" t="s">
        <v>19</v>
      </c>
      <c r="K602" s="2" t="str">
        <f>J602*20717.11</f>
        <v>0</v>
      </c>
      <c r="L602" s="5"/>
    </row>
    <row r="603" spans="1:12" customHeight="1" ht="105" outlineLevel="6">
      <c r="A603" s="1"/>
      <c r="B603" s="1">
        <v>858838</v>
      </c>
      <c r="C603" s="1" t="s">
        <v>1902</v>
      </c>
      <c r="D603" s="1" t="s">
        <v>1903</v>
      </c>
      <c r="E603" s="2" t="s">
        <v>1904</v>
      </c>
      <c r="F603" s="2" t="s">
        <v>1905</v>
      </c>
      <c r="G603" s="2">
        <v>2</v>
      </c>
      <c r="H603" s="2">
        <v>0</v>
      </c>
      <c r="I603" s="1">
        <v>0</v>
      </c>
      <c r="J603" s="3" t="s">
        <v>19</v>
      </c>
      <c r="K603" s="2" t="str">
        <f>J603*21907.34</f>
        <v>0</v>
      </c>
      <c r="L603" s="5"/>
    </row>
    <row r="604" spans="1:12" outlineLevel="3">
      <c r="A604" s="9" t="s">
        <v>1906</v>
      </c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5"/>
    </row>
    <row r="605" spans="1:12" customHeight="1" ht="105" outlineLevel="5">
      <c r="A605" s="1"/>
      <c r="B605" s="1">
        <v>956599</v>
      </c>
      <c r="C605" s="1" t="s">
        <v>1907</v>
      </c>
      <c r="D605" s="1" t="s">
        <v>1908</v>
      </c>
      <c r="E605" s="2" t="s">
        <v>1909</v>
      </c>
      <c r="F605" s="2" t="s">
        <v>1910</v>
      </c>
      <c r="G605" s="2">
        <v>1</v>
      </c>
      <c r="H605" s="2">
        <v>0</v>
      </c>
      <c r="I605" s="1">
        <v>0</v>
      </c>
      <c r="J605" s="3" t="s">
        <v>19</v>
      </c>
      <c r="K605" s="2" t="str">
        <f>J605*12044.75</f>
        <v>0</v>
      </c>
      <c r="L605" s="5"/>
    </row>
    <row r="606" spans="1:12" customHeight="1" ht="105" outlineLevel="5">
      <c r="A606" s="1"/>
      <c r="B606" s="1">
        <v>956600</v>
      </c>
      <c r="C606" s="1" t="s">
        <v>1911</v>
      </c>
      <c r="D606" s="1" t="s">
        <v>1912</v>
      </c>
      <c r="E606" s="2" t="s">
        <v>1913</v>
      </c>
      <c r="F606" s="2" t="s">
        <v>1914</v>
      </c>
      <c r="G606" s="2">
        <v>1</v>
      </c>
      <c r="H606" s="2">
        <v>0</v>
      </c>
      <c r="I606" s="1">
        <v>0</v>
      </c>
      <c r="J606" s="3" t="s">
        <v>19</v>
      </c>
      <c r="K606" s="2" t="str">
        <f>J606*14116.31</f>
        <v>0</v>
      </c>
      <c r="L606" s="5"/>
    </row>
    <row r="607" spans="1:12" customHeight="1" ht="105" outlineLevel="5">
      <c r="A607" s="1"/>
      <c r="B607" s="1">
        <v>956601</v>
      </c>
      <c r="C607" s="1" t="s">
        <v>1915</v>
      </c>
      <c r="D607" s="1" t="s">
        <v>1916</v>
      </c>
      <c r="E607" s="2" t="s">
        <v>1917</v>
      </c>
      <c r="F607" s="2" t="s">
        <v>1918</v>
      </c>
      <c r="G607" s="2">
        <v>1</v>
      </c>
      <c r="H607" s="2">
        <v>0</v>
      </c>
      <c r="I607" s="1">
        <v>0</v>
      </c>
      <c r="J607" s="3" t="s">
        <v>19</v>
      </c>
      <c r="K607" s="2" t="str">
        <f>J607*17286.29</f>
        <v>0</v>
      </c>
      <c r="L607" s="5"/>
    </row>
    <row r="608" spans="1:12" customHeight="1" ht="105" outlineLevel="5">
      <c r="A608" s="1"/>
      <c r="B608" s="1">
        <v>956602</v>
      </c>
      <c r="C608" s="1" t="s">
        <v>1919</v>
      </c>
      <c r="D608" s="1" t="s">
        <v>1920</v>
      </c>
      <c r="E608" s="2" t="s">
        <v>1921</v>
      </c>
      <c r="F608" s="2" t="s">
        <v>1922</v>
      </c>
      <c r="G608" s="2">
        <v>1</v>
      </c>
      <c r="H608" s="2">
        <v>0</v>
      </c>
      <c r="I608" s="1">
        <v>0</v>
      </c>
      <c r="J608" s="3" t="s">
        <v>19</v>
      </c>
      <c r="K608" s="2" t="str">
        <f>J608*21097.25</f>
        <v>0</v>
      </c>
      <c r="L608" s="5"/>
    </row>
    <row r="609" spans="1:12" customHeight="1" ht="105" outlineLevel="5">
      <c r="A609" s="1"/>
      <c r="B609" s="1">
        <v>956603</v>
      </c>
      <c r="C609" s="1" t="s">
        <v>1923</v>
      </c>
      <c r="D609" s="1" t="s">
        <v>1924</v>
      </c>
      <c r="E609" s="2" t="s">
        <v>1925</v>
      </c>
      <c r="F609" s="2" t="s">
        <v>1926</v>
      </c>
      <c r="G609" s="2">
        <v>4</v>
      </c>
      <c r="H609" s="2">
        <v>0</v>
      </c>
      <c r="I609" s="1">
        <v>0</v>
      </c>
      <c r="J609" s="3" t="s">
        <v>19</v>
      </c>
      <c r="K609" s="2" t="str">
        <f>J609*10324.69</f>
        <v>0</v>
      </c>
      <c r="L609" s="5"/>
    </row>
    <row r="610" spans="1:12" customHeight="1" ht="105" outlineLevel="5">
      <c r="A610" s="1"/>
      <c r="B610" s="1">
        <v>956604</v>
      </c>
      <c r="C610" s="1" t="s">
        <v>1927</v>
      </c>
      <c r="D610" s="1" t="s">
        <v>1928</v>
      </c>
      <c r="E610" s="2" t="s">
        <v>1929</v>
      </c>
      <c r="F610" s="2" t="s">
        <v>1930</v>
      </c>
      <c r="G610" s="2">
        <v>3</v>
      </c>
      <c r="H610" s="2">
        <v>0</v>
      </c>
      <c r="I610" s="1">
        <v>0</v>
      </c>
      <c r="J610" s="3" t="s">
        <v>19</v>
      </c>
      <c r="K610" s="2" t="str">
        <f>J610*12337.64</f>
        <v>0</v>
      </c>
      <c r="L610" s="5"/>
    </row>
    <row r="611" spans="1:12" customHeight="1" ht="105" outlineLevel="5">
      <c r="A611" s="1"/>
      <c r="B611" s="1">
        <v>956605</v>
      </c>
      <c r="C611" s="1" t="s">
        <v>1931</v>
      </c>
      <c r="D611" s="1" t="s">
        <v>1932</v>
      </c>
      <c r="E611" s="2" t="s">
        <v>1933</v>
      </c>
      <c r="F611" s="2" t="s">
        <v>1934</v>
      </c>
      <c r="G611" s="2">
        <v>2</v>
      </c>
      <c r="H611" s="2">
        <v>0</v>
      </c>
      <c r="I611" s="1">
        <v>0</v>
      </c>
      <c r="J611" s="3" t="s">
        <v>19</v>
      </c>
      <c r="K611" s="2" t="str">
        <f>J611*15884.14</f>
        <v>0</v>
      </c>
      <c r="L611" s="5"/>
    </row>
    <row r="612" spans="1:12" customHeight="1" ht="105" outlineLevel="5">
      <c r="A612" s="1"/>
      <c r="B612" s="1">
        <v>956606</v>
      </c>
      <c r="C612" s="1" t="s">
        <v>1935</v>
      </c>
      <c r="D612" s="1" t="s">
        <v>1936</v>
      </c>
      <c r="E612" s="2" t="s">
        <v>1937</v>
      </c>
      <c r="F612" s="2" t="s">
        <v>1938</v>
      </c>
      <c r="G612" s="2">
        <v>1</v>
      </c>
      <c r="H612" s="2">
        <v>0</v>
      </c>
      <c r="I612" s="1">
        <v>0</v>
      </c>
      <c r="J612" s="3" t="s">
        <v>19</v>
      </c>
      <c r="K612" s="2" t="str">
        <f>J612*19482.62</f>
        <v>0</v>
      </c>
      <c r="L612" s="5"/>
    </row>
    <row r="613" spans="1:12" outlineLevel="5">
      <c r="A613" s="1"/>
      <c r="B613" s="1">
        <v>956607</v>
      </c>
      <c r="C613" s="1" t="s">
        <v>1939</v>
      </c>
      <c r="D613" s="1" t="s">
        <v>1940</v>
      </c>
      <c r="E613" s="2" t="s">
        <v>1941</v>
      </c>
      <c r="F613" s="2" t="s">
        <v>1942</v>
      </c>
      <c r="G613" s="2">
        <v>1</v>
      </c>
      <c r="H613" s="2">
        <v>0</v>
      </c>
      <c r="I613" s="1">
        <v>0</v>
      </c>
      <c r="J613" s="3" t="s">
        <v>19</v>
      </c>
      <c r="K613" s="2" t="str">
        <f>J613*22800.96</f>
        <v>0</v>
      </c>
      <c r="L613" s="5"/>
    </row>
    <row r="614" spans="1:12" outlineLevel="5">
      <c r="A614" s="1"/>
      <c r="B614" s="1">
        <v>956609</v>
      </c>
      <c r="C614" s="1" t="s">
        <v>1943</v>
      </c>
      <c r="D614" s="1" t="s">
        <v>1944</v>
      </c>
      <c r="E614" s="2" t="s">
        <v>1945</v>
      </c>
      <c r="F614" s="2" t="s">
        <v>1946</v>
      </c>
      <c r="G614" s="2">
        <v>5</v>
      </c>
      <c r="H614" s="2">
        <v>0</v>
      </c>
      <c r="I614" s="1">
        <v>0</v>
      </c>
      <c r="J614" s="3" t="s">
        <v>19</v>
      </c>
      <c r="K614" s="2" t="str">
        <f>J614*10379.56</f>
        <v>0</v>
      </c>
      <c r="L614" s="5"/>
    </row>
    <row r="615" spans="1:12" customHeight="1" ht="105" outlineLevel="5">
      <c r="A615" s="1"/>
      <c r="B615" s="1">
        <v>956610</v>
      </c>
      <c r="C615" s="1" t="s">
        <v>1947</v>
      </c>
      <c r="D615" s="1" t="s">
        <v>1948</v>
      </c>
      <c r="E615" s="2" t="s">
        <v>1925</v>
      </c>
      <c r="F615" s="2" t="s">
        <v>1949</v>
      </c>
      <c r="G615" s="2">
        <v>5</v>
      </c>
      <c r="H615" s="2">
        <v>0</v>
      </c>
      <c r="I615" s="1">
        <v>0</v>
      </c>
      <c r="J615" s="3" t="s">
        <v>19</v>
      </c>
      <c r="K615" s="2" t="str">
        <f>J615*11118.90</f>
        <v>0</v>
      </c>
      <c r="L615" s="5"/>
    </row>
    <row r="616" spans="1:12" customHeight="1" ht="105" outlineLevel="5">
      <c r="A616" s="1"/>
      <c r="B616" s="1">
        <v>956611</v>
      </c>
      <c r="C616" s="1" t="s">
        <v>1950</v>
      </c>
      <c r="D616" s="1" t="s">
        <v>1951</v>
      </c>
      <c r="E616" s="2" t="s">
        <v>1929</v>
      </c>
      <c r="F616" s="2" t="s">
        <v>1952</v>
      </c>
      <c r="G616" s="2">
        <v>5</v>
      </c>
      <c r="H616" s="2">
        <v>0</v>
      </c>
      <c r="I616" s="1">
        <v>0</v>
      </c>
      <c r="J616" s="3" t="s">
        <v>19</v>
      </c>
      <c r="K616" s="2" t="str">
        <f>J616*13131.85</f>
        <v>0</v>
      </c>
      <c r="L616" s="5"/>
    </row>
    <row r="617" spans="1:12" customHeight="1" ht="105" outlineLevel="5">
      <c r="A617" s="1"/>
      <c r="B617" s="1">
        <v>956612</v>
      </c>
      <c r="C617" s="1" t="s">
        <v>1953</v>
      </c>
      <c r="D617" s="1" t="s">
        <v>1954</v>
      </c>
      <c r="E617" s="2" t="s">
        <v>1933</v>
      </c>
      <c r="F617" s="2" t="s">
        <v>1955</v>
      </c>
      <c r="G617" s="2">
        <v>3</v>
      </c>
      <c r="H617" s="2">
        <v>0</v>
      </c>
      <c r="I617" s="1">
        <v>0</v>
      </c>
      <c r="J617" s="3" t="s">
        <v>19</v>
      </c>
      <c r="K617" s="2" t="str">
        <f>J617*16675.46</f>
        <v>0</v>
      </c>
      <c r="L617" s="5"/>
    </row>
    <row r="618" spans="1:12" customHeight="1" ht="105" outlineLevel="5">
      <c r="A618" s="1"/>
      <c r="B618" s="1">
        <v>956613</v>
      </c>
      <c r="C618" s="1" t="s">
        <v>1956</v>
      </c>
      <c r="D618" s="1" t="s">
        <v>1957</v>
      </c>
      <c r="E618" s="2" t="s">
        <v>1937</v>
      </c>
      <c r="F618" s="2" t="s">
        <v>1958</v>
      </c>
      <c r="G618" s="2">
        <v>2</v>
      </c>
      <c r="H618" s="2">
        <v>0</v>
      </c>
      <c r="I618" s="1">
        <v>0</v>
      </c>
      <c r="J618" s="3" t="s">
        <v>19</v>
      </c>
      <c r="K618" s="2" t="str">
        <f>J618*20276.82</f>
        <v>0</v>
      </c>
      <c r="L618" s="5"/>
    </row>
    <row r="619" spans="1:12" customHeight="1" ht="105" outlineLevel="5">
      <c r="A619" s="1"/>
      <c r="B619" s="1">
        <v>956614</v>
      </c>
      <c r="C619" s="1" t="s">
        <v>1959</v>
      </c>
      <c r="D619" s="1" t="s">
        <v>1960</v>
      </c>
      <c r="E619" s="2" t="s">
        <v>1941</v>
      </c>
      <c r="F619" s="2" t="s">
        <v>1961</v>
      </c>
      <c r="G619" s="2">
        <v>1</v>
      </c>
      <c r="H619" s="2">
        <v>0</v>
      </c>
      <c r="I619" s="1">
        <v>0</v>
      </c>
      <c r="J619" s="3" t="s">
        <v>19</v>
      </c>
      <c r="K619" s="2" t="str">
        <f>J619*23595.16</f>
        <v>0</v>
      </c>
      <c r="L619" s="5"/>
    </row>
    <row r="620" spans="1:12" outlineLevel="5">
      <c r="A620" s="1"/>
      <c r="B620" s="1">
        <v>956615</v>
      </c>
      <c r="C620" s="1" t="s">
        <v>1962</v>
      </c>
      <c r="D620" s="1" t="s">
        <v>1963</v>
      </c>
      <c r="E620" s="2" t="s">
        <v>1964</v>
      </c>
      <c r="F620" s="2" t="s">
        <v>1965</v>
      </c>
      <c r="G620" s="2">
        <v>0</v>
      </c>
      <c r="H620" s="2">
        <v>0</v>
      </c>
      <c r="I620" s="1">
        <v>0</v>
      </c>
      <c r="J620" s="3" t="s">
        <v>19</v>
      </c>
      <c r="K620" s="2" t="str">
        <f>J620*9920.37</f>
        <v>0</v>
      </c>
      <c r="L620" s="5"/>
    </row>
    <row r="621" spans="1:12" customHeight="1" ht="105" outlineLevel="5">
      <c r="A621" s="1"/>
      <c r="B621" s="1">
        <v>956616</v>
      </c>
      <c r="C621" s="1" t="s">
        <v>1966</v>
      </c>
      <c r="D621" s="1" t="s">
        <v>1967</v>
      </c>
      <c r="E621" s="2" t="s">
        <v>1968</v>
      </c>
      <c r="F621" s="2" t="s">
        <v>1969</v>
      </c>
      <c r="G621" s="2">
        <v>3</v>
      </c>
      <c r="H621" s="2">
        <v>0</v>
      </c>
      <c r="I621" s="1">
        <v>0</v>
      </c>
      <c r="J621" s="3" t="s">
        <v>19</v>
      </c>
      <c r="K621" s="2" t="str">
        <f>J621*12138.37</f>
        <v>0</v>
      </c>
      <c r="L621" s="5"/>
    </row>
    <row r="622" spans="1:12" customHeight="1" ht="105" outlineLevel="5">
      <c r="A622" s="1"/>
      <c r="B622" s="1">
        <v>956617</v>
      </c>
      <c r="C622" s="1" t="s">
        <v>1970</v>
      </c>
      <c r="D622" s="1" t="s">
        <v>1971</v>
      </c>
      <c r="E622" s="2" t="s">
        <v>1972</v>
      </c>
      <c r="F622" s="2" t="s">
        <v>1973</v>
      </c>
      <c r="G622" s="2">
        <v>3</v>
      </c>
      <c r="H622" s="2">
        <v>0</v>
      </c>
      <c r="I622" s="1">
        <v>0</v>
      </c>
      <c r="J622" s="3" t="s">
        <v>19</v>
      </c>
      <c r="K622" s="2" t="str">
        <f>J622*14789.58</f>
        <v>0</v>
      </c>
      <c r="L622" s="5"/>
    </row>
    <row r="623" spans="1:12" customHeight="1" ht="105" outlineLevel="5">
      <c r="A623" s="1"/>
      <c r="B623" s="1">
        <v>956618</v>
      </c>
      <c r="C623" s="1" t="s">
        <v>1974</v>
      </c>
      <c r="D623" s="1" t="s">
        <v>1975</v>
      </c>
      <c r="E623" s="2" t="s">
        <v>1976</v>
      </c>
      <c r="F623" s="2" t="s">
        <v>1977</v>
      </c>
      <c r="G623" s="2">
        <v>2</v>
      </c>
      <c r="H623" s="2">
        <v>0</v>
      </c>
      <c r="I623" s="1">
        <v>0</v>
      </c>
      <c r="J623" s="3" t="s">
        <v>19</v>
      </c>
      <c r="K623" s="2" t="str">
        <f>J623*17810.45</f>
        <v>0</v>
      </c>
      <c r="L623" s="5"/>
    </row>
    <row r="624" spans="1:12" customHeight="1" ht="105" outlineLevel="5">
      <c r="A624" s="1"/>
      <c r="B624" s="1">
        <v>956619</v>
      </c>
      <c r="C624" s="1" t="s">
        <v>1978</v>
      </c>
      <c r="D624" s="1" t="s">
        <v>1979</v>
      </c>
      <c r="E624" s="2" t="s">
        <v>1980</v>
      </c>
      <c r="F624" s="2" t="s">
        <v>1981</v>
      </c>
      <c r="G624" s="2">
        <v>1</v>
      </c>
      <c r="H624" s="2">
        <v>0</v>
      </c>
      <c r="I624" s="1">
        <v>0</v>
      </c>
      <c r="J624" s="3" t="s">
        <v>19</v>
      </c>
      <c r="K624" s="2" t="str">
        <f>J624*21639.97</f>
        <v>0</v>
      </c>
      <c r="L624" s="5"/>
    </row>
    <row r="625" spans="1:12" outlineLevel="3">
      <c r="A625" s="9" t="s">
        <v>1982</v>
      </c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5"/>
    </row>
    <row r="626" spans="1:12" outlineLevel="4">
      <c r="A626" s="10" t="s">
        <v>1983</v>
      </c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5"/>
    </row>
    <row r="627" spans="1:12" outlineLevel="6">
      <c r="A627" s="1"/>
      <c r="B627" s="1">
        <v>958529</v>
      </c>
      <c r="C627" s="1" t="s">
        <v>1984</v>
      </c>
      <c r="D627" s="1">
        <v>89093</v>
      </c>
      <c r="E627" s="2" t="s">
        <v>1985</v>
      </c>
      <c r="F627" s="2" t="s">
        <v>1986</v>
      </c>
      <c r="G627" s="2">
        <v>0</v>
      </c>
      <c r="H627" s="2">
        <v>0</v>
      </c>
      <c r="I627" s="1">
        <v>0</v>
      </c>
      <c r="J627" s="3" t="s">
        <v>19</v>
      </c>
      <c r="K627" s="2" t="str">
        <f>J627*17927.00</f>
        <v>0</v>
      </c>
      <c r="L627" s="5"/>
    </row>
    <row r="628" spans="1:12" outlineLevel="6">
      <c r="A628" s="1"/>
      <c r="B628" s="1">
        <v>958530</v>
      </c>
      <c r="C628" s="1" t="s">
        <v>1987</v>
      </c>
      <c r="D628" s="1">
        <v>96684</v>
      </c>
      <c r="E628" s="2" t="s">
        <v>1988</v>
      </c>
      <c r="F628" s="2" t="s">
        <v>1989</v>
      </c>
      <c r="G628" s="2">
        <v>0</v>
      </c>
      <c r="H628" s="2">
        <v>0</v>
      </c>
      <c r="I628" s="1">
        <v>0</v>
      </c>
      <c r="J628" s="3" t="s">
        <v>19</v>
      </c>
      <c r="K628" s="2" t="str">
        <f>J628*21125.00</f>
        <v>0</v>
      </c>
      <c r="L628" s="5"/>
    </row>
    <row r="629" spans="1:12" outlineLevel="6">
      <c r="A629" s="1"/>
      <c r="B629" s="1">
        <v>958531</v>
      </c>
      <c r="C629" s="1" t="s">
        <v>1990</v>
      </c>
      <c r="D629" s="1">
        <v>25185</v>
      </c>
      <c r="E629" s="2" t="s">
        <v>1991</v>
      </c>
      <c r="F629" s="2" t="s">
        <v>1992</v>
      </c>
      <c r="G629" s="2">
        <v>0</v>
      </c>
      <c r="H629" s="2">
        <v>0</v>
      </c>
      <c r="I629" s="1">
        <v>0</v>
      </c>
      <c r="J629" s="3" t="s">
        <v>19</v>
      </c>
      <c r="K629" s="2" t="str">
        <f>J629*22612.00</f>
        <v>0</v>
      </c>
      <c r="L629" s="5"/>
    </row>
    <row r="630" spans="1:12" outlineLevel="6">
      <c r="A630" s="1"/>
      <c r="B630" s="1">
        <v>958532</v>
      </c>
      <c r="C630" s="1" t="s">
        <v>1993</v>
      </c>
      <c r="D630" s="1">
        <v>10501</v>
      </c>
      <c r="E630" s="2" t="s">
        <v>1994</v>
      </c>
      <c r="F630" s="2" t="s">
        <v>1995</v>
      </c>
      <c r="G630" s="2">
        <v>0</v>
      </c>
      <c r="H630" s="2">
        <v>0</v>
      </c>
      <c r="I630" s="1">
        <v>0</v>
      </c>
      <c r="J630" s="3" t="s">
        <v>19</v>
      </c>
      <c r="K630" s="2" t="str">
        <f>J630*19224.00</f>
        <v>0</v>
      </c>
      <c r="L630" s="5"/>
    </row>
    <row r="631" spans="1:12" outlineLevel="6">
      <c r="A631" s="1"/>
      <c r="B631" s="1">
        <v>958533</v>
      </c>
      <c r="C631" s="1" t="s">
        <v>1996</v>
      </c>
      <c r="D631" s="1">
        <v>85390</v>
      </c>
      <c r="E631" s="2" t="s">
        <v>1997</v>
      </c>
      <c r="F631" s="2" t="s">
        <v>1998</v>
      </c>
      <c r="G631" s="2">
        <v>0</v>
      </c>
      <c r="H631" s="2">
        <v>0</v>
      </c>
      <c r="I631" s="1">
        <v>0</v>
      </c>
      <c r="J631" s="3" t="s">
        <v>19</v>
      </c>
      <c r="K631" s="2" t="str">
        <f>J631*22233.00</f>
        <v>0</v>
      </c>
      <c r="L631" s="5"/>
    </row>
    <row r="632" spans="1:12" outlineLevel="6">
      <c r="A632" s="1"/>
      <c r="B632" s="1">
        <v>958534</v>
      </c>
      <c r="C632" s="1" t="s">
        <v>1999</v>
      </c>
      <c r="D632" s="1">
        <v>43341</v>
      </c>
      <c r="E632" s="2" t="s">
        <v>2000</v>
      </c>
      <c r="F632" s="2" t="s">
        <v>2001</v>
      </c>
      <c r="G632" s="2">
        <v>0</v>
      </c>
      <c r="H632" s="2">
        <v>0</v>
      </c>
      <c r="I632" s="1">
        <v>0</v>
      </c>
      <c r="J632" s="3" t="s">
        <v>19</v>
      </c>
      <c r="K632" s="2" t="str">
        <f>J632*25352.00</f>
        <v>0</v>
      </c>
      <c r="L632" s="5"/>
    </row>
    <row r="633" spans="1:12" outlineLevel="4">
      <c r="A633" s="10" t="s">
        <v>2002</v>
      </c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5"/>
    </row>
    <row r="634" spans="1:12" outlineLevel="6">
      <c r="A634" s="1"/>
      <c r="B634" s="1">
        <v>958535</v>
      </c>
      <c r="C634" s="1" t="s">
        <v>2003</v>
      </c>
      <c r="D634" s="1">
        <v>74584</v>
      </c>
      <c r="E634" s="2" t="s">
        <v>2004</v>
      </c>
      <c r="F634" s="2" t="s">
        <v>2005</v>
      </c>
      <c r="G634" s="2">
        <v>0</v>
      </c>
      <c r="H634" s="2">
        <v>0</v>
      </c>
      <c r="I634" s="1">
        <v>0</v>
      </c>
      <c r="J634" s="3" t="s">
        <v>19</v>
      </c>
      <c r="K634" s="2" t="str">
        <f>J634*9623.00</f>
        <v>0</v>
      </c>
      <c r="L634" s="5"/>
    </row>
    <row r="635" spans="1:12" outlineLevel="6">
      <c r="A635" s="1"/>
      <c r="B635" s="1">
        <v>958536</v>
      </c>
      <c r="C635" s="1" t="s">
        <v>2006</v>
      </c>
      <c r="D635" s="1">
        <v>31198</v>
      </c>
      <c r="E635" s="2" t="s">
        <v>2007</v>
      </c>
      <c r="F635" s="2" t="s">
        <v>2008</v>
      </c>
      <c r="G635" s="2">
        <v>0</v>
      </c>
      <c r="H635" s="2">
        <v>0</v>
      </c>
      <c r="I635" s="1">
        <v>0</v>
      </c>
      <c r="J635" s="3" t="s">
        <v>19</v>
      </c>
      <c r="K635" s="2" t="str">
        <f>J635*10098.00</f>
        <v>0</v>
      </c>
      <c r="L635" s="5"/>
    </row>
    <row r="636" spans="1:12" outlineLevel="6">
      <c r="A636" s="1"/>
      <c r="B636" s="1">
        <v>958537</v>
      </c>
      <c r="C636" s="1" t="s">
        <v>2009</v>
      </c>
      <c r="D636" s="1">
        <v>10720</v>
      </c>
      <c r="E636" s="2" t="s">
        <v>2010</v>
      </c>
      <c r="F636" s="2" t="s">
        <v>2011</v>
      </c>
      <c r="G636" s="2">
        <v>0</v>
      </c>
      <c r="H636" s="2">
        <v>0</v>
      </c>
      <c r="I636" s="1">
        <v>0</v>
      </c>
      <c r="J636" s="3" t="s">
        <v>19</v>
      </c>
      <c r="K636" s="2" t="str">
        <f>J636*11288.00</f>
        <v>0</v>
      </c>
      <c r="L636" s="5"/>
    </row>
    <row r="637" spans="1:12" outlineLevel="6">
      <c r="A637" s="1"/>
      <c r="B637" s="1">
        <v>958538</v>
      </c>
      <c r="C637" s="1" t="s">
        <v>2012</v>
      </c>
      <c r="D637" s="1">
        <v>89173</v>
      </c>
      <c r="E637" s="2" t="s">
        <v>2013</v>
      </c>
      <c r="F637" s="2" t="s">
        <v>2014</v>
      </c>
      <c r="G637" s="2">
        <v>0</v>
      </c>
      <c r="H637" s="2">
        <v>0</v>
      </c>
      <c r="I637" s="1">
        <v>0</v>
      </c>
      <c r="J637" s="3" t="s">
        <v>19</v>
      </c>
      <c r="K637" s="2" t="str">
        <f>J637*12891.00</f>
        <v>0</v>
      </c>
      <c r="L637" s="5"/>
    </row>
    <row r="638" spans="1:12" outlineLevel="6">
      <c r="A638" s="1"/>
      <c r="B638" s="1">
        <v>958539</v>
      </c>
      <c r="C638" s="1" t="s">
        <v>2015</v>
      </c>
      <c r="D638" s="1">
        <v>37238</v>
      </c>
      <c r="E638" s="2" t="s">
        <v>2016</v>
      </c>
      <c r="F638" s="2" t="s">
        <v>2017</v>
      </c>
      <c r="G638" s="2">
        <v>0</v>
      </c>
      <c r="H638" s="2">
        <v>0</v>
      </c>
      <c r="I638" s="1">
        <v>0</v>
      </c>
      <c r="J638" s="3" t="s">
        <v>19</v>
      </c>
      <c r="K638" s="2" t="str">
        <f>J638*18477.00</f>
        <v>0</v>
      </c>
      <c r="L638" s="5"/>
    </row>
    <row r="639" spans="1:12" outlineLevel="6">
      <c r="A639" s="1"/>
      <c r="B639" s="1">
        <v>958540</v>
      </c>
      <c r="C639" s="1" t="s">
        <v>2018</v>
      </c>
      <c r="D639" s="1">
        <v>77471</v>
      </c>
      <c r="E639" s="2" t="s">
        <v>2019</v>
      </c>
      <c r="F639" s="2" t="s">
        <v>2020</v>
      </c>
      <c r="G639" s="2">
        <v>0</v>
      </c>
      <c r="H639" s="2">
        <v>0</v>
      </c>
      <c r="I639" s="1">
        <v>0</v>
      </c>
      <c r="J639" s="3" t="s">
        <v>19</v>
      </c>
      <c r="K639" s="2" t="str">
        <f>J639*22524.00</f>
        <v>0</v>
      </c>
      <c r="L639" s="5"/>
    </row>
    <row r="640" spans="1:12" outlineLevel="6">
      <c r="A640" s="1"/>
      <c r="B640" s="1">
        <v>958541</v>
      </c>
      <c r="C640" s="1" t="s">
        <v>2021</v>
      </c>
      <c r="D640" s="1">
        <v>61478</v>
      </c>
      <c r="E640" s="2" t="s">
        <v>2022</v>
      </c>
      <c r="F640" s="2" t="s">
        <v>2023</v>
      </c>
      <c r="G640" s="2">
        <v>0</v>
      </c>
      <c r="H640" s="2">
        <v>0</v>
      </c>
      <c r="I640" s="1">
        <v>0</v>
      </c>
      <c r="J640" s="3" t="s">
        <v>19</v>
      </c>
      <c r="K640" s="2" t="str">
        <f>J640*11816.00</f>
        <v>0</v>
      </c>
      <c r="L640" s="5"/>
    </row>
    <row r="641" spans="1:12" outlineLevel="6">
      <c r="A641" s="1"/>
      <c r="B641" s="1">
        <v>958542</v>
      </c>
      <c r="C641" s="1" t="s">
        <v>2024</v>
      </c>
      <c r="D641" s="1">
        <v>59578</v>
      </c>
      <c r="E641" s="2" t="s">
        <v>2025</v>
      </c>
      <c r="F641" s="2" t="s">
        <v>2026</v>
      </c>
      <c r="G641" s="2">
        <v>0</v>
      </c>
      <c r="H641" s="2">
        <v>0</v>
      </c>
      <c r="I641" s="1">
        <v>0</v>
      </c>
      <c r="J641" s="3" t="s">
        <v>19</v>
      </c>
      <c r="K641" s="2" t="str">
        <f>J641*14579.00</f>
        <v>0</v>
      </c>
      <c r="L641" s="5"/>
    </row>
    <row r="642" spans="1:12" outlineLevel="6">
      <c r="A642" s="1"/>
      <c r="B642" s="1">
        <v>958543</v>
      </c>
      <c r="C642" s="1" t="s">
        <v>2027</v>
      </c>
      <c r="D642" s="1">
        <v>32906</v>
      </c>
      <c r="E642" s="2" t="s">
        <v>2028</v>
      </c>
      <c r="F642" s="2" t="s">
        <v>2029</v>
      </c>
      <c r="G642" s="2">
        <v>0</v>
      </c>
      <c r="H642" s="2">
        <v>0</v>
      </c>
      <c r="I642" s="1">
        <v>0</v>
      </c>
      <c r="J642" s="3" t="s">
        <v>19</v>
      </c>
      <c r="K642" s="2" t="str">
        <f>J642*19518.00</f>
        <v>0</v>
      </c>
      <c r="L642" s="5"/>
    </row>
    <row r="643" spans="1:12" outlineLevel="6">
      <c r="A643" s="1"/>
      <c r="B643" s="1">
        <v>958544</v>
      </c>
      <c r="C643" s="1" t="s">
        <v>2030</v>
      </c>
      <c r="D643" s="1">
        <v>38974</v>
      </c>
      <c r="E643" s="2" t="s">
        <v>2031</v>
      </c>
      <c r="F643" s="2" t="s">
        <v>2032</v>
      </c>
      <c r="G643" s="2">
        <v>0</v>
      </c>
      <c r="H643" s="2">
        <v>0</v>
      </c>
      <c r="I643" s="1">
        <v>0</v>
      </c>
      <c r="J643" s="3" t="s">
        <v>19</v>
      </c>
      <c r="K643" s="2" t="str">
        <f>J643*19057.00</f>
        <v>0</v>
      </c>
      <c r="L643" s="5"/>
    </row>
    <row r="644" spans="1:12" outlineLevel="6">
      <c r="A644" s="1"/>
      <c r="B644" s="1">
        <v>958545</v>
      </c>
      <c r="C644" s="1" t="s">
        <v>2033</v>
      </c>
      <c r="D644" s="1">
        <v>28410</v>
      </c>
      <c r="E644" s="2" t="s">
        <v>2034</v>
      </c>
      <c r="F644" s="2" t="s">
        <v>2035</v>
      </c>
      <c r="G644" s="2">
        <v>0</v>
      </c>
      <c r="H644" s="2">
        <v>0</v>
      </c>
      <c r="I644" s="1">
        <v>0</v>
      </c>
      <c r="J644" s="3" t="s">
        <v>19</v>
      </c>
      <c r="K644" s="2" t="str">
        <f>J644*23880.00</f>
        <v>0</v>
      </c>
      <c r="L644" s="5"/>
    </row>
    <row r="645" spans="1:12" outlineLevel="6">
      <c r="A645" s="1"/>
      <c r="B645" s="1">
        <v>958546</v>
      </c>
      <c r="C645" s="1" t="s">
        <v>2036</v>
      </c>
      <c r="D645" s="1">
        <v>83595</v>
      </c>
      <c r="E645" s="2" t="s">
        <v>2037</v>
      </c>
      <c r="F645" s="2" t="s">
        <v>2038</v>
      </c>
      <c r="G645" s="2">
        <v>0</v>
      </c>
      <c r="H645" s="2">
        <v>0</v>
      </c>
      <c r="I645" s="1">
        <v>0</v>
      </c>
      <c r="J645" s="3" t="s">
        <v>19</v>
      </c>
      <c r="K645" s="2" t="str">
        <f>J645*23354.00</f>
        <v>0</v>
      </c>
      <c r="L645" s="5"/>
    </row>
    <row r="646" spans="1:12" outlineLevel="6">
      <c r="A646" s="1"/>
      <c r="B646" s="1">
        <v>958547</v>
      </c>
      <c r="C646" s="1" t="s">
        <v>2039</v>
      </c>
      <c r="D646" s="1">
        <v>21728</v>
      </c>
      <c r="E646" s="2" t="s">
        <v>2040</v>
      </c>
      <c r="F646" s="2" t="s">
        <v>2041</v>
      </c>
      <c r="G646" s="2">
        <v>0</v>
      </c>
      <c r="H646" s="2">
        <v>0</v>
      </c>
      <c r="I646" s="1">
        <v>0</v>
      </c>
      <c r="J646" s="3" t="s">
        <v>19</v>
      </c>
      <c r="K646" s="2" t="str">
        <f>J646*12847.00</f>
        <v>0</v>
      </c>
      <c r="L646" s="5"/>
    </row>
    <row r="647" spans="1:12" outlineLevel="6">
      <c r="A647" s="1"/>
      <c r="B647" s="1">
        <v>958548</v>
      </c>
      <c r="C647" s="1" t="s">
        <v>2042</v>
      </c>
      <c r="D647" s="1">
        <v>81499</v>
      </c>
      <c r="E647" s="2" t="s">
        <v>2043</v>
      </c>
      <c r="F647" s="2" t="s">
        <v>2044</v>
      </c>
      <c r="G647" s="2">
        <v>0</v>
      </c>
      <c r="H647" s="2">
        <v>0</v>
      </c>
      <c r="I647" s="1">
        <v>0</v>
      </c>
      <c r="J647" s="3" t="s">
        <v>19</v>
      </c>
      <c r="K647" s="2" t="str">
        <f>J647*15907.00</f>
        <v>0</v>
      </c>
      <c r="L647" s="5"/>
    </row>
    <row r="648" spans="1:12" outlineLevel="6">
      <c r="A648" s="1"/>
      <c r="B648" s="1">
        <v>958549</v>
      </c>
      <c r="C648" s="1" t="s">
        <v>2045</v>
      </c>
      <c r="D648" s="1">
        <v>15499</v>
      </c>
      <c r="E648" s="2" t="s">
        <v>2046</v>
      </c>
      <c r="F648" s="2" t="s">
        <v>2047</v>
      </c>
      <c r="G648" s="2">
        <v>0</v>
      </c>
      <c r="H648" s="2">
        <v>0</v>
      </c>
      <c r="I648" s="1">
        <v>0</v>
      </c>
      <c r="J648" s="3" t="s">
        <v>19</v>
      </c>
      <c r="K648" s="2" t="str">
        <f>J648*14517.00</f>
        <v>0</v>
      </c>
      <c r="L648" s="5"/>
    </row>
    <row r="649" spans="1:12" outlineLevel="6">
      <c r="A649" s="1"/>
      <c r="B649" s="1">
        <v>958550</v>
      </c>
      <c r="C649" s="1" t="s">
        <v>2048</v>
      </c>
      <c r="D649" s="1">
        <v>24874</v>
      </c>
      <c r="E649" s="2" t="s">
        <v>2049</v>
      </c>
      <c r="F649" s="2" t="s">
        <v>2050</v>
      </c>
      <c r="G649" s="2">
        <v>0</v>
      </c>
      <c r="H649" s="2">
        <v>0</v>
      </c>
      <c r="I649" s="1">
        <v>0</v>
      </c>
      <c r="J649" s="3" t="s">
        <v>19</v>
      </c>
      <c r="K649" s="2" t="str">
        <f>J649*18245.00</f>
        <v>0</v>
      </c>
      <c r="L649" s="5"/>
    </row>
    <row r="650" spans="1:12" outlineLevel="6">
      <c r="A650" s="1"/>
      <c r="B650" s="1">
        <v>958551</v>
      </c>
      <c r="C650" s="1" t="s">
        <v>2051</v>
      </c>
      <c r="D650" s="1">
        <v>41798</v>
      </c>
      <c r="E650" s="2" t="s">
        <v>2052</v>
      </c>
      <c r="F650" s="2" t="s">
        <v>2053</v>
      </c>
      <c r="G650" s="2">
        <v>0</v>
      </c>
      <c r="H650" s="2">
        <v>0</v>
      </c>
      <c r="I650" s="1">
        <v>0</v>
      </c>
      <c r="J650" s="3" t="s">
        <v>19</v>
      </c>
      <c r="K650" s="2" t="str">
        <f>J650*16659.00</f>
        <v>0</v>
      </c>
      <c r="L650" s="5"/>
    </row>
    <row r="651" spans="1:12" outlineLevel="6">
      <c r="A651" s="1"/>
      <c r="B651" s="1">
        <v>958552</v>
      </c>
      <c r="C651" s="1" t="s">
        <v>2054</v>
      </c>
      <c r="D651" s="1">
        <v>73277</v>
      </c>
      <c r="E651" s="2" t="s">
        <v>2055</v>
      </c>
      <c r="F651" s="2" t="s">
        <v>2056</v>
      </c>
      <c r="G651" s="2">
        <v>0</v>
      </c>
      <c r="H651" s="2">
        <v>0</v>
      </c>
      <c r="I651" s="1">
        <v>0</v>
      </c>
      <c r="J651" s="3" t="s">
        <v>19</v>
      </c>
      <c r="K651" s="2" t="str">
        <f>J651*21165.00</f>
        <v>0</v>
      </c>
      <c r="L651" s="5"/>
    </row>
    <row r="652" spans="1:12" outlineLevel="6">
      <c r="A652" s="1"/>
      <c r="B652" s="1">
        <v>958553</v>
      </c>
      <c r="C652" s="1" t="s">
        <v>2057</v>
      </c>
      <c r="D652" s="1">
        <v>14501</v>
      </c>
      <c r="E652" s="2" t="s">
        <v>2058</v>
      </c>
      <c r="F652" s="2" t="s">
        <v>2059</v>
      </c>
      <c r="G652" s="2">
        <v>0</v>
      </c>
      <c r="H652" s="2">
        <v>0</v>
      </c>
      <c r="I652" s="1">
        <v>0</v>
      </c>
      <c r="J652" s="3" t="s">
        <v>19</v>
      </c>
      <c r="K652" s="2" t="str">
        <f>J652*21510.00</f>
        <v>0</v>
      </c>
      <c r="L652" s="5"/>
    </row>
    <row r="653" spans="1:12" outlineLevel="6">
      <c r="A653" s="1"/>
      <c r="B653" s="1">
        <v>958554</v>
      </c>
      <c r="C653" s="1" t="s">
        <v>2060</v>
      </c>
      <c r="D653" s="1">
        <v>17332</v>
      </c>
      <c r="E653" s="2" t="s">
        <v>2061</v>
      </c>
      <c r="F653" s="2" t="s">
        <v>2062</v>
      </c>
      <c r="G653" s="2">
        <v>0</v>
      </c>
      <c r="H653" s="2">
        <v>0</v>
      </c>
      <c r="I653" s="1">
        <v>0</v>
      </c>
      <c r="J653" s="3" t="s">
        <v>19</v>
      </c>
      <c r="K653" s="2" t="str">
        <f>J653*29388.00</f>
        <v>0</v>
      </c>
      <c r="L653" s="5"/>
    </row>
    <row r="654" spans="1:12" outlineLevel="6">
      <c r="A654" s="1"/>
      <c r="B654" s="1">
        <v>958555</v>
      </c>
      <c r="C654" s="1" t="s">
        <v>2063</v>
      </c>
      <c r="D654" s="1">
        <v>38019</v>
      </c>
      <c r="E654" s="2" t="s">
        <v>2064</v>
      </c>
      <c r="F654" s="2" t="s">
        <v>2065</v>
      </c>
      <c r="G654" s="2">
        <v>0</v>
      </c>
      <c r="H654" s="2">
        <v>0</v>
      </c>
      <c r="I654" s="1">
        <v>0</v>
      </c>
      <c r="J654" s="3" t="s">
        <v>19</v>
      </c>
      <c r="K654" s="2" t="str">
        <f>J654*26480.00</f>
        <v>0</v>
      </c>
      <c r="L654" s="5"/>
    </row>
    <row r="655" spans="1:12" outlineLevel="6">
      <c r="A655" s="1"/>
      <c r="B655" s="1">
        <v>958556</v>
      </c>
      <c r="C655" s="1" t="s">
        <v>2066</v>
      </c>
      <c r="D655" s="1">
        <v>27958</v>
      </c>
      <c r="E655" s="2" t="s">
        <v>2067</v>
      </c>
      <c r="F655" s="2" t="s">
        <v>2068</v>
      </c>
      <c r="G655" s="2">
        <v>0</v>
      </c>
      <c r="H655" s="2">
        <v>0</v>
      </c>
      <c r="I655" s="1">
        <v>0</v>
      </c>
      <c r="J655" s="3" t="s">
        <v>19</v>
      </c>
      <c r="K655" s="2" t="str">
        <f>J655*16537.00</f>
        <v>0</v>
      </c>
      <c r="L655" s="5"/>
    </row>
    <row r="656" spans="1:12" outlineLevel="6">
      <c r="A656" s="1"/>
      <c r="B656" s="1">
        <v>958557</v>
      </c>
      <c r="C656" s="1" t="s">
        <v>2069</v>
      </c>
      <c r="D656" s="1">
        <v>67076</v>
      </c>
      <c r="E656" s="2" t="s">
        <v>2070</v>
      </c>
      <c r="F656" s="2" t="s">
        <v>2071</v>
      </c>
      <c r="G656" s="2">
        <v>0</v>
      </c>
      <c r="H656" s="2">
        <v>0</v>
      </c>
      <c r="I656" s="1">
        <v>0</v>
      </c>
      <c r="J656" s="3" t="s">
        <v>19</v>
      </c>
      <c r="K656" s="2" t="str">
        <f>J656*14389.00</f>
        <v>0</v>
      </c>
      <c r="L656" s="5"/>
    </row>
    <row r="657" spans="1:12" outlineLevel="6">
      <c r="A657" s="1"/>
      <c r="B657" s="1">
        <v>958558</v>
      </c>
      <c r="C657" s="1" t="s">
        <v>2072</v>
      </c>
      <c r="D657" s="1">
        <v>36037</v>
      </c>
      <c r="E657" s="2" t="s">
        <v>2073</v>
      </c>
      <c r="F657" s="2" t="s">
        <v>2074</v>
      </c>
      <c r="G657" s="2">
        <v>0</v>
      </c>
      <c r="H657" s="2">
        <v>0</v>
      </c>
      <c r="I657" s="1">
        <v>0</v>
      </c>
      <c r="J657" s="3" t="s">
        <v>19</v>
      </c>
      <c r="K657" s="2" t="str">
        <f>J657*18258.00</f>
        <v>0</v>
      </c>
      <c r="L657" s="5"/>
    </row>
    <row r="658" spans="1:12" outlineLevel="6">
      <c r="A658" s="1"/>
      <c r="B658" s="1">
        <v>958559</v>
      </c>
      <c r="C658" s="1" t="s">
        <v>2075</v>
      </c>
      <c r="D658" s="1">
        <v>39129</v>
      </c>
      <c r="E658" s="2" t="s">
        <v>2076</v>
      </c>
      <c r="F658" s="2" t="s">
        <v>2077</v>
      </c>
      <c r="G658" s="2">
        <v>0</v>
      </c>
      <c r="H658" s="2">
        <v>0</v>
      </c>
      <c r="I658" s="1">
        <v>0</v>
      </c>
      <c r="J658" s="3" t="s">
        <v>19</v>
      </c>
      <c r="K658" s="2" t="str">
        <f>J658*16029.00</f>
        <v>0</v>
      </c>
      <c r="L658" s="5"/>
    </row>
    <row r="659" spans="1:12" outlineLevel="6">
      <c r="A659" s="1"/>
      <c r="B659" s="1">
        <v>958560</v>
      </c>
      <c r="C659" s="1" t="s">
        <v>2078</v>
      </c>
      <c r="D659" s="1">
        <v>87784</v>
      </c>
      <c r="E659" s="2" t="s">
        <v>2079</v>
      </c>
      <c r="F659" s="2" t="s">
        <v>2080</v>
      </c>
      <c r="G659" s="2">
        <v>0</v>
      </c>
      <c r="H659" s="2">
        <v>0</v>
      </c>
      <c r="I659" s="1">
        <v>0</v>
      </c>
      <c r="J659" s="3" t="s">
        <v>19</v>
      </c>
      <c r="K659" s="2" t="str">
        <f>J659*21371.00</f>
        <v>0</v>
      </c>
      <c r="L659" s="5"/>
    </row>
    <row r="660" spans="1:12" outlineLevel="6">
      <c r="A660" s="1"/>
      <c r="B660" s="1">
        <v>958561</v>
      </c>
      <c r="C660" s="1" t="s">
        <v>2081</v>
      </c>
      <c r="D660" s="1">
        <v>85457</v>
      </c>
      <c r="E660" s="2" t="s">
        <v>2082</v>
      </c>
      <c r="F660" s="2" t="s">
        <v>2083</v>
      </c>
      <c r="G660" s="2">
        <v>0</v>
      </c>
      <c r="H660" s="2">
        <v>0</v>
      </c>
      <c r="I660" s="1">
        <v>0</v>
      </c>
      <c r="J660" s="3" t="s">
        <v>19</v>
      </c>
      <c r="K660" s="2" t="str">
        <f>J660*17433.00</f>
        <v>0</v>
      </c>
      <c r="L660" s="5"/>
    </row>
    <row r="661" spans="1:12" outlineLevel="6">
      <c r="A661" s="1"/>
      <c r="B661" s="1">
        <v>958562</v>
      </c>
      <c r="C661" s="1" t="s">
        <v>2084</v>
      </c>
      <c r="D661" s="1">
        <v>90817</v>
      </c>
      <c r="E661" s="2" t="s">
        <v>2085</v>
      </c>
      <c r="F661" s="2" t="s">
        <v>2086</v>
      </c>
      <c r="G661" s="2">
        <v>0</v>
      </c>
      <c r="H661" s="2">
        <v>0</v>
      </c>
      <c r="I661" s="1">
        <v>0</v>
      </c>
      <c r="J661" s="3" t="s">
        <v>19</v>
      </c>
      <c r="K661" s="2" t="str">
        <f>J661*22827.00</f>
        <v>0</v>
      </c>
      <c r="L661" s="5"/>
    </row>
    <row r="662" spans="1:12" outlineLevel="6">
      <c r="A662" s="1"/>
      <c r="B662" s="1">
        <v>958563</v>
      </c>
      <c r="C662" s="1" t="s">
        <v>2087</v>
      </c>
      <c r="D662" s="1">
        <v>33918</v>
      </c>
      <c r="E662" s="2" t="s">
        <v>2088</v>
      </c>
      <c r="F662" s="2" t="s">
        <v>2089</v>
      </c>
      <c r="G662" s="2">
        <v>0</v>
      </c>
      <c r="H662" s="2">
        <v>0</v>
      </c>
      <c r="I662" s="1">
        <v>0</v>
      </c>
      <c r="J662" s="3" t="s">
        <v>19</v>
      </c>
      <c r="K662" s="2" t="str">
        <f>J662*26597.00</f>
        <v>0</v>
      </c>
      <c r="L662" s="5"/>
    </row>
    <row r="663" spans="1:12" outlineLevel="6">
      <c r="A663" s="1"/>
      <c r="B663" s="1">
        <v>958564</v>
      </c>
      <c r="C663" s="1" t="s">
        <v>2090</v>
      </c>
      <c r="D663" s="1">
        <v>75328</v>
      </c>
      <c r="E663" s="2" t="s">
        <v>2091</v>
      </c>
      <c r="F663" s="2" t="s">
        <v>2092</v>
      </c>
      <c r="G663" s="2">
        <v>0</v>
      </c>
      <c r="H663" s="2">
        <v>0</v>
      </c>
      <c r="I663" s="1">
        <v>0</v>
      </c>
      <c r="J663" s="3" t="s">
        <v>19</v>
      </c>
      <c r="K663" s="2" t="str">
        <f>J663*17461.00</f>
        <v>0</v>
      </c>
      <c r="L663" s="5"/>
    </row>
    <row r="664" spans="1:12" outlineLevel="6">
      <c r="A664" s="1"/>
      <c r="B664" s="1">
        <v>958565</v>
      </c>
      <c r="C664" s="1" t="s">
        <v>2093</v>
      </c>
      <c r="D664" s="1">
        <v>91639</v>
      </c>
      <c r="E664" s="2" t="s">
        <v>2094</v>
      </c>
      <c r="F664" s="2" t="s">
        <v>2095</v>
      </c>
      <c r="G664" s="2">
        <v>0</v>
      </c>
      <c r="H664" s="2">
        <v>0</v>
      </c>
      <c r="I664" s="1">
        <v>0</v>
      </c>
      <c r="J664" s="3" t="s">
        <v>19</v>
      </c>
      <c r="K664" s="2" t="str">
        <f>J664*15316.00</f>
        <v>0</v>
      </c>
      <c r="L664" s="5"/>
    </row>
    <row r="665" spans="1:12" outlineLevel="6">
      <c r="A665" s="1"/>
      <c r="B665" s="1">
        <v>958566</v>
      </c>
      <c r="C665" s="1" t="s">
        <v>2096</v>
      </c>
      <c r="D665" s="1">
        <v>45323</v>
      </c>
      <c r="E665" s="2" t="s">
        <v>2097</v>
      </c>
      <c r="F665" s="2" t="s">
        <v>2098</v>
      </c>
      <c r="G665" s="2">
        <v>0</v>
      </c>
      <c r="H665" s="2">
        <v>0</v>
      </c>
      <c r="I665" s="1">
        <v>0</v>
      </c>
      <c r="J665" s="3" t="s">
        <v>19</v>
      </c>
      <c r="K665" s="2" t="str">
        <f>J665*18284.00</f>
        <v>0</v>
      </c>
      <c r="L665" s="5"/>
    </row>
    <row r="666" spans="1:12" outlineLevel="6">
      <c r="A666" s="1"/>
      <c r="B666" s="1">
        <v>958567</v>
      </c>
      <c r="C666" s="1" t="s">
        <v>2099</v>
      </c>
      <c r="D666" s="1">
        <v>38715</v>
      </c>
      <c r="E666" s="2" t="s">
        <v>2100</v>
      </c>
      <c r="F666" s="2" t="s">
        <v>2101</v>
      </c>
      <c r="G666" s="2">
        <v>0</v>
      </c>
      <c r="H666" s="2">
        <v>0</v>
      </c>
      <c r="I666" s="1">
        <v>0</v>
      </c>
      <c r="J666" s="3" t="s">
        <v>19</v>
      </c>
      <c r="K666" s="2" t="str">
        <f>J666*24078.00</f>
        <v>0</v>
      </c>
      <c r="L666" s="5"/>
    </row>
    <row r="667" spans="1:12" outlineLevel="6">
      <c r="A667" s="1"/>
      <c r="B667" s="1">
        <v>958568</v>
      </c>
      <c r="C667" s="1" t="s">
        <v>2102</v>
      </c>
      <c r="D667" s="1">
        <v>39027</v>
      </c>
      <c r="E667" s="2" t="s">
        <v>2103</v>
      </c>
      <c r="F667" s="2" t="s">
        <v>2104</v>
      </c>
      <c r="G667" s="2">
        <v>0</v>
      </c>
      <c r="H667" s="2">
        <v>0</v>
      </c>
      <c r="I667" s="1">
        <v>0</v>
      </c>
      <c r="J667" s="3" t="s">
        <v>19</v>
      </c>
      <c r="K667" s="2" t="str">
        <f>J667*15970.00</f>
        <v>0</v>
      </c>
      <c r="L667" s="5"/>
    </row>
    <row r="668" spans="1:12" outlineLevel="6">
      <c r="A668" s="1"/>
      <c r="B668" s="1">
        <v>958569</v>
      </c>
      <c r="C668" s="1" t="s">
        <v>2105</v>
      </c>
      <c r="D668" s="1">
        <v>34523</v>
      </c>
      <c r="E668" s="2" t="s">
        <v>2106</v>
      </c>
      <c r="F668" s="2" t="s">
        <v>2107</v>
      </c>
      <c r="G668" s="2">
        <v>0</v>
      </c>
      <c r="H668" s="2">
        <v>0</v>
      </c>
      <c r="I668" s="1">
        <v>0</v>
      </c>
      <c r="J668" s="3" t="s">
        <v>19</v>
      </c>
      <c r="K668" s="2" t="str">
        <f>J668*20126.00</f>
        <v>0</v>
      </c>
      <c r="L668" s="5"/>
    </row>
    <row r="669" spans="1:12" outlineLevel="6">
      <c r="A669" s="1"/>
      <c r="B669" s="1">
        <v>958570</v>
      </c>
      <c r="C669" s="1" t="s">
        <v>2108</v>
      </c>
      <c r="D669" s="1">
        <v>88243</v>
      </c>
      <c r="E669" s="2" t="s">
        <v>2109</v>
      </c>
      <c r="F669" s="2" t="s">
        <v>1629</v>
      </c>
      <c r="G669" s="2">
        <v>0</v>
      </c>
      <c r="H669" s="2">
        <v>0</v>
      </c>
      <c r="I669" s="1">
        <v>0</v>
      </c>
      <c r="J669" s="3" t="s">
        <v>19</v>
      </c>
      <c r="K669" s="2" t="str">
        <f>J669*18057.00</f>
        <v>0</v>
      </c>
      <c r="L669" s="5"/>
    </row>
    <row r="670" spans="1:12" outlineLevel="6">
      <c r="A670" s="1"/>
      <c r="B670" s="1">
        <v>958571</v>
      </c>
      <c r="C670" s="1" t="s">
        <v>2110</v>
      </c>
      <c r="D670" s="1">
        <v>29895</v>
      </c>
      <c r="E670" s="2" t="s">
        <v>2111</v>
      </c>
      <c r="F670" s="2" t="s">
        <v>2112</v>
      </c>
      <c r="G670" s="2">
        <v>0</v>
      </c>
      <c r="H670" s="2">
        <v>0</v>
      </c>
      <c r="I670" s="1">
        <v>0</v>
      </c>
      <c r="J670" s="3" t="s">
        <v>19</v>
      </c>
      <c r="K670" s="2" t="str">
        <f>J670*25258.00</f>
        <v>0</v>
      </c>
      <c r="L670" s="5"/>
    </row>
    <row r="671" spans="1:12" outlineLevel="6">
      <c r="A671" s="1"/>
      <c r="B671" s="1">
        <v>958572</v>
      </c>
      <c r="C671" s="1" t="s">
        <v>2113</v>
      </c>
      <c r="D671" s="1">
        <v>80157</v>
      </c>
      <c r="E671" s="2" t="s">
        <v>2114</v>
      </c>
      <c r="F671" s="2" t="s">
        <v>2115</v>
      </c>
      <c r="G671" s="2">
        <v>0</v>
      </c>
      <c r="H671" s="2">
        <v>0</v>
      </c>
      <c r="I671" s="1">
        <v>0</v>
      </c>
      <c r="J671" s="3" t="s">
        <v>19</v>
      </c>
      <c r="K671" s="2" t="str">
        <f>J671*17420.00</f>
        <v>0</v>
      </c>
      <c r="L671" s="5"/>
    </row>
    <row r="672" spans="1:12" outlineLevel="6">
      <c r="A672" s="1"/>
      <c r="B672" s="1">
        <v>958573</v>
      </c>
      <c r="C672" s="1" t="s">
        <v>2116</v>
      </c>
      <c r="D672" s="1">
        <v>97647</v>
      </c>
      <c r="E672" s="2" t="s">
        <v>2117</v>
      </c>
      <c r="F672" s="2" t="s">
        <v>2118</v>
      </c>
      <c r="G672" s="2">
        <v>0</v>
      </c>
      <c r="H672" s="2">
        <v>0</v>
      </c>
      <c r="I672" s="1">
        <v>0</v>
      </c>
      <c r="J672" s="3" t="s">
        <v>19</v>
      </c>
      <c r="K672" s="2" t="str">
        <f>J672*30916.00</f>
        <v>0</v>
      </c>
      <c r="L672" s="5"/>
    </row>
    <row r="673" spans="1:12" outlineLevel="6">
      <c r="A673" s="1"/>
      <c r="B673" s="1">
        <v>958574</v>
      </c>
      <c r="C673" s="1" t="s">
        <v>2119</v>
      </c>
      <c r="D673" s="1">
        <v>18018</v>
      </c>
      <c r="E673" s="2" t="s">
        <v>2120</v>
      </c>
      <c r="F673" s="2" t="s">
        <v>2121</v>
      </c>
      <c r="G673" s="2">
        <v>0</v>
      </c>
      <c r="H673" s="2">
        <v>0</v>
      </c>
      <c r="I673" s="1">
        <v>0</v>
      </c>
      <c r="J673" s="3" t="s">
        <v>19</v>
      </c>
      <c r="K673" s="2" t="str">
        <f>J673*23457.00</f>
        <v>0</v>
      </c>
      <c r="L673" s="5"/>
    </row>
    <row r="674" spans="1:12" outlineLevel="6">
      <c r="A674" s="1"/>
      <c r="B674" s="1">
        <v>958575</v>
      </c>
      <c r="C674" s="1" t="s">
        <v>2122</v>
      </c>
      <c r="D674" s="1">
        <v>54842</v>
      </c>
      <c r="E674" s="2" t="s">
        <v>2123</v>
      </c>
      <c r="F674" s="2" t="s">
        <v>2124</v>
      </c>
      <c r="G674" s="2">
        <v>0</v>
      </c>
      <c r="H674" s="2">
        <v>0</v>
      </c>
      <c r="I674" s="1">
        <v>0</v>
      </c>
      <c r="J674" s="3" t="s">
        <v>19</v>
      </c>
      <c r="K674" s="2" t="str">
        <f>J674*22849.00</f>
        <v>0</v>
      </c>
      <c r="L674" s="5"/>
    </row>
    <row r="675" spans="1:12" outlineLevel="6">
      <c r="A675" s="1"/>
      <c r="B675" s="1">
        <v>958576</v>
      </c>
      <c r="C675" s="1" t="s">
        <v>2125</v>
      </c>
      <c r="D675" s="1">
        <v>76293</v>
      </c>
      <c r="E675" s="2" t="s">
        <v>2126</v>
      </c>
      <c r="F675" s="2" t="s">
        <v>2127</v>
      </c>
      <c r="G675" s="2">
        <v>0</v>
      </c>
      <c r="H675" s="2">
        <v>0</v>
      </c>
      <c r="I675" s="1">
        <v>0</v>
      </c>
      <c r="J675" s="3" t="s">
        <v>19</v>
      </c>
      <c r="K675" s="2" t="str">
        <f>J675*23993.00</f>
        <v>0</v>
      </c>
      <c r="L675" s="5"/>
    </row>
    <row r="676" spans="1:12" outlineLevel="4">
      <c r="A676" s="10" t="s">
        <v>2128</v>
      </c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5"/>
    </row>
    <row r="677" spans="1:12" outlineLevel="6">
      <c r="A677" s="1"/>
      <c r="B677" s="1">
        <v>958511</v>
      </c>
      <c r="C677" s="1" t="s">
        <v>2129</v>
      </c>
      <c r="D677" s="1">
        <v>54181</v>
      </c>
      <c r="E677" s="2" t="s">
        <v>2130</v>
      </c>
      <c r="F677" s="2" t="s">
        <v>2131</v>
      </c>
      <c r="G677" s="2">
        <v>0</v>
      </c>
      <c r="H677" s="2">
        <v>0</v>
      </c>
      <c r="I677" s="1">
        <v>0</v>
      </c>
      <c r="J677" s="3" t="s">
        <v>19</v>
      </c>
      <c r="K677" s="2" t="str">
        <f>J677*23865.00</f>
        <v>0</v>
      </c>
      <c r="L677" s="5"/>
    </row>
    <row r="678" spans="1:12" outlineLevel="6">
      <c r="A678" s="1"/>
      <c r="B678" s="1">
        <v>958512</v>
      </c>
      <c r="C678" s="1" t="s">
        <v>2132</v>
      </c>
      <c r="D678" s="1">
        <v>90786</v>
      </c>
      <c r="E678" s="2" t="s">
        <v>2133</v>
      </c>
      <c r="F678" s="2" t="s">
        <v>2134</v>
      </c>
      <c r="G678" s="2">
        <v>0</v>
      </c>
      <c r="H678" s="2">
        <v>0</v>
      </c>
      <c r="I678" s="1">
        <v>0</v>
      </c>
      <c r="J678" s="3" t="s">
        <v>19</v>
      </c>
      <c r="K678" s="2" t="str">
        <f>J678*30155.00</f>
        <v>0</v>
      </c>
      <c r="L678" s="5"/>
    </row>
    <row r="679" spans="1:12" outlineLevel="6">
      <c r="A679" s="1"/>
      <c r="B679" s="1">
        <v>958513</v>
      </c>
      <c r="C679" s="1" t="s">
        <v>2135</v>
      </c>
      <c r="D679" s="1">
        <v>74677</v>
      </c>
      <c r="E679" s="2" t="s">
        <v>2136</v>
      </c>
      <c r="F679" s="2" t="s">
        <v>2137</v>
      </c>
      <c r="G679" s="2">
        <v>0</v>
      </c>
      <c r="H679" s="2">
        <v>0</v>
      </c>
      <c r="I679" s="1">
        <v>0</v>
      </c>
      <c r="J679" s="3" t="s">
        <v>19</v>
      </c>
      <c r="K679" s="2" t="str">
        <f>J679*33596.00</f>
        <v>0</v>
      </c>
      <c r="L679" s="5"/>
    </row>
    <row r="680" spans="1:12" outlineLevel="6">
      <c r="A680" s="1"/>
      <c r="B680" s="1">
        <v>958514</v>
      </c>
      <c r="C680" s="1" t="s">
        <v>2138</v>
      </c>
      <c r="D680" s="1">
        <v>38349</v>
      </c>
      <c r="E680" s="2" t="s">
        <v>2139</v>
      </c>
      <c r="F680" s="2" t="s">
        <v>2140</v>
      </c>
      <c r="G680" s="2">
        <v>0</v>
      </c>
      <c r="H680" s="2">
        <v>0</v>
      </c>
      <c r="I680" s="1">
        <v>0</v>
      </c>
      <c r="J680" s="3" t="s">
        <v>19</v>
      </c>
      <c r="K680" s="2" t="str">
        <f>J680*14091.00</f>
        <v>0</v>
      </c>
      <c r="L680" s="5"/>
    </row>
    <row r="681" spans="1:12" outlineLevel="6">
      <c r="A681" s="1"/>
      <c r="B681" s="1">
        <v>958515</v>
      </c>
      <c r="C681" s="1" t="s">
        <v>2141</v>
      </c>
      <c r="D681" s="1">
        <v>43538</v>
      </c>
      <c r="E681" s="2" t="s">
        <v>2142</v>
      </c>
      <c r="F681" s="2" t="s">
        <v>2143</v>
      </c>
      <c r="G681" s="2">
        <v>0</v>
      </c>
      <c r="H681" s="2">
        <v>0</v>
      </c>
      <c r="I681" s="1">
        <v>0</v>
      </c>
      <c r="J681" s="3" t="s">
        <v>19</v>
      </c>
      <c r="K681" s="2" t="str">
        <f>J681*17483.00</f>
        <v>0</v>
      </c>
      <c r="L681" s="5"/>
    </row>
    <row r="682" spans="1:12" outlineLevel="6">
      <c r="A682" s="1"/>
      <c r="B682" s="1">
        <v>958516</v>
      </c>
      <c r="C682" s="1" t="s">
        <v>2144</v>
      </c>
      <c r="D682" s="1">
        <v>44746</v>
      </c>
      <c r="E682" s="2" t="s">
        <v>2145</v>
      </c>
      <c r="F682" s="2" t="s">
        <v>2146</v>
      </c>
      <c r="G682" s="2">
        <v>0</v>
      </c>
      <c r="H682" s="2">
        <v>0</v>
      </c>
      <c r="I682" s="1">
        <v>0</v>
      </c>
      <c r="J682" s="3" t="s">
        <v>19</v>
      </c>
      <c r="K682" s="2" t="str">
        <f>J682*19763.00</f>
        <v>0</v>
      </c>
      <c r="L682" s="5"/>
    </row>
    <row r="683" spans="1:12" outlineLevel="6">
      <c r="A683" s="1"/>
      <c r="B683" s="1">
        <v>958517</v>
      </c>
      <c r="C683" s="1" t="s">
        <v>2147</v>
      </c>
      <c r="D683" s="1">
        <v>28004</v>
      </c>
      <c r="E683" s="2" t="s">
        <v>2148</v>
      </c>
      <c r="F683" s="2" t="s">
        <v>2149</v>
      </c>
      <c r="G683" s="2">
        <v>0</v>
      </c>
      <c r="H683" s="2">
        <v>0</v>
      </c>
      <c r="I683" s="1">
        <v>0</v>
      </c>
      <c r="J683" s="3" t="s">
        <v>19</v>
      </c>
      <c r="K683" s="2" t="str">
        <f>J683*32542.00</f>
        <v>0</v>
      </c>
      <c r="L683" s="5"/>
    </row>
    <row r="684" spans="1:12" outlineLevel="6">
      <c r="A684" s="1"/>
      <c r="B684" s="1">
        <v>958518</v>
      </c>
      <c r="C684" s="1" t="s">
        <v>2150</v>
      </c>
      <c r="D684" s="1">
        <v>57417</v>
      </c>
      <c r="E684" s="2" t="s">
        <v>2151</v>
      </c>
      <c r="F684" s="2" t="s">
        <v>2152</v>
      </c>
      <c r="G684" s="2">
        <v>0</v>
      </c>
      <c r="H684" s="2">
        <v>0</v>
      </c>
      <c r="I684" s="1">
        <v>0</v>
      </c>
      <c r="J684" s="3" t="s">
        <v>19</v>
      </c>
      <c r="K684" s="2" t="str">
        <f>J684*15954.00</f>
        <v>0</v>
      </c>
      <c r="L684" s="5"/>
    </row>
    <row r="685" spans="1:12" outlineLevel="6">
      <c r="A685" s="1"/>
      <c r="B685" s="1">
        <v>958519</v>
      </c>
      <c r="C685" s="1" t="s">
        <v>2153</v>
      </c>
      <c r="D685" s="1">
        <v>15126</v>
      </c>
      <c r="E685" s="2" t="s">
        <v>2154</v>
      </c>
      <c r="F685" s="2" t="s">
        <v>2155</v>
      </c>
      <c r="G685" s="2">
        <v>0</v>
      </c>
      <c r="H685" s="2">
        <v>0</v>
      </c>
      <c r="I685" s="1">
        <v>0</v>
      </c>
      <c r="J685" s="3" t="s">
        <v>19</v>
      </c>
      <c r="K685" s="2" t="str">
        <f>J685*19068.00</f>
        <v>0</v>
      </c>
      <c r="L685" s="5"/>
    </row>
    <row r="686" spans="1:12" outlineLevel="6">
      <c r="A686" s="1"/>
      <c r="B686" s="1">
        <v>958520</v>
      </c>
      <c r="C686" s="1" t="s">
        <v>2156</v>
      </c>
      <c r="D686" s="1">
        <v>61643</v>
      </c>
      <c r="E686" s="2" t="s">
        <v>2157</v>
      </c>
      <c r="F686" s="2" t="s">
        <v>2158</v>
      </c>
      <c r="G686" s="2">
        <v>0</v>
      </c>
      <c r="H686" s="2">
        <v>0</v>
      </c>
      <c r="I686" s="1">
        <v>0</v>
      </c>
      <c r="J686" s="3" t="s">
        <v>19</v>
      </c>
      <c r="K686" s="2" t="str">
        <f>J686*22584.00</f>
        <v>0</v>
      </c>
      <c r="L686" s="5"/>
    </row>
    <row r="687" spans="1:12" outlineLevel="6">
      <c r="A687" s="1"/>
      <c r="B687" s="1">
        <v>958521</v>
      </c>
      <c r="C687" s="1" t="s">
        <v>2159</v>
      </c>
      <c r="D687" s="1">
        <v>10974</v>
      </c>
      <c r="E687" s="2" t="s">
        <v>2160</v>
      </c>
      <c r="F687" s="2" t="s">
        <v>2161</v>
      </c>
      <c r="G687" s="2">
        <v>0</v>
      </c>
      <c r="H687" s="2">
        <v>0</v>
      </c>
      <c r="I687" s="1">
        <v>0</v>
      </c>
      <c r="J687" s="3" t="s">
        <v>19</v>
      </c>
      <c r="K687" s="2" t="str">
        <f>J687*28712.00</f>
        <v>0</v>
      </c>
      <c r="L687" s="5"/>
    </row>
    <row r="688" spans="1:12" outlineLevel="6">
      <c r="A688" s="1"/>
      <c r="B688" s="1">
        <v>958522</v>
      </c>
      <c r="C688" s="1" t="s">
        <v>2162</v>
      </c>
      <c r="D688" s="1">
        <v>59322</v>
      </c>
      <c r="E688" s="2" t="s">
        <v>2163</v>
      </c>
      <c r="F688" s="2" t="s">
        <v>2164</v>
      </c>
      <c r="G688" s="2">
        <v>0</v>
      </c>
      <c r="H688" s="2">
        <v>0</v>
      </c>
      <c r="I688" s="1">
        <v>0</v>
      </c>
      <c r="J688" s="3" t="s">
        <v>19</v>
      </c>
      <c r="K688" s="2" t="str">
        <f>J688*37962.00</f>
        <v>0</v>
      </c>
      <c r="L688" s="5"/>
    </row>
    <row r="689" spans="1:12" outlineLevel="6">
      <c r="A689" s="1"/>
      <c r="B689" s="1">
        <v>958523</v>
      </c>
      <c r="C689" s="1" t="s">
        <v>2165</v>
      </c>
      <c r="D689" s="1">
        <v>70317</v>
      </c>
      <c r="E689" s="2" t="s">
        <v>2166</v>
      </c>
      <c r="F689" s="2" t="s">
        <v>2167</v>
      </c>
      <c r="G689" s="2">
        <v>0</v>
      </c>
      <c r="H689" s="2">
        <v>0</v>
      </c>
      <c r="I689" s="1">
        <v>0</v>
      </c>
      <c r="J689" s="3" t="s">
        <v>19</v>
      </c>
      <c r="K689" s="2" t="str">
        <f>J689*21440.00</f>
        <v>0</v>
      </c>
      <c r="L689" s="5"/>
    </row>
    <row r="690" spans="1:12" outlineLevel="6">
      <c r="A690" s="1"/>
      <c r="B690" s="1">
        <v>958524</v>
      </c>
      <c r="C690" s="1" t="s">
        <v>2168</v>
      </c>
      <c r="D690" s="1">
        <v>86715</v>
      </c>
      <c r="E690" s="2" t="s">
        <v>2169</v>
      </c>
      <c r="F690" s="2" t="s">
        <v>2170</v>
      </c>
      <c r="G690" s="2">
        <v>-1</v>
      </c>
      <c r="H690" s="2">
        <v>0</v>
      </c>
      <c r="I690" s="1">
        <v>0</v>
      </c>
      <c r="J690" s="3" t="s">
        <v>19</v>
      </c>
      <c r="K690" s="2" t="str">
        <f>J690*28176.00</f>
        <v>0</v>
      </c>
      <c r="L690" s="5"/>
    </row>
    <row r="691" spans="1:12" outlineLevel="6">
      <c r="A691" s="1"/>
      <c r="B691" s="1">
        <v>958525</v>
      </c>
      <c r="C691" s="1" t="s">
        <v>2171</v>
      </c>
      <c r="D691" s="1">
        <v>72574</v>
      </c>
      <c r="E691" s="2" t="s">
        <v>2172</v>
      </c>
      <c r="F691" s="2" t="s">
        <v>2173</v>
      </c>
      <c r="G691" s="2">
        <v>0</v>
      </c>
      <c r="H691" s="2">
        <v>0</v>
      </c>
      <c r="I691" s="1">
        <v>0</v>
      </c>
      <c r="J691" s="3" t="s">
        <v>19</v>
      </c>
      <c r="K691" s="2" t="str">
        <f>J691*22829.00</f>
        <v>0</v>
      </c>
      <c r="L691" s="5"/>
    </row>
    <row r="692" spans="1:12" outlineLevel="6">
      <c r="A692" s="1"/>
      <c r="B692" s="1">
        <v>958526</v>
      </c>
      <c r="C692" s="1" t="s">
        <v>2174</v>
      </c>
      <c r="D692" s="1">
        <v>50796</v>
      </c>
      <c r="E692" s="2" t="s">
        <v>2175</v>
      </c>
      <c r="F692" s="2" t="s">
        <v>2176</v>
      </c>
      <c r="G692" s="2">
        <v>0</v>
      </c>
      <c r="H692" s="2">
        <v>0</v>
      </c>
      <c r="I692" s="1">
        <v>0</v>
      </c>
      <c r="J692" s="3" t="s">
        <v>19</v>
      </c>
      <c r="K692" s="2" t="str">
        <f>J692*28083.00</f>
        <v>0</v>
      </c>
      <c r="L692" s="5"/>
    </row>
    <row r="693" spans="1:12" outlineLevel="6">
      <c r="A693" s="1"/>
      <c r="B693" s="1">
        <v>958527</v>
      </c>
      <c r="C693" s="1" t="s">
        <v>2177</v>
      </c>
      <c r="D693" s="1">
        <v>72571</v>
      </c>
      <c r="E693" s="2" t="s">
        <v>2178</v>
      </c>
      <c r="F693" s="2" t="s">
        <v>2179</v>
      </c>
      <c r="G693" s="2">
        <v>0</v>
      </c>
      <c r="H693" s="2">
        <v>0</v>
      </c>
      <c r="I693" s="1">
        <v>0</v>
      </c>
      <c r="J693" s="3" t="s">
        <v>19</v>
      </c>
      <c r="K693" s="2" t="str">
        <f>J693*31617.00</f>
        <v>0</v>
      </c>
      <c r="L693" s="5"/>
    </row>
    <row r="694" spans="1:12" outlineLevel="6">
      <c r="A694" s="1"/>
      <c r="B694" s="1">
        <v>958528</v>
      </c>
      <c r="C694" s="1" t="s">
        <v>2180</v>
      </c>
      <c r="D694" s="1">
        <v>90410</v>
      </c>
      <c r="E694" s="2" t="s">
        <v>2181</v>
      </c>
      <c r="F694" s="2" t="s">
        <v>2182</v>
      </c>
      <c r="G694" s="2">
        <v>0</v>
      </c>
      <c r="H694" s="2">
        <v>0</v>
      </c>
      <c r="I694" s="1">
        <v>0</v>
      </c>
      <c r="J694" s="3" t="s">
        <v>19</v>
      </c>
      <c r="K694" s="2" t="str">
        <f>J694*36723.00</f>
        <v>0</v>
      </c>
      <c r="L694" s="5"/>
    </row>
    <row r="695" spans="1:12" outlineLevel="4">
      <c r="A695" s="10" t="s">
        <v>2183</v>
      </c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5"/>
    </row>
    <row r="696" spans="1:12" outlineLevel="6">
      <c r="A696" s="1"/>
      <c r="B696" s="1">
        <v>958577</v>
      </c>
      <c r="C696" s="1" t="s">
        <v>2184</v>
      </c>
      <c r="D696" s="1">
        <v>87687</v>
      </c>
      <c r="E696" s="2" t="s">
        <v>2185</v>
      </c>
      <c r="F696" s="2" t="s">
        <v>2186</v>
      </c>
      <c r="G696" s="2">
        <v>0</v>
      </c>
      <c r="H696" s="2">
        <v>0</v>
      </c>
      <c r="I696" s="1">
        <v>0</v>
      </c>
      <c r="J696" s="3" t="s">
        <v>19</v>
      </c>
      <c r="K696" s="2" t="str">
        <f>J696*23237.00</f>
        <v>0</v>
      </c>
      <c r="L696" s="5"/>
    </row>
    <row r="697" spans="1:12" outlineLevel="6">
      <c r="A697" s="1"/>
      <c r="B697" s="1">
        <v>958578</v>
      </c>
      <c r="C697" s="1" t="s">
        <v>2187</v>
      </c>
      <c r="D697" s="1">
        <v>99183</v>
      </c>
      <c r="E697" s="2" t="s">
        <v>2188</v>
      </c>
      <c r="F697" s="2" t="s">
        <v>2189</v>
      </c>
      <c r="G697" s="2">
        <v>0</v>
      </c>
      <c r="H697" s="2">
        <v>0</v>
      </c>
      <c r="I697" s="1">
        <v>0</v>
      </c>
      <c r="J697" s="3" t="s">
        <v>19</v>
      </c>
      <c r="K697" s="2" t="str">
        <f>J697*25540.00</f>
        <v>0</v>
      </c>
      <c r="L697" s="5"/>
    </row>
    <row r="698" spans="1:12" outlineLevel="6">
      <c r="A698" s="1"/>
      <c r="B698" s="1">
        <v>958579</v>
      </c>
      <c r="C698" s="1" t="s">
        <v>2190</v>
      </c>
      <c r="D698" s="1">
        <v>86285</v>
      </c>
      <c r="E698" s="2" t="s">
        <v>2191</v>
      </c>
      <c r="F698" s="2" t="s">
        <v>2192</v>
      </c>
      <c r="G698" s="2">
        <v>0</v>
      </c>
      <c r="H698" s="2">
        <v>0</v>
      </c>
      <c r="I698" s="1">
        <v>0</v>
      </c>
      <c r="J698" s="3" t="s">
        <v>19</v>
      </c>
      <c r="K698" s="2" t="str">
        <f>J698*26558.00</f>
        <v>0</v>
      </c>
      <c r="L698" s="5"/>
    </row>
    <row r="699" spans="1:12" outlineLevel="6">
      <c r="A699" s="1"/>
      <c r="B699" s="1">
        <v>958580</v>
      </c>
      <c r="C699" s="1" t="s">
        <v>2193</v>
      </c>
      <c r="D699" s="1">
        <v>24408</v>
      </c>
      <c r="E699" s="2" t="s">
        <v>2194</v>
      </c>
      <c r="F699" s="2" t="s">
        <v>2195</v>
      </c>
      <c r="G699" s="2">
        <v>0</v>
      </c>
      <c r="H699" s="2">
        <v>0</v>
      </c>
      <c r="I699" s="1">
        <v>0</v>
      </c>
      <c r="J699" s="3" t="s">
        <v>19</v>
      </c>
      <c r="K699" s="2" t="str">
        <f>J699*17354.00</f>
        <v>0</v>
      </c>
      <c r="L699" s="5"/>
    </row>
    <row r="700" spans="1:12" outlineLevel="6">
      <c r="A700" s="1"/>
      <c r="B700" s="1">
        <v>958581</v>
      </c>
      <c r="C700" s="1" t="s">
        <v>2196</v>
      </c>
      <c r="D700" s="1">
        <v>55411</v>
      </c>
      <c r="E700" s="2" t="s">
        <v>2197</v>
      </c>
      <c r="F700" s="2" t="s">
        <v>2198</v>
      </c>
      <c r="G700" s="2">
        <v>0</v>
      </c>
      <c r="H700" s="2">
        <v>0</v>
      </c>
      <c r="I700" s="1">
        <v>0</v>
      </c>
      <c r="J700" s="3" t="s">
        <v>19</v>
      </c>
      <c r="K700" s="2" t="str">
        <f>J700*20195.00</f>
        <v>0</v>
      </c>
      <c r="L700" s="5"/>
    </row>
    <row r="701" spans="1:12" outlineLevel="6">
      <c r="A701" s="1"/>
      <c r="B701" s="1">
        <v>958582</v>
      </c>
      <c r="C701" s="1" t="s">
        <v>2199</v>
      </c>
      <c r="D701" s="1">
        <v>89373</v>
      </c>
      <c r="E701" s="2" t="s">
        <v>2200</v>
      </c>
      <c r="F701" s="2" t="s">
        <v>2201</v>
      </c>
      <c r="G701" s="2">
        <v>0</v>
      </c>
      <c r="H701" s="2">
        <v>0</v>
      </c>
      <c r="I701" s="1">
        <v>0</v>
      </c>
      <c r="J701" s="3" t="s">
        <v>19</v>
      </c>
      <c r="K701" s="2" t="str">
        <f>J701*24057.00</f>
        <v>0</v>
      </c>
      <c r="L701" s="5"/>
    </row>
    <row r="702" spans="1:12" outlineLevel="6">
      <c r="A702" s="1"/>
      <c r="B702" s="1">
        <v>958583</v>
      </c>
      <c r="C702" s="1" t="s">
        <v>2202</v>
      </c>
      <c r="D702" s="1">
        <v>15426</v>
      </c>
      <c r="E702" s="2" t="s">
        <v>2203</v>
      </c>
      <c r="F702" s="2" t="s">
        <v>2204</v>
      </c>
      <c r="G702" s="2">
        <v>0</v>
      </c>
      <c r="H702" s="2">
        <v>0</v>
      </c>
      <c r="I702" s="1">
        <v>0</v>
      </c>
      <c r="J702" s="3" t="s">
        <v>19</v>
      </c>
      <c r="K702" s="2" t="str">
        <f>J702*28064.00</f>
        <v>0</v>
      </c>
      <c r="L702" s="5"/>
    </row>
    <row r="703" spans="1:12" outlineLevel="6">
      <c r="A703" s="1"/>
      <c r="B703" s="1">
        <v>958584</v>
      </c>
      <c r="C703" s="1" t="s">
        <v>2205</v>
      </c>
      <c r="D703" s="1">
        <v>46078</v>
      </c>
      <c r="E703" s="2" t="s">
        <v>2206</v>
      </c>
      <c r="F703" s="2" t="s">
        <v>2207</v>
      </c>
      <c r="G703" s="2">
        <v>0</v>
      </c>
      <c r="H703" s="2">
        <v>0</v>
      </c>
      <c r="I703" s="1">
        <v>0</v>
      </c>
      <c r="J703" s="3" t="s">
        <v>19</v>
      </c>
      <c r="K703" s="2" t="str">
        <f>J703*28979.00</f>
        <v>0</v>
      </c>
      <c r="L703" s="5"/>
    </row>
    <row r="704" spans="1:12" outlineLevel="6">
      <c r="A704" s="1"/>
      <c r="B704" s="1">
        <v>958585</v>
      </c>
      <c r="C704" s="1" t="s">
        <v>2208</v>
      </c>
      <c r="D704" s="1">
        <v>85178</v>
      </c>
      <c r="E704" s="2" t="s">
        <v>2209</v>
      </c>
      <c r="F704" s="2" t="s">
        <v>2210</v>
      </c>
      <c r="G704" s="2">
        <v>0</v>
      </c>
      <c r="H704" s="2">
        <v>0</v>
      </c>
      <c r="I704" s="1">
        <v>0</v>
      </c>
      <c r="J704" s="3" t="s">
        <v>19</v>
      </c>
      <c r="K704" s="2" t="str">
        <f>J704*35573.00</f>
        <v>0</v>
      </c>
      <c r="L704" s="5"/>
    </row>
    <row r="705" spans="1:12" outlineLevel="6">
      <c r="A705" s="1"/>
      <c r="B705" s="1">
        <v>958586</v>
      </c>
      <c r="C705" s="1" t="s">
        <v>2211</v>
      </c>
      <c r="D705" s="1">
        <v>74200</v>
      </c>
      <c r="E705" s="2" t="s">
        <v>2212</v>
      </c>
      <c r="F705" s="2" t="s">
        <v>2213</v>
      </c>
      <c r="G705" s="2">
        <v>0</v>
      </c>
      <c r="H705" s="2">
        <v>0</v>
      </c>
      <c r="I705" s="1">
        <v>0</v>
      </c>
      <c r="J705" s="3" t="s">
        <v>19</v>
      </c>
      <c r="K705" s="2" t="str">
        <f>J705*19301.00</f>
        <v>0</v>
      </c>
      <c r="L705" s="5"/>
    </row>
    <row r="706" spans="1:12" outlineLevel="6">
      <c r="A706" s="1"/>
      <c r="B706" s="1">
        <v>958587</v>
      </c>
      <c r="C706" s="1" t="s">
        <v>2214</v>
      </c>
      <c r="D706" s="1">
        <v>24135</v>
      </c>
      <c r="E706" s="2" t="s">
        <v>2215</v>
      </c>
      <c r="F706" s="2" t="s">
        <v>2216</v>
      </c>
      <c r="G706" s="2">
        <v>0</v>
      </c>
      <c r="H706" s="2">
        <v>0</v>
      </c>
      <c r="I706" s="1">
        <v>0</v>
      </c>
      <c r="J706" s="3" t="s">
        <v>19</v>
      </c>
      <c r="K706" s="2" t="str">
        <f>J706*22624.00</f>
        <v>0</v>
      </c>
      <c r="L706" s="5"/>
    </row>
    <row r="707" spans="1:12" outlineLevel="6">
      <c r="A707" s="1"/>
      <c r="B707" s="1">
        <v>958588</v>
      </c>
      <c r="C707" s="1" t="s">
        <v>2217</v>
      </c>
      <c r="D707" s="1">
        <v>33989</v>
      </c>
      <c r="E707" s="2" t="s">
        <v>2218</v>
      </c>
      <c r="F707" s="2" t="s">
        <v>2219</v>
      </c>
      <c r="G707" s="2">
        <v>0</v>
      </c>
      <c r="H707" s="2">
        <v>0</v>
      </c>
      <c r="I707" s="1">
        <v>0</v>
      </c>
      <c r="J707" s="3" t="s">
        <v>19</v>
      </c>
      <c r="K707" s="2" t="str">
        <f>J707*26796.00</f>
        <v>0</v>
      </c>
      <c r="L707" s="5"/>
    </row>
    <row r="708" spans="1:12" outlineLevel="6">
      <c r="A708" s="1"/>
      <c r="B708" s="1">
        <v>958589</v>
      </c>
      <c r="C708" s="1" t="s">
        <v>2220</v>
      </c>
      <c r="D708" s="1">
        <v>92654</v>
      </c>
      <c r="E708" s="2" t="s">
        <v>2221</v>
      </c>
      <c r="F708" s="2" t="s">
        <v>2222</v>
      </c>
      <c r="G708" s="2">
        <v>0</v>
      </c>
      <c r="H708" s="2">
        <v>0</v>
      </c>
      <c r="I708" s="1">
        <v>0</v>
      </c>
      <c r="J708" s="3" t="s">
        <v>19</v>
      </c>
      <c r="K708" s="2" t="str">
        <f>J708*29728.00</f>
        <v>0</v>
      </c>
      <c r="L708" s="5"/>
    </row>
    <row r="709" spans="1:12" outlineLevel="6">
      <c r="A709" s="1"/>
      <c r="B709" s="1">
        <v>958590</v>
      </c>
      <c r="C709" s="1" t="s">
        <v>2223</v>
      </c>
      <c r="D709" s="1">
        <v>62984</v>
      </c>
      <c r="E709" s="2" t="s">
        <v>2224</v>
      </c>
      <c r="F709" s="2" t="s">
        <v>2225</v>
      </c>
      <c r="G709" s="2">
        <v>0</v>
      </c>
      <c r="H709" s="2">
        <v>0</v>
      </c>
      <c r="I709" s="1">
        <v>0</v>
      </c>
      <c r="J709" s="3" t="s">
        <v>19</v>
      </c>
      <c r="K709" s="2" t="str">
        <f>J709*25464.00</f>
        <v>0</v>
      </c>
      <c r="L709" s="5"/>
    </row>
    <row r="710" spans="1:12" outlineLevel="6">
      <c r="A710" s="1"/>
      <c r="B710" s="1">
        <v>958591</v>
      </c>
      <c r="C710" s="1" t="s">
        <v>2226</v>
      </c>
      <c r="D710" s="1">
        <v>84146</v>
      </c>
      <c r="E710" s="2" t="s">
        <v>2227</v>
      </c>
      <c r="F710" s="2" t="s">
        <v>2228</v>
      </c>
      <c r="G710" s="2">
        <v>0</v>
      </c>
      <c r="H710" s="2">
        <v>0</v>
      </c>
      <c r="I710" s="1">
        <v>0</v>
      </c>
      <c r="J710" s="3" t="s">
        <v>19</v>
      </c>
      <c r="K710" s="2" t="str">
        <f>J710*28468.00</f>
        <v>0</v>
      </c>
      <c r="L710" s="5"/>
    </row>
    <row r="711" spans="1:12" outlineLevel="6">
      <c r="A711" s="1"/>
      <c r="B711" s="1">
        <v>958592</v>
      </c>
      <c r="C711" s="1" t="s">
        <v>2229</v>
      </c>
      <c r="D711" s="1">
        <v>54634</v>
      </c>
      <c r="E711" s="2" t="s">
        <v>2230</v>
      </c>
      <c r="F711" s="2" t="s">
        <v>2231</v>
      </c>
      <c r="G711" s="2">
        <v>0</v>
      </c>
      <c r="H711" s="2">
        <v>0</v>
      </c>
      <c r="I711" s="1">
        <v>0</v>
      </c>
      <c r="J711" s="3" t="s">
        <v>19</v>
      </c>
      <c r="K711" s="2" t="str">
        <f>J711*34684.00</f>
        <v>0</v>
      </c>
      <c r="L711" s="5"/>
    </row>
    <row r="712" spans="1:12" outlineLevel="6">
      <c r="A712" s="1"/>
      <c r="B712" s="1">
        <v>958593</v>
      </c>
      <c r="C712" s="1" t="s">
        <v>2232</v>
      </c>
      <c r="D712" s="1">
        <v>76509</v>
      </c>
      <c r="E712" s="2" t="s">
        <v>2233</v>
      </c>
      <c r="F712" s="2" t="s">
        <v>2234</v>
      </c>
      <c r="G712" s="2">
        <v>0</v>
      </c>
      <c r="H712" s="2">
        <v>0</v>
      </c>
      <c r="I712" s="1">
        <v>0</v>
      </c>
      <c r="J712" s="3" t="s">
        <v>19</v>
      </c>
      <c r="K712" s="2" t="str">
        <f>J712*35531.00</f>
        <v>0</v>
      </c>
      <c r="L712" s="5"/>
    </row>
    <row r="713" spans="1:12" outlineLevel="6">
      <c r="A713" s="1"/>
      <c r="B713" s="1">
        <v>958594</v>
      </c>
      <c r="C713" s="1" t="s">
        <v>2235</v>
      </c>
      <c r="D713" s="1">
        <v>82090</v>
      </c>
      <c r="E713" s="2" t="s">
        <v>2236</v>
      </c>
      <c r="F713" s="2" t="s">
        <v>2237</v>
      </c>
      <c r="G713" s="2">
        <v>0</v>
      </c>
      <c r="H713" s="2">
        <v>0</v>
      </c>
      <c r="I713" s="1">
        <v>0</v>
      </c>
      <c r="J713" s="3" t="s">
        <v>19</v>
      </c>
      <c r="K713" s="2" t="str">
        <f>J713*33752.00</f>
        <v>0</v>
      </c>
      <c r="L713" s="5"/>
    </row>
    <row r="714" spans="1:12" outlineLevel="6">
      <c r="A714" s="1"/>
      <c r="B714" s="1">
        <v>958595</v>
      </c>
      <c r="C714" s="1" t="s">
        <v>2238</v>
      </c>
      <c r="D714" s="1">
        <v>87160</v>
      </c>
      <c r="E714" s="2" t="s">
        <v>2239</v>
      </c>
      <c r="F714" s="2" t="s">
        <v>2240</v>
      </c>
      <c r="G714" s="2">
        <v>0</v>
      </c>
      <c r="H714" s="2">
        <v>0</v>
      </c>
      <c r="I714" s="1">
        <v>0</v>
      </c>
      <c r="J714" s="3" t="s">
        <v>19</v>
      </c>
      <c r="K714" s="2" t="str">
        <f>J714*34702.00</f>
        <v>0</v>
      </c>
      <c r="L714" s="5"/>
    </row>
    <row r="715" spans="1:12" outlineLevel="6">
      <c r="A715" s="1"/>
      <c r="B715" s="1">
        <v>958596</v>
      </c>
      <c r="C715" s="1" t="s">
        <v>2241</v>
      </c>
      <c r="D715" s="1">
        <v>29266</v>
      </c>
      <c r="E715" s="2" t="s">
        <v>2242</v>
      </c>
      <c r="F715" s="2" t="s">
        <v>2243</v>
      </c>
      <c r="G715" s="2">
        <v>0</v>
      </c>
      <c r="H715" s="2">
        <v>0</v>
      </c>
      <c r="I715" s="1">
        <v>0</v>
      </c>
      <c r="J715" s="3" t="s">
        <v>19</v>
      </c>
      <c r="K715" s="2" t="str">
        <f>J715*29351.00</f>
        <v>0</v>
      </c>
      <c r="L715" s="5"/>
    </row>
    <row r="716" spans="1:12" outlineLevel="6">
      <c r="A716" s="1"/>
      <c r="B716" s="1">
        <v>958597</v>
      </c>
      <c r="C716" s="1" t="s">
        <v>2244</v>
      </c>
      <c r="D716" s="1">
        <v>70044</v>
      </c>
      <c r="E716" s="2" t="s">
        <v>2245</v>
      </c>
      <c r="F716" s="2" t="s">
        <v>2246</v>
      </c>
      <c r="G716" s="2">
        <v>0</v>
      </c>
      <c r="H716" s="2">
        <v>0</v>
      </c>
      <c r="I716" s="1">
        <v>0</v>
      </c>
      <c r="J716" s="3" t="s">
        <v>19</v>
      </c>
      <c r="K716" s="2" t="str">
        <f>J716*27963.00</f>
        <v>0</v>
      </c>
      <c r="L716" s="5"/>
    </row>
    <row r="717" spans="1:12" outlineLevel="6">
      <c r="A717" s="1"/>
      <c r="B717" s="1">
        <v>958598</v>
      </c>
      <c r="C717" s="1" t="s">
        <v>2247</v>
      </c>
      <c r="D717" s="1">
        <v>52728</v>
      </c>
      <c r="E717" s="2" t="s">
        <v>2248</v>
      </c>
      <c r="F717" s="2" t="s">
        <v>2249</v>
      </c>
      <c r="G717" s="2">
        <v>0</v>
      </c>
      <c r="H717" s="2">
        <v>0</v>
      </c>
      <c r="I717" s="1">
        <v>0</v>
      </c>
      <c r="J717" s="3" t="s">
        <v>19</v>
      </c>
      <c r="K717" s="2" t="str">
        <f>J717*34255.00</f>
        <v>0</v>
      </c>
      <c r="L717" s="5"/>
    </row>
    <row r="718" spans="1:12" outlineLevel="6">
      <c r="A718" s="1"/>
      <c r="B718" s="1">
        <v>958599</v>
      </c>
      <c r="C718" s="1" t="s">
        <v>2250</v>
      </c>
      <c r="D718" s="1">
        <v>93868</v>
      </c>
      <c r="E718" s="2" t="s">
        <v>2251</v>
      </c>
      <c r="F718" s="2" t="s">
        <v>2252</v>
      </c>
      <c r="G718" s="2">
        <v>0</v>
      </c>
      <c r="H718" s="2">
        <v>0</v>
      </c>
      <c r="I718" s="1">
        <v>0</v>
      </c>
      <c r="J718" s="3" t="s">
        <v>19</v>
      </c>
      <c r="K718" s="2" t="str">
        <f>J718*21754.00</f>
        <v>0</v>
      </c>
      <c r="L718" s="5"/>
    </row>
    <row r="719" spans="1:12" outlineLevel="6">
      <c r="A719" s="1"/>
      <c r="B719" s="1">
        <v>958600</v>
      </c>
      <c r="C719" s="1" t="s">
        <v>2253</v>
      </c>
      <c r="D719" s="1">
        <v>25502</v>
      </c>
      <c r="E719" s="2" t="s">
        <v>2254</v>
      </c>
      <c r="F719" s="2" t="s">
        <v>2255</v>
      </c>
      <c r="G719" s="2">
        <v>0</v>
      </c>
      <c r="H719" s="2">
        <v>0</v>
      </c>
      <c r="I719" s="1">
        <v>0</v>
      </c>
      <c r="J719" s="3" t="s">
        <v>19</v>
      </c>
      <c r="K719" s="2" t="str">
        <f>J719*23024.00</f>
        <v>0</v>
      </c>
      <c r="L719" s="5"/>
    </row>
    <row r="720" spans="1:12" outlineLevel="6">
      <c r="A720" s="1"/>
      <c r="B720" s="1">
        <v>958601</v>
      </c>
      <c r="C720" s="1" t="s">
        <v>2256</v>
      </c>
      <c r="D720" s="1">
        <v>98919</v>
      </c>
      <c r="E720" s="2" t="s">
        <v>2257</v>
      </c>
      <c r="F720" s="2" t="s">
        <v>2258</v>
      </c>
      <c r="G720" s="2">
        <v>0</v>
      </c>
      <c r="H720" s="2">
        <v>0</v>
      </c>
      <c r="I720" s="1">
        <v>0</v>
      </c>
      <c r="J720" s="3" t="s">
        <v>19</v>
      </c>
      <c r="K720" s="2" t="str">
        <f>J720*23871.00</f>
        <v>0</v>
      </c>
      <c r="L720" s="5"/>
    </row>
    <row r="721" spans="1:12" outlineLevel="4">
      <c r="A721" s="10" t="s">
        <v>2259</v>
      </c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5"/>
    </row>
    <row r="722" spans="1:12" outlineLevel="6">
      <c r="A722" s="1"/>
      <c r="B722" s="1">
        <v>958617</v>
      </c>
      <c r="C722" s="1" t="s">
        <v>2260</v>
      </c>
      <c r="D722" s="1">
        <v>28270</v>
      </c>
      <c r="E722" s="2" t="s">
        <v>2261</v>
      </c>
      <c r="F722" s="2" t="s">
        <v>2262</v>
      </c>
      <c r="G722" s="2">
        <v>0</v>
      </c>
      <c r="H722" s="2">
        <v>0</v>
      </c>
      <c r="I722" s="1">
        <v>0</v>
      </c>
      <c r="J722" s="3" t="s">
        <v>19</v>
      </c>
      <c r="K722" s="2" t="str">
        <f>J722*51117.00</f>
        <v>0</v>
      </c>
      <c r="L722" s="5"/>
    </row>
    <row r="723" spans="1:12" outlineLevel="6">
      <c r="A723" s="1"/>
      <c r="B723" s="1">
        <v>958618</v>
      </c>
      <c r="C723" s="1" t="s">
        <v>2263</v>
      </c>
      <c r="D723" s="1">
        <v>52425</v>
      </c>
      <c r="E723" s="2" t="s">
        <v>2264</v>
      </c>
      <c r="F723" s="2" t="s">
        <v>2265</v>
      </c>
      <c r="G723" s="2">
        <v>0</v>
      </c>
      <c r="H723" s="2">
        <v>0</v>
      </c>
      <c r="I723" s="1">
        <v>0</v>
      </c>
      <c r="J723" s="3" t="s">
        <v>19</v>
      </c>
      <c r="K723" s="2" t="str">
        <f>J723*31347.00</f>
        <v>0</v>
      </c>
      <c r="L723" s="5"/>
    </row>
    <row r="724" spans="1:12" outlineLevel="6">
      <c r="A724" s="1"/>
      <c r="B724" s="1">
        <v>958619</v>
      </c>
      <c r="C724" s="1" t="s">
        <v>2266</v>
      </c>
      <c r="D724" s="1">
        <v>33102</v>
      </c>
      <c r="E724" s="2" t="s">
        <v>2267</v>
      </c>
      <c r="F724" s="2" t="s">
        <v>2268</v>
      </c>
      <c r="G724" s="2">
        <v>0</v>
      </c>
      <c r="H724" s="2">
        <v>0</v>
      </c>
      <c r="I724" s="1">
        <v>0</v>
      </c>
      <c r="J724" s="3" t="s">
        <v>19</v>
      </c>
      <c r="K724" s="2" t="str">
        <f>J724*37726.00</f>
        <v>0</v>
      </c>
      <c r="L724" s="5"/>
    </row>
    <row r="725" spans="1:12" outlineLevel="6">
      <c r="A725" s="1"/>
      <c r="B725" s="1">
        <v>958620</v>
      </c>
      <c r="C725" s="1" t="s">
        <v>2269</v>
      </c>
      <c r="D725" s="1">
        <v>96427</v>
      </c>
      <c r="E725" s="2" t="s">
        <v>2270</v>
      </c>
      <c r="F725" s="2" t="s">
        <v>2271</v>
      </c>
      <c r="G725" s="2">
        <v>0</v>
      </c>
      <c r="H725" s="2">
        <v>0</v>
      </c>
      <c r="I725" s="1">
        <v>0</v>
      </c>
      <c r="J725" s="3" t="s">
        <v>19</v>
      </c>
      <c r="K725" s="2" t="str">
        <f>J725*55719.00</f>
        <v>0</v>
      </c>
      <c r="L725" s="5"/>
    </row>
    <row r="726" spans="1:12" outlineLevel="6">
      <c r="A726" s="1"/>
      <c r="B726" s="1">
        <v>958621</v>
      </c>
      <c r="C726" s="1" t="s">
        <v>2272</v>
      </c>
      <c r="D726" s="1">
        <v>53456</v>
      </c>
      <c r="E726" s="2" t="s">
        <v>2273</v>
      </c>
      <c r="F726" s="2" t="s">
        <v>2274</v>
      </c>
      <c r="G726" s="2">
        <v>0</v>
      </c>
      <c r="H726" s="2">
        <v>0</v>
      </c>
      <c r="I726" s="1">
        <v>0</v>
      </c>
      <c r="J726" s="3" t="s">
        <v>19</v>
      </c>
      <c r="K726" s="2" t="str">
        <f>J726*55267.00</f>
        <v>0</v>
      </c>
      <c r="L726" s="5"/>
    </row>
    <row r="727" spans="1:12" outlineLevel="6">
      <c r="A727" s="1"/>
      <c r="B727" s="1">
        <v>958622</v>
      </c>
      <c r="C727" s="1" t="s">
        <v>2275</v>
      </c>
      <c r="D727" s="1">
        <v>16153</v>
      </c>
      <c r="E727" s="2" t="s">
        <v>2276</v>
      </c>
      <c r="F727" s="2" t="s">
        <v>2277</v>
      </c>
      <c r="G727" s="2">
        <v>0</v>
      </c>
      <c r="H727" s="2">
        <v>0</v>
      </c>
      <c r="I727" s="1">
        <v>0</v>
      </c>
      <c r="J727" s="3" t="s">
        <v>19</v>
      </c>
      <c r="K727" s="2" t="str">
        <f>J727*38317.00</f>
        <v>0</v>
      </c>
      <c r="L727" s="5"/>
    </row>
    <row r="728" spans="1:12" outlineLevel="6">
      <c r="A728" s="1"/>
      <c r="B728" s="1">
        <v>958623</v>
      </c>
      <c r="C728" s="1" t="s">
        <v>2278</v>
      </c>
      <c r="D728" s="1">
        <v>30422</v>
      </c>
      <c r="E728" s="2" t="s">
        <v>2279</v>
      </c>
      <c r="F728" s="2" t="s">
        <v>2280</v>
      </c>
      <c r="G728" s="2">
        <v>0</v>
      </c>
      <c r="H728" s="2">
        <v>0</v>
      </c>
      <c r="I728" s="1">
        <v>0</v>
      </c>
      <c r="J728" s="3" t="s">
        <v>19</v>
      </c>
      <c r="K728" s="2" t="str">
        <f>J728*44771.00</f>
        <v>0</v>
      </c>
      <c r="L728" s="5"/>
    </row>
    <row r="729" spans="1:12" outlineLevel="6">
      <c r="A729" s="1"/>
      <c r="B729" s="1">
        <v>958624</v>
      </c>
      <c r="C729" s="1" t="s">
        <v>2281</v>
      </c>
      <c r="D729" s="1">
        <v>26330</v>
      </c>
      <c r="E729" s="2" t="s">
        <v>2282</v>
      </c>
      <c r="F729" s="2" t="s">
        <v>2283</v>
      </c>
      <c r="G729" s="2">
        <v>0</v>
      </c>
      <c r="H729" s="2">
        <v>0</v>
      </c>
      <c r="I729" s="1">
        <v>0</v>
      </c>
      <c r="J729" s="3" t="s">
        <v>19</v>
      </c>
      <c r="K729" s="2" t="str">
        <f>J729*56938.00</f>
        <v>0</v>
      </c>
      <c r="L729" s="5"/>
    </row>
    <row r="730" spans="1:12" outlineLevel="6">
      <c r="A730" s="1"/>
      <c r="B730" s="1">
        <v>958625</v>
      </c>
      <c r="C730" s="1" t="s">
        <v>2284</v>
      </c>
      <c r="D730" s="1">
        <v>53969</v>
      </c>
      <c r="E730" s="2" t="s">
        <v>2285</v>
      </c>
      <c r="F730" s="2" t="s">
        <v>2286</v>
      </c>
      <c r="G730" s="2">
        <v>0</v>
      </c>
      <c r="H730" s="2">
        <v>0</v>
      </c>
      <c r="I730" s="1">
        <v>0</v>
      </c>
      <c r="J730" s="3" t="s">
        <v>19</v>
      </c>
      <c r="K730" s="2" t="str">
        <f>J730*31540.00</f>
        <v>0</v>
      </c>
      <c r="L730" s="5"/>
    </row>
    <row r="731" spans="1:12" outlineLevel="6">
      <c r="A731" s="1"/>
      <c r="B731" s="1">
        <v>958626</v>
      </c>
      <c r="C731" s="1" t="s">
        <v>2287</v>
      </c>
      <c r="D731" s="1">
        <v>91176</v>
      </c>
      <c r="E731" s="2" t="s">
        <v>2288</v>
      </c>
      <c r="F731" s="2" t="s">
        <v>2289</v>
      </c>
      <c r="G731" s="2">
        <v>0</v>
      </c>
      <c r="H731" s="2">
        <v>0</v>
      </c>
      <c r="I731" s="1">
        <v>0</v>
      </c>
      <c r="J731" s="3" t="s">
        <v>19</v>
      </c>
      <c r="K731" s="2" t="str">
        <f>J731*43271.00</f>
        <v>0</v>
      </c>
      <c r="L731" s="5"/>
    </row>
    <row r="732" spans="1:12" outlineLevel="6">
      <c r="A732" s="1"/>
      <c r="B732" s="1">
        <v>958627</v>
      </c>
      <c r="C732" s="1" t="s">
        <v>2290</v>
      </c>
      <c r="D732" s="1">
        <v>61253</v>
      </c>
      <c r="E732" s="2" t="s">
        <v>2291</v>
      </c>
      <c r="F732" s="2" t="s">
        <v>2292</v>
      </c>
      <c r="G732" s="2">
        <v>0</v>
      </c>
      <c r="H732" s="2">
        <v>0</v>
      </c>
      <c r="I732" s="1">
        <v>0</v>
      </c>
      <c r="J732" s="3" t="s">
        <v>19</v>
      </c>
      <c r="K732" s="2" t="str">
        <f>J732*33939.00</f>
        <v>0</v>
      </c>
      <c r="L732" s="5"/>
    </row>
    <row r="733" spans="1:12" outlineLevel="4">
      <c r="A733" s="10" t="s">
        <v>2293</v>
      </c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5"/>
    </row>
    <row r="734" spans="1:12" outlineLevel="6">
      <c r="A734" s="1"/>
      <c r="B734" s="1">
        <v>958602</v>
      </c>
      <c r="C734" s="1" t="s">
        <v>2294</v>
      </c>
      <c r="D734" s="1">
        <v>39859</v>
      </c>
      <c r="E734" s="2" t="s">
        <v>2295</v>
      </c>
      <c r="F734" s="2" t="s">
        <v>2296</v>
      </c>
      <c r="G734" s="2">
        <v>0</v>
      </c>
      <c r="H734" s="2">
        <v>0</v>
      </c>
      <c r="I734" s="1">
        <v>0</v>
      </c>
      <c r="J734" s="3" t="s">
        <v>19</v>
      </c>
      <c r="K734" s="2" t="str">
        <f>J734*28731.00</f>
        <v>0</v>
      </c>
      <c r="L734" s="5"/>
    </row>
    <row r="735" spans="1:12" outlineLevel="6">
      <c r="A735" s="1"/>
      <c r="B735" s="1">
        <v>958603</v>
      </c>
      <c r="C735" s="1" t="s">
        <v>2297</v>
      </c>
      <c r="D735" s="1">
        <v>61656</v>
      </c>
      <c r="E735" s="2" t="s">
        <v>2298</v>
      </c>
      <c r="F735" s="2" t="s">
        <v>2299</v>
      </c>
      <c r="G735" s="2">
        <v>0</v>
      </c>
      <c r="H735" s="2">
        <v>0</v>
      </c>
      <c r="I735" s="1">
        <v>0</v>
      </c>
      <c r="J735" s="3" t="s">
        <v>19</v>
      </c>
      <c r="K735" s="2" t="str">
        <f>J735*16928.00</f>
        <v>0</v>
      </c>
      <c r="L735" s="5"/>
    </row>
    <row r="736" spans="1:12" outlineLevel="6">
      <c r="A736" s="1"/>
      <c r="B736" s="1">
        <v>958604</v>
      </c>
      <c r="C736" s="1" t="s">
        <v>2300</v>
      </c>
      <c r="D736" s="1">
        <v>70291</v>
      </c>
      <c r="E736" s="2" t="s">
        <v>2301</v>
      </c>
      <c r="F736" s="2" t="s">
        <v>2302</v>
      </c>
      <c r="G736" s="2">
        <v>0</v>
      </c>
      <c r="H736" s="2">
        <v>0</v>
      </c>
      <c r="I736" s="1">
        <v>0</v>
      </c>
      <c r="J736" s="3" t="s">
        <v>19</v>
      </c>
      <c r="K736" s="2" t="str">
        <f>J736*18905.00</f>
        <v>0</v>
      </c>
      <c r="L736" s="5"/>
    </row>
    <row r="737" spans="1:12" outlineLevel="6">
      <c r="A737" s="1"/>
      <c r="B737" s="1">
        <v>958605</v>
      </c>
      <c r="C737" s="1" t="s">
        <v>2303</v>
      </c>
      <c r="D737" s="1">
        <v>37297</v>
      </c>
      <c r="E737" s="2" t="s">
        <v>2304</v>
      </c>
      <c r="F737" s="2" t="s">
        <v>2305</v>
      </c>
      <c r="G737" s="2">
        <v>0</v>
      </c>
      <c r="H737" s="2">
        <v>0</v>
      </c>
      <c r="I737" s="1">
        <v>0</v>
      </c>
      <c r="J737" s="3" t="s">
        <v>19</v>
      </c>
      <c r="K737" s="2" t="str">
        <f>J737*21376.00</f>
        <v>0</v>
      </c>
      <c r="L737" s="5"/>
    </row>
    <row r="738" spans="1:12" outlineLevel="6">
      <c r="A738" s="1"/>
      <c r="B738" s="1">
        <v>958606</v>
      </c>
      <c r="C738" s="1" t="s">
        <v>2306</v>
      </c>
      <c r="D738" s="1">
        <v>39190</v>
      </c>
      <c r="E738" s="2" t="s">
        <v>2307</v>
      </c>
      <c r="F738" s="2" t="s">
        <v>2308</v>
      </c>
      <c r="G738" s="2">
        <v>0</v>
      </c>
      <c r="H738" s="2">
        <v>0</v>
      </c>
      <c r="I738" s="1">
        <v>0</v>
      </c>
      <c r="J738" s="3" t="s">
        <v>19</v>
      </c>
      <c r="K738" s="2" t="str">
        <f>J738*30351.00</f>
        <v>0</v>
      </c>
      <c r="L738" s="5"/>
    </row>
    <row r="739" spans="1:12" outlineLevel="6">
      <c r="A739" s="1"/>
      <c r="B739" s="1">
        <v>958607</v>
      </c>
      <c r="C739" s="1" t="s">
        <v>2309</v>
      </c>
      <c r="D739" s="1">
        <v>22206</v>
      </c>
      <c r="E739" s="2" t="s">
        <v>2310</v>
      </c>
      <c r="F739" s="2" t="s">
        <v>2311</v>
      </c>
      <c r="G739" s="2">
        <v>0</v>
      </c>
      <c r="H739" s="2">
        <v>0</v>
      </c>
      <c r="I739" s="1">
        <v>0</v>
      </c>
      <c r="J739" s="3" t="s">
        <v>19</v>
      </c>
      <c r="K739" s="2" t="str">
        <f>J739*32456.00</f>
        <v>0</v>
      </c>
      <c r="L739" s="5"/>
    </row>
    <row r="740" spans="1:12" outlineLevel="6">
      <c r="A740" s="1"/>
      <c r="B740" s="1">
        <v>958608</v>
      </c>
      <c r="C740" s="1" t="s">
        <v>2312</v>
      </c>
      <c r="D740" s="1">
        <v>67275</v>
      </c>
      <c r="E740" s="2" t="s">
        <v>2313</v>
      </c>
      <c r="F740" s="2" t="s">
        <v>2314</v>
      </c>
      <c r="G740" s="2">
        <v>0</v>
      </c>
      <c r="H740" s="2">
        <v>0</v>
      </c>
      <c r="I740" s="1">
        <v>0</v>
      </c>
      <c r="J740" s="3" t="s">
        <v>19</v>
      </c>
      <c r="K740" s="2" t="str">
        <f>J740*36023.00</f>
        <v>0</v>
      </c>
      <c r="L740" s="5"/>
    </row>
    <row r="741" spans="1:12" outlineLevel="6">
      <c r="A741" s="1"/>
      <c r="B741" s="1">
        <v>958609</v>
      </c>
      <c r="C741" s="1" t="s">
        <v>2315</v>
      </c>
      <c r="D741" s="1">
        <v>41480</v>
      </c>
      <c r="E741" s="2" t="s">
        <v>2316</v>
      </c>
      <c r="F741" s="2" t="s">
        <v>2317</v>
      </c>
      <c r="G741" s="2">
        <v>0</v>
      </c>
      <c r="H741" s="2">
        <v>0</v>
      </c>
      <c r="I741" s="1">
        <v>0</v>
      </c>
      <c r="J741" s="3" t="s">
        <v>19</v>
      </c>
      <c r="K741" s="2" t="str">
        <f>J741*22906.00</f>
        <v>0</v>
      </c>
      <c r="L741" s="5"/>
    </row>
    <row r="742" spans="1:12" outlineLevel="6">
      <c r="A742" s="1"/>
      <c r="B742" s="1">
        <v>958610</v>
      </c>
      <c r="C742" s="1" t="s">
        <v>2318</v>
      </c>
      <c r="D742" s="1">
        <v>89634</v>
      </c>
      <c r="E742" s="2" t="s">
        <v>2319</v>
      </c>
      <c r="F742" s="2" t="s">
        <v>2320</v>
      </c>
      <c r="G742" s="2">
        <v>0</v>
      </c>
      <c r="H742" s="2">
        <v>0</v>
      </c>
      <c r="I742" s="1">
        <v>0</v>
      </c>
      <c r="J742" s="3" t="s">
        <v>19</v>
      </c>
      <c r="K742" s="2" t="str">
        <f>J742*25628.00</f>
        <v>0</v>
      </c>
      <c r="L742" s="5"/>
    </row>
    <row r="743" spans="1:12" outlineLevel="6">
      <c r="A743" s="1"/>
      <c r="B743" s="1">
        <v>958611</v>
      </c>
      <c r="C743" s="1" t="s">
        <v>2321</v>
      </c>
      <c r="D743" s="1">
        <v>68455</v>
      </c>
      <c r="E743" s="2" t="s">
        <v>2322</v>
      </c>
      <c r="F743" s="2" t="s">
        <v>2323</v>
      </c>
      <c r="G743" s="2">
        <v>0</v>
      </c>
      <c r="H743" s="2">
        <v>0</v>
      </c>
      <c r="I743" s="1">
        <v>0</v>
      </c>
      <c r="J743" s="3" t="s">
        <v>19</v>
      </c>
      <c r="K743" s="2" t="str">
        <f>J743*33499.00</f>
        <v>0</v>
      </c>
      <c r="L743" s="5"/>
    </row>
    <row r="744" spans="1:12" outlineLevel="6">
      <c r="A744" s="1"/>
      <c r="B744" s="1">
        <v>958612</v>
      </c>
      <c r="C744" s="1" t="s">
        <v>2324</v>
      </c>
      <c r="D744" s="1">
        <v>22797</v>
      </c>
      <c r="E744" s="2" t="s">
        <v>2325</v>
      </c>
      <c r="F744" s="2" t="s">
        <v>2326</v>
      </c>
      <c r="G744" s="2">
        <v>0</v>
      </c>
      <c r="H744" s="2">
        <v>0</v>
      </c>
      <c r="I744" s="1">
        <v>0</v>
      </c>
      <c r="J744" s="3" t="s">
        <v>19</v>
      </c>
      <c r="K744" s="2" t="str">
        <f>J744*16078.00</f>
        <v>0</v>
      </c>
      <c r="L744" s="5"/>
    </row>
    <row r="745" spans="1:12" outlineLevel="6">
      <c r="A745" s="1"/>
      <c r="B745" s="1">
        <v>958613</v>
      </c>
      <c r="C745" s="1" t="s">
        <v>2327</v>
      </c>
      <c r="D745" s="1">
        <v>65489</v>
      </c>
      <c r="E745" s="2" t="s">
        <v>2328</v>
      </c>
      <c r="F745" s="2" t="s">
        <v>2329</v>
      </c>
      <c r="G745" s="2">
        <v>0</v>
      </c>
      <c r="H745" s="2">
        <v>0</v>
      </c>
      <c r="I745" s="1">
        <v>0</v>
      </c>
      <c r="J745" s="3" t="s">
        <v>19</v>
      </c>
      <c r="K745" s="2" t="str">
        <f>J745*17874.00</f>
        <v>0</v>
      </c>
      <c r="L745" s="5"/>
    </row>
    <row r="746" spans="1:12" outlineLevel="6">
      <c r="A746" s="1"/>
      <c r="B746" s="1">
        <v>958614</v>
      </c>
      <c r="C746" s="1" t="s">
        <v>2330</v>
      </c>
      <c r="D746" s="1">
        <v>35977</v>
      </c>
      <c r="E746" s="2" t="s">
        <v>2331</v>
      </c>
      <c r="F746" s="2" t="s">
        <v>1594</v>
      </c>
      <c r="G746" s="2">
        <v>0</v>
      </c>
      <c r="H746" s="2">
        <v>0</v>
      </c>
      <c r="I746" s="1">
        <v>0</v>
      </c>
      <c r="J746" s="3" t="s">
        <v>19</v>
      </c>
      <c r="K746" s="2" t="str">
        <f>J746*19110.00</f>
        <v>0</v>
      </c>
      <c r="L746" s="5"/>
    </row>
    <row r="747" spans="1:12" outlineLevel="6">
      <c r="A747" s="1"/>
      <c r="B747" s="1">
        <v>958615</v>
      </c>
      <c r="C747" s="1" t="s">
        <v>2332</v>
      </c>
      <c r="D747" s="1">
        <v>68183</v>
      </c>
      <c r="E747" s="2" t="s">
        <v>2333</v>
      </c>
      <c r="F747" s="2" t="s">
        <v>2334</v>
      </c>
      <c r="G747" s="2">
        <v>0</v>
      </c>
      <c r="H747" s="2">
        <v>0</v>
      </c>
      <c r="I747" s="1">
        <v>0</v>
      </c>
      <c r="J747" s="3" t="s">
        <v>19</v>
      </c>
      <c r="K747" s="2" t="str">
        <f>J747*25576.00</f>
        <v>0</v>
      </c>
      <c r="L747" s="5"/>
    </row>
    <row r="748" spans="1:12" outlineLevel="6">
      <c r="A748" s="1"/>
      <c r="B748" s="1">
        <v>958616</v>
      </c>
      <c r="C748" s="1" t="s">
        <v>2335</v>
      </c>
      <c r="D748" s="1">
        <v>61133</v>
      </c>
      <c r="E748" s="2" t="s">
        <v>2336</v>
      </c>
      <c r="F748" s="2" t="s">
        <v>2337</v>
      </c>
      <c r="G748" s="2">
        <v>0</v>
      </c>
      <c r="H748" s="2">
        <v>0</v>
      </c>
      <c r="I748" s="1">
        <v>0</v>
      </c>
      <c r="J748" s="3" t="s">
        <v>19</v>
      </c>
      <c r="K748" s="2" t="str">
        <f>J748*28612.00</f>
        <v>0</v>
      </c>
      <c r="L748" s="5"/>
    </row>
    <row r="749" spans="1:12" outlineLevel="4">
      <c r="A749" s="10" t="s">
        <v>2338</v>
      </c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5"/>
    </row>
    <row r="750" spans="1:12" outlineLevel="6">
      <c r="A750" s="1"/>
      <c r="B750" s="1">
        <v>958628</v>
      </c>
      <c r="C750" s="1" t="s">
        <v>2339</v>
      </c>
      <c r="D750" s="1">
        <v>18059</v>
      </c>
      <c r="E750" s="2" t="s">
        <v>2340</v>
      </c>
      <c r="F750" s="2" t="s">
        <v>2341</v>
      </c>
      <c r="G750" s="2">
        <v>0</v>
      </c>
      <c r="H750" s="2">
        <v>0</v>
      </c>
      <c r="I750" s="1">
        <v>0</v>
      </c>
      <c r="J750" s="3" t="s">
        <v>19</v>
      </c>
      <c r="K750" s="2" t="str">
        <f>J750*63827.00</f>
        <v>0</v>
      </c>
      <c r="L750" s="5"/>
    </row>
    <row r="751" spans="1:12" outlineLevel="6">
      <c r="A751" s="1"/>
      <c r="B751" s="1">
        <v>958629</v>
      </c>
      <c r="C751" s="1" t="s">
        <v>2342</v>
      </c>
      <c r="D751" s="1">
        <v>13874</v>
      </c>
      <c r="E751" s="2" t="s">
        <v>2343</v>
      </c>
      <c r="F751" s="2" t="s">
        <v>2344</v>
      </c>
      <c r="G751" s="2">
        <v>0</v>
      </c>
      <c r="H751" s="2">
        <v>0</v>
      </c>
      <c r="I751" s="1">
        <v>0</v>
      </c>
      <c r="J751" s="3" t="s">
        <v>19</v>
      </c>
      <c r="K751" s="2" t="str">
        <f>J751*64560.00</f>
        <v>0</v>
      </c>
      <c r="L751" s="5"/>
    </row>
    <row r="752" spans="1:12" outlineLevel="6">
      <c r="A752" s="1"/>
      <c r="B752" s="1">
        <v>958630</v>
      </c>
      <c r="C752" s="1" t="s">
        <v>2345</v>
      </c>
      <c r="D752" s="1">
        <v>26769</v>
      </c>
      <c r="E752" s="2" t="s">
        <v>2346</v>
      </c>
      <c r="F752" s="2" t="s">
        <v>2347</v>
      </c>
      <c r="G752" s="2">
        <v>0</v>
      </c>
      <c r="H752" s="2">
        <v>0</v>
      </c>
      <c r="I752" s="1">
        <v>0</v>
      </c>
      <c r="J752" s="3" t="s">
        <v>19</v>
      </c>
      <c r="K752" s="2" t="str">
        <f>J752*72244.00</f>
        <v>0</v>
      </c>
      <c r="L752" s="5"/>
    </row>
    <row r="753" spans="1:12" outlineLevel="6">
      <c r="A753" s="1"/>
      <c r="B753" s="1">
        <v>958631</v>
      </c>
      <c r="C753" s="1" t="s">
        <v>2348</v>
      </c>
      <c r="D753" s="1">
        <v>41803</v>
      </c>
      <c r="E753" s="2" t="s">
        <v>2349</v>
      </c>
      <c r="F753" s="2" t="s">
        <v>2350</v>
      </c>
      <c r="G753" s="2">
        <v>0</v>
      </c>
      <c r="H753" s="2">
        <v>0</v>
      </c>
      <c r="I753" s="1">
        <v>0</v>
      </c>
      <c r="J753" s="3" t="s">
        <v>19</v>
      </c>
      <c r="K753" s="2" t="str">
        <f>J753*72651.00</f>
        <v>0</v>
      </c>
      <c r="L753" s="5"/>
    </row>
    <row r="754" spans="1:12" outlineLevel="6">
      <c r="A754" s="1"/>
      <c r="B754" s="1">
        <v>958632</v>
      </c>
      <c r="C754" s="1" t="s">
        <v>2351</v>
      </c>
      <c r="D754" s="1">
        <v>43414</v>
      </c>
      <c r="E754" s="2" t="s">
        <v>2352</v>
      </c>
      <c r="F754" s="2" t="s">
        <v>2353</v>
      </c>
      <c r="G754" s="2">
        <v>0</v>
      </c>
      <c r="H754" s="2">
        <v>0</v>
      </c>
      <c r="I754" s="1">
        <v>0</v>
      </c>
      <c r="J754" s="3" t="s">
        <v>19</v>
      </c>
      <c r="K754" s="2" t="str">
        <f>J754*85396.00</f>
        <v>0</v>
      </c>
      <c r="L754" s="5"/>
    </row>
    <row r="755" spans="1:12" outlineLevel="6">
      <c r="A755" s="1"/>
      <c r="B755" s="1">
        <v>958633</v>
      </c>
      <c r="C755" s="1" t="s">
        <v>2354</v>
      </c>
      <c r="D755" s="1">
        <v>33471</v>
      </c>
      <c r="E755" s="2" t="s">
        <v>2355</v>
      </c>
      <c r="F755" s="2" t="s">
        <v>2356</v>
      </c>
      <c r="G755" s="2">
        <v>0</v>
      </c>
      <c r="H755" s="2">
        <v>0</v>
      </c>
      <c r="I755" s="1">
        <v>0</v>
      </c>
      <c r="J755" s="3" t="s">
        <v>19</v>
      </c>
      <c r="K755" s="2" t="str">
        <f>J755*44641.00</f>
        <v>0</v>
      </c>
      <c r="L755" s="5"/>
    </row>
    <row r="756" spans="1:12" outlineLevel="6">
      <c r="A756" s="1"/>
      <c r="B756" s="1">
        <v>958634</v>
      </c>
      <c r="C756" s="1" t="s">
        <v>2357</v>
      </c>
      <c r="D756" s="1">
        <v>69269</v>
      </c>
      <c r="E756" s="2" t="s">
        <v>2358</v>
      </c>
      <c r="F756" s="2" t="s">
        <v>2359</v>
      </c>
      <c r="G756" s="2">
        <v>0</v>
      </c>
      <c r="H756" s="2">
        <v>0</v>
      </c>
      <c r="I756" s="1">
        <v>0</v>
      </c>
      <c r="J756" s="3" t="s">
        <v>19</v>
      </c>
      <c r="K756" s="2" t="str">
        <f>J756*55559.00</f>
        <v>0</v>
      </c>
      <c r="L756" s="5"/>
    </row>
    <row r="757" spans="1:12" outlineLevel="6">
      <c r="A757" s="1"/>
      <c r="B757" s="1">
        <v>958635</v>
      </c>
      <c r="C757" s="1" t="s">
        <v>2360</v>
      </c>
      <c r="D757" s="1">
        <v>65843</v>
      </c>
      <c r="E757" s="2" t="s">
        <v>2361</v>
      </c>
      <c r="F757" s="2" t="s">
        <v>2362</v>
      </c>
      <c r="G757" s="2">
        <v>0</v>
      </c>
      <c r="H757" s="2">
        <v>0</v>
      </c>
      <c r="I757" s="1">
        <v>0</v>
      </c>
      <c r="J757" s="3" t="s">
        <v>19</v>
      </c>
      <c r="K757" s="2" t="str">
        <f>J757*74118.00</f>
        <v>0</v>
      </c>
      <c r="L757" s="5"/>
    </row>
    <row r="758" spans="1:12" outlineLevel="6">
      <c r="A758" s="1"/>
      <c r="B758" s="1">
        <v>958636</v>
      </c>
      <c r="C758" s="1" t="s">
        <v>2363</v>
      </c>
      <c r="D758" s="1">
        <v>79761</v>
      </c>
      <c r="E758" s="2" t="s">
        <v>2364</v>
      </c>
      <c r="F758" s="2" t="s">
        <v>2365</v>
      </c>
      <c r="G758" s="2">
        <v>0</v>
      </c>
      <c r="H758" s="2">
        <v>0</v>
      </c>
      <c r="I758" s="1">
        <v>0</v>
      </c>
      <c r="J758" s="3" t="s">
        <v>19</v>
      </c>
      <c r="K758" s="2" t="str">
        <f>J758*82735.00</f>
        <v>0</v>
      </c>
      <c r="L758" s="5"/>
    </row>
    <row r="759" spans="1:12" outlineLevel="6">
      <c r="A759" s="1"/>
      <c r="B759" s="1">
        <v>958637</v>
      </c>
      <c r="C759" s="1" t="s">
        <v>2366</v>
      </c>
      <c r="D759" s="1">
        <v>79241</v>
      </c>
      <c r="E759" s="2" t="s">
        <v>2367</v>
      </c>
      <c r="F759" s="2" t="s">
        <v>2368</v>
      </c>
      <c r="G759" s="2">
        <v>0</v>
      </c>
      <c r="H759" s="2">
        <v>0</v>
      </c>
      <c r="I759" s="1">
        <v>0</v>
      </c>
      <c r="J759" s="3" t="s">
        <v>19</v>
      </c>
      <c r="K759" s="2" t="str">
        <f>J759*49557.00</f>
        <v>0</v>
      </c>
      <c r="L759" s="5"/>
    </row>
    <row r="760" spans="1:12" outlineLevel="6">
      <c r="A760" s="1"/>
      <c r="B760" s="1">
        <v>958638</v>
      </c>
      <c r="C760" s="1" t="s">
        <v>2369</v>
      </c>
      <c r="D760" s="1">
        <v>62033</v>
      </c>
      <c r="E760" s="2" t="s">
        <v>2370</v>
      </c>
      <c r="F760" s="2" t="s">
        <v>2371</v>
      </c>
      <c r="G760" s="2">
        <v>0</v>
      </c>
      <c r="H760" s="2">
        <v>0</v>
      </c>
      <c r="I760" s="1">
        <v>0</v>
      </c>
      <c r="J760" s="3" t="s">
        <v>19</v>
      </c>
      <c r="K760" s="2" t="str">
        <f>J760*55945.00</f>
        <v>0</v>
      </c>
      <c r="L760" s="5"/>
    </row>
    <row r="761" spans="1:12" outlineLevel="6">
      <c r="A761" s="1"/>
      <c r="B761" s="1">
        <v>958639</v>
      </c>
      <c r="C761" s="1" t="s">
        <v>2372</v>
      </c>
      <c r="D761" s="1">
        <v>24646</v>
      </c>
      <c r="E761" s="2" t="s">
        <v>2373</v>
      </c>
      <c r="F761" s="2" t="s">
        <v>2374</v>
      </c>
      <c r="G761" s="2">
        <v>0</v>
      </c>
      <c r="H761" s="2">
        <v>0</v>
      </c>
      <c r="I761" s="1">
        <v>0</v>
      </c>
      <c r="J761" s="3" t="s">
        <v>19</v>
      </c>
      <c r="K761" s="2" t="str">
        <f>J761*66900.00</f>
        <v>0</v>
      </c>
      <c r="L761" s="5"/>
    </row>
    <row r="762" spans="1:12" outlineLevel="6">
      <c r="A762" s="1"/>
      <c r="B762" s="1">
        <v>958640</v>
      </c>
      <c r="C762" s="1" t="s">
        <v>2375</v>
      </c>
      <c r="D762" s="1">
        <v>16097</v>
      </c>
      <c r="E762" s="2" t="s">
        <v>2376</v>
      </c>
      <c r="F762" s="2" t="s">
        <v>2377</v>
      </c>
      <c r="G762" s="2">
        <v>0</v>
      </c>
      <c r="H762" s="2">
        <v>0</v>
      </c>
      <c r="I762" s="1">
        <v>0</v>
      </c>
      <c r="J762" s="3" t="s">
        <v>19</v>
      </c>
      <c r="K762" s="2" t="str">
        <f>J762*82644.00</f>
        <v>0</v>
      </c>
      <c r="L762" s="5"/>
    </row>
    <row r="763" spans="1:12" outlineLevel="6">
      <c r="A763" s="1"/>
      <c r="B763" s="1">
        <v>958641</v>
      </c>
      <c r="C763" s="1" t="s">
        <v>2378</v>
      </c>
      <c r="D763" s="1">
        <v>16524</v>
      </c>
      <c r="E763" s="2" t="s">
        <v>2379</v>
      </c>
      <c r="F763" s="2" t="s">
        <v>2380</v>
      </c>
      <c r="G763" s="2">
        <v>0</v>
      </c>
      <c r="H763" s="2">
        <v>0</v>
      </c>
      <c r="I763" s="1">
        <v>0</v>
      </c>
      <c r="J763" s="3" t="s">
        <v>19</v>
      </c>
      <c r="K763" s="2" t="str">
        <f>J763*91523.00</f>
        <v>0</v>
      </c>
      <c r="L763" s="5"/>
    </row>
    <row r="764" spans="1:12" outlineLevel="6">
      <c r="A764" s="1"/>
      <c r="B764" s="1">
        <v>958642</v>
      </c>
      <c r="C764" s="1" t="s">
        <v>2381</v>
      </c>
      <c r="D764" s="1">
        <v>34498</v>
      </c>
      <c r="E764" s="2" t="s">
        <v>2382</v>
      </c>
      <c r="F764" s="2" t="s">
        <v>2383</v>
      </c>
      <c r="G764" s="2">
        <v>0</v>
      </c>
      <c r="H764" s="2">
        <v>0</v>
      </c>
      <c r="I764" s="1">
        <v>0</v>
      </c>
      <c r="J764" s="3" t="s">
        <v>19</v>
      </c>
      <c r="K764" s="2" t="str">
        <f>J764*58616.00</f>
        <v>0</v>
      </c>
      <c r="L764" s="5"/>
    </row>
    <row r="765" spans="1:12" outlineLevel="6">
      <c r="A765" s="1"/>
      <c r="B765" s="1">
        <v>958643</v>
      </c>
      <c r="C765" s="1" t="s">
        <v>2384</v>
      </c>
      <c r="D765" s="1">
        <v>24138</v>
      </c>
      <c r="E765" s="2" t="s">
        <v>2385</v>
      </c>
      <c r="F765" s="2" t="s">
        <v>2386</v>
      </c>
      <c r="G765" s="2">
        <v>0</v>
      </c>
      <c r="H765" s="2">
        <v>0</v>
      </c>
      <c r="I765" s="1">
        <v>0</v>
      </c>
      <c r="J765" s="3" t="s">
        <v>19</v>
      </c>
      <c r="K765" s="2" t="str">
        <f>J765*64788.00</f>
        <v>0</v>
      </c>
      <c r="L765" s="5"/>
    </row>
    <row r="766" spans="1:12" outlineLevel="6">
      <c r="A766" s="1"/>
      <c r="B766" s="1">
        <v>958644</v>
      </c>
      <c r="C766" s="1" t="s">
        <v>2387</v>
      </c>
      <c r="D766" s="1">
        <v>27122</v>
      </c>
      <c r="E766" s="2" t="s">
        <v>2388</v>
      </c>
      <c r="F766" s="2" t="s">
        <v>2389</v>
      </c>
      <c r="G766" s="2">
        <v>0</v>
      </c>
      <c r="H766" s="2">
        <v>0</v>
      </c>
      <c r="I766" s="1">
        <v>0</v>
      </c>
      <c r="J766" s="3" t="s">
        <v>19</v>
      </c>
      <c r="K766" s="2" t="str">
        <f>J766*71563.00</f>
        <v>0</v>
      </c>
      <c r="L766" s="5"/>
    </row>
    <row r="767" spans="1:12" outlineLevel="6">
      <c r="A767" s="1"/>
      <c r="B767" s="1">
        <v>958645</v>
      </c>
      <c r="C767" s="1" t="s">
        <v>2390</v>
      </c>
      <c r="D767" s="1">
        <v>95744</v>
      </c>
      <c r="E767" s="2" t="s">
        <v>2391</v>
      </c>
      <c r="F767" s="2" t="s">
        <v>2392</v>
      </c>
      <c r="G767" s="2">
        <v>0</v>
      </c>
      <c r="H767" s="2">
        <v>0</v>
      </c>
      <c r="I767" s="1">
        <v>0</v>
      </c>
      <c r="J767" s="3" t="s">
        <v>19</v>
      </c>
      <c r="K767" s="2" t="str">
        <f>J767*68267.00</f>
        <v>0</v>
      </c>
      <c r="L767" s="5"/>
    </row>
    <row r="768" spans="1:12" outlineLevel="6">
      <c r="A768" s="1"/>
      <c r="B768" s="1">
        <v>958646</v>
      </c>
      <c r="C768" s="1" t="s">
        <v>2393</v>
      </c>
      <c r="D768" s="1">
        <v>80302</v>
      </c>
      <c r="E768" s="2" t="s">
        <v>2394</v>
      </c>
      <c r="F768" s="2" t="s">
        <v>2395</v>
      </c>
      <c r="G768" s="2">
        <v>0</v>
      </c>
      <c r="H768" s="2">
        <v>0</v>
      </c>
      <c r="I768" s="1">
        <v>0</v>
      </c>
      <c r="J768" s="3" t="s">
        <v>19</v>
      </c>
      <c r="K768" s="2" t="str">
        <f>J768*93110.00</f>
        <v>0</v>
      </c>
      <c r="L768" s="5"/>
    </row>
    <row r="769" spans="1:12" outlineLevel="6">
      <c r="A769" s="1"/>
      <c r="B769" s="1">
        <v>958647</v>
      </c>
      <c r="C769" s="1" t="s">
        <v>2396</v>
      </c>
      <c r="D769" s="1">
        <v>79553</v>
      </c>
      <c r="E769" s="2" t="s">
        <v>2397</v>
      </c>
      <c r="F769" s="2" t="s">
        <v>2398</v>
      </c>
      <c r="G769" s="2">
        <v>0</v>
      </c>
      <c r="H769" s="2">
        <v>0</v>
      </c>
      <c r="I769" s="1">
        <v>0</v>
      </c>
      <c r="J769" s="3" t="s">
        <v>19</v>
      </c>
      <c r="K769" s="2" t="str">
        <f>J769*62282.00</f>
        <v>0</v>
      </c>
      <c r="L769" s="5"/>
    </row>
    <row r="770" spans="1:12" outlineLevel="6">
      <c r="A770" s="1"/>
      <c r="B770" s="1">
        <v>958648</v>
      </c>
      <c r="C770" s="1" t="s">
        <v>2399</v>
      </c>
      <c r="D770" s="1">
        <v>70377</v>
      </c>
      <c r="E770" s="2" t="s">
        <v>2400</v>
      </c>
      <c r="F770" s="2" t="s">
        <v>2401</v>
      </c>
      <c r="G770" s="2">
        <v>0</v>
      </c>
      <c r="H770" s="2">
        <v>0</v>
      </c>
      <c r="I770" s="1">
        <v>0</v>
      </c>
      <c r="J770" s="3" t="s">
        <v>19</v>
      </c>
      <c r="K770" s="2" t="str">
        <f>J770*71870.00</f>
        <v>0</v>
      </c>
      <c r="L770" s="5"/>
    </row>
    <row r="771" spans="1:12" outlineLevel="6">
      <c r="A771" s="1"/>
      <c r="B771" s="1">
        <v>958649</v>
      </c>
      <c r="C771" s="1" t="s">
        <v>2402</v>
      </c>
      <c r="D771" s="1">
        <v>16997</v>
      </c>
      <c r="E771" s="2" t="s">
        <v>2403</v>
      </c>
      <c r="F771" s="2" t="s">
        <v>2404</v>
      </c>
      <c r="G771" s="2">
        <v>0</v>
      </c>
      <c r="H771" s="2">
        <v>0</v>
      </c>
      <c r="I771" s="1">
        <v>0</v>
      </c>
      <c r="J771" s="3" t="s">
        <v>19</v>
      </c>
      <c r="K771" s="2" t="str">
        <f>J771*82022.00</f>
        <v>0</v>
      </c>
      <c r="L771" s="5"/>
    </row>
    <row r="772" spans="1:12" outlineLevel="6">
      <c r="A772" s="1"/>
      <c r="B772" s="1">
        <v>958650</v>
      </c>
      <c r="C772" s="1" t="s">
        <v>2405</v>
      </c>
      <c r="D772" s="1">
        <v>52737</v>
      </c>
      <c r="E772" s="2" t="s">
        <v>2406</v>
      </c>
      <c r="F772" s="2" t="s">
        <v>2407</v>
      </c>
      <c r="G772" s="2">
        <v>0</v>
      </c>
      <c r="H772" s="2">
        <v>0</v>
      </c>
      <c r="I772" s="1">
        <v>0</v>
      </c>
      <c r="J772" s="3" t="s">
        <v>19</v>
      </c>
      <c r="K772" s="2" t="str">
        <f>J772*41729.00</f>
        <v>0</v>
      </c>
      <c r="L772" s="5"/>
    </row>
    <row r="773" spans="1:12" outlineLevel="6">
      <c r="A773" s="1"/>
      <c r="B773" s="1">
        <v>958651</v>
      </c>
      <c r="C773" s="1" t="s">
        <v>2408</v>
      </c>
      <c r="D773" s="1">
        <v>68239</v>
      </c>
      <c r="E773" s="2" t="s">
        <v>2409</v>
      </c>
      <c r="F773" s="2" t="s">
        <v>2410</v>
      </c>
      <c r="G773" s="2">
        <v>0</v>
      </c>
      <c r="H773" s="2">
        <v>0</v>
      </c>
      <c r="I773" s="1">
        <v>0</v>
      </c>
      <c r="J773" s="3" t="s">
        <v>19</v>
      </c>
      <c r="K773" s="2" t="str">
        <f>J773*54299.00</f>
        <v>0</v>
      </c>
      <c r="L773" s="5"/>
    </row>
    <row r="774" spans="1:12" outlineLevel="4">
      <c r="A774" s="10" t="s">
        <v>2411</v>
      </c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5"/>
    </row>
    <row r="775" spans="1:12" outlineLevel="6">
      <c r="A775" s="1"/>
      <c r="B775" s="1">
        <v>958652</v>
      </c>
      <c r="C775" s="1" t="s">
        <v>2412</v>
      </c>
      <c r="D775" s="1">
        <v>52876</v>
      </c>
      <c r="E775" s="2" t="s">
        <v>2413</v>
      </c>
      <c r="F775" s="2" t="s">
        <v>2414</v>
      </c>
      <c r="G775" s="2">
        <v>0</v>
      </c>
      <c r="H775" s="2">
        <v>0</v>
      </c>
      <c r="I775" s="1">
        <v>0</v>
      </c>
      <c r="J775" s="3" t="s">
        <v>19</v>
      </c>
      <c r="K775" s="2" t="str">
        <f>J775*69375.00</f>
        <v>0</v>
      </c>
      <c r="L775" s="5"/>
    </row>
    <row r="776" spans="1:12" outlineLevel="6">
      <c r="A776" s="1"/>
      <c r="B776" s="1">
        <v>958653</v>
      </c>
      <c r="C776" s="1" t="s">
        <v>2415</v>
      </c>
      <c r="D776" s="1">
        <v>30254</v>
      </c>
      <c r="E776" s="2" t="s">
        <v>2416</v>
      </c>
      <c r="F776" s="2" t="s">
        <v>2417</v>
      </c>
      <c r="G776" s="2">
        <v>0</v>
      </c>
      <c r="H776" s="2">
        <v>0</v>
      </c>
      <c r="I776" s="1">
        <v>0</v>
      </c>
      <c r="J776" s="3" t="s">
        <v>19</v>
      </c>
      <c r="K776" s="2" t="str">
        <f>J776*91180.00</f>
        <v>0</v>
      </c>
      <c r="L776" s="5"/>
    </row>
    <row r="777" spans="1:12" outlineLevel="6">
      <c r="A777" s="1"/>
      <c r="B777" s="1">
        <v>958654</v>
      </c>
      <c r="C777" s="1" t="s">
        <v>2418</v>
      </c>
      <c r="D777" s="1">
        <v>96668</v>
      </c>
      <c r="E777" s="2" t="s">
        <v>2419</v>
      </c>
      <c r="F777" s="2" t="s">
        <v>2420</v>
      </c>
      <c r="G777" s="2">
        <v>0</v>
      </c>
      <c r="H777" s="2">
        <v>0</v>
      </c>
      <c r="I777" s="1">
        <v>0</v>
      </c>
      <c r="J777" s="3" t="s">
        <v>19</v>
      </c>
      <c r="K777" s="2" t="str">
        <f>J777*94316.00</f>
        <v>0</v>
      </c>
      <c r="L777" s="5"/>
    </row>
    <row r="778" spans="1:12" outlineLevel="6">
      <c r="A778" s="1"/>
      <c r="B778" s="1">
        <v>958655</v>
      </c>
      <c r="C778" s="1" t="s">
        <v>2421</v>
      </c>
      <c r="D778" s="1">
        <v>30510</v>
      </c>
      <c r="E778" s="2" t="s">
        <v>2422</v>
      </c>
      <c r="F778" s="2" t="s">
        <v>2423</v>
      </c>
      <c r="G778" s="2">
        <v>0</v>
      </c>
      <c r="H778" s="2">
        <v>0</v>
      </c>
      <c r="I778" s="1">
        <v>0</v>
      </c>
      <c r="J778" s="3" t="s">
        <v>19</v>
      </c>
      <c r="K778" s="2" t="str">
        <f>J778*99602.00</f>
        <v>0</v>
      </c>
      <c r="L778" s="5"/>
    </row>
    <row r="779" spans="1:12" outlineLevel="6">
      <c r="A779" s="1"/>
      <c r="B779" s="1">
        <v>958656</v>
      </c>
      <c r="C779" s="1" t="s">
        <v>2424</v>
      </c>
      <c r="D779" s="1">
        <v>87963</v>
      </c>
      <c r="E779" s="2" t="s">
        <v>2425</v>
      </c>
      <c r="F779" s="2" t="s">
        <v>2426</v>
      </c>
      <c r="G779" s="2">
        <v>0</v>
      </c>
      <c r="H779" s="2">
        <v>0</v>
      </c>
      <c r="I779" s="1">
        <v>0</v>
      </c>
      <c r="J779" s="3" t="s">
        <v>19</v>
      </c>
      <c r="K779" s="2" t="str">
        <f>J779*112276.00</f>
        <v>0</v>
      </c>
      <c r="L779" s="5"/>
    </row>
    <row r="780" spans="1:12" outlineLevel="6">
      <c r="A780" s="1"/>
      <c r="B780" s="1">
        <v>958657</v>
      </c>
      <c r="C780" s="1" t="s">
        <v>2427</v>
      </c>
      <c r="D780" s="1">
        <v>92614</v>
      </c>
      <c r="E780" s="2" t="s">
        <v>2428</v>
      </c>
      <c r="F780" s="2" t="s">
        <v>2429</v>
      </c>
      <c r="G780" s="2">
        <v>0</v>
      </c>
      <c r="H780" s="2">
        <v>0</v>
      </c>
      <c r="I780" s="1">
        <v>0</v>
      </c>
      <c r="J780" s="3" t="s">
        <v>19</v>
      </c>
      <c r="K780" s="2" t="str">
        <f>J780*66345.00</f>
        <v>0</v>
      </c>
      <c r="L780" s="5"/>
    </row>
    <row r="781" spans="1:12" outlineLevel="6">
      <c r="A781" s="1"/>
      <c r="B781" s="1">
        <v>958658</v>
      </c>
      <c r="C781" s="1" t="s">
        <v>2430</v>
      </c>
      <c r="D781" s="1">
        <v>90358</v>
      </c>
      <c r="E781" s="2" t="s">
        <v>2431</v>
      </c>
      <c r="F781" s="2" t="s">
        <v>2432</v>
      </c>
      <c r="G781" s="2">
        <v>0</v>
      </c>
      <c r="H781" s="2">
        <v>0</v>
      </c>
      <c r="I781" s="1">
        <v>0</v>
      </c>
      <c r="J781" s="3" t="s">
        <v>19</v>
      </c>
      <c r="K781" s="2" t="str">
        <f>J781*73490.00</f>
        <v>0</v>
      </c>
      <c r="L781" s="5"/>
    </row>
    <row r="782" spans="1:12" outlineLevel="6">
      <c r="A782" s="1"/>
      <c r="B782" s="1">
        <v>958659</v>
      </c>
      <c r="C782" s="1" t="s">
        <v>2433</v>
      </c>
      <c r="D782" s="1">
        <v>21422</v>
      </c>
      <c r="E782" s="2" t="s">
        <v>2434</v>
      </c>
      <c r="F782" s="2" t="s">
        <v>2435</v>
      </c>
      <c r="G782" s="2">
        <v>0</v>
      </c>
      <c r="H782" s="2">
        <v>0</v>
      </c>
      <c r="I782" s="1">
        <v>0</v>
      </c>
      <c r="J782" s="3" t="s">
        <v>19</v>
      </c>
      <c r="K782" s="2" t="str">
        <f>J782*92194.00</f>
        <v>0</v>
      </c>
      <c r="L782" s="5"/>
    </row>
    <row r="783" spans="1:12" outlineLevel="6">
      <c r="A783" s="1"/>
      <c r="B783" s="1">
        <v>958660</v>
      </c>
      <c r="C783" s="1" t="s">
        <v>2436</v>
      </c>
      <c r="D783" s="1">
        <v>97861</v>
      </c>
      <c r="E783" s="2" t="s">
        <v>2437</v>
      </c>
      <c r="F783" s="2" t="s">
        <v>2438</v>
      </c>
      <c r="G783" s="2">
        <v>0</v>
      </c>
      <c r="H783" s="2">
        <v>0</v>
      </c>
      <c r="I783" s="1">
        <v>0</v>
      </c>
      <c r="J783" s="3" t="s">
        <v>19</v>
      </c>
      <c r="K783" s="2" t="str">
        <f>J783*98210.00</f>
        <v>0</v>
      </c>
      <c r="L783" s="5"/>
    </row>
    <row r="784" spans="1:12" outlineLevel="6">
      <c r="A784" s="1"/>
      <c r="B784" s="1">
        <v>958661</v>
      </c>
      <c r="C784" s="1" t="s">
        <v>2439</v>
      </c>
      <c r="D784" s="1">
        <v>81025</v>
      </c>
      <c r="E784" s="2" t="s">
        <v>2440</v>
      </c>
      <c r="F784" s="2" t="s">
        <v>2441</v>
      </c>
      <c r="G784" s="2">
        <v>0</v>
      </c>
      <c r="H784" s="2">
        <v>0</v>
      </c>
      <c r="I784" s="1">
        <v>0</v>
      </c>
      <c r="J784" s="3" t="s">
        <v>19</v>
      </c>
      <c r="K784" s="2" t="str">
        <f>J784*107912.00</f>
        <v>0</v>
      </c>
      <c r="L784" s="5"/>
    </row>
    <row r="785" spans="1:12" outlineLevel="6">
      <c r="A785" s="1"/>
      <c r="B785" s="1">
        <v>958662</v>
      </c>
      <c r="C785" s="1" t="s">
        <v>2442</v>
      </c>
      <c r="D785" s="1">
        <v>52072</v>
      </c>
      <c r="E785" s="2" t="s">
        <v>2443</v>
      </c>
      <c r="F785" s="2" t="s">
        <v>2444</v>
      </c>
      <c r="G785" s="2">
        <v>0</v>
      </c>
      <c r="H785" s="2">
        <v>0</v>
      </c>
      <c r="I785" s="1">
        <v>0</v>
      </c>
      <c r="J785" s="3" t="s">
        <v>19</v>
      </c>
      <c r="K785" s="2" t="str">
        <f>J785*137793.00</f>
        <v>0</v>
      </c>
      <c r="L785" s="5"/>
    </row>
    <row r="786" spans="1:12" outlineLevel="6">
      <c r="A786" s="1"/>
      <c r="B786" s="1">
        <v>958663</v>
      </c>
      <c r="C786" s="1" t="s">
        <v>2445</v>
      </c>
      <c r="D786" s="1">
        <v>52221</v>
      </c>
      <c r="E786" s="2" t="s">
        <v>2446</v>
      </c>
      <c r="F786" s="2" t="s">
        <v>2447</v>
      </c>
      <c r="G786" s="2">
        <v>0</v>
      </c>
      <c r="H786" s="2">
        <v>0</v>
      </c>
      <c r="I786" s="1">
        <v>0</v>
      </c>
      <c r="J786" s="3" t="s">
        <v>19</v>
      </c>
      <c r="K786" s="2" t="str">
        <f>J786*153103.00</f>
        <v>0</v>
      </c>
      <c r="L786" s="5"/>
    </row>
    <row r="787" spans="1:12" outlineLevel="6">
      <c r="A787" s="1"/>
      <c r="B787" s="1">
        <v>958664</v>
      </c>
      <c r="C787" s="1" t="s">
        <v>2448</v>
      </c>
      <c r="D787" s="1">
        <v>10613</v>
      </c>
      <c r="E787" s="2" t="s">
        <v>2449</v>
      </c>
      <c r="F787" s="2" t="s">
        <v>2450</v>
      </c>
      <c r="G787" s="2">
        <v>0</v>
      </c>
      <c r="H787" s="2">
        <v>0</v>
      </c>
      <c r="I787" s="1">
        <v>0</v>
      </c>
      <c r="J787" s="3" t="s">
        <v>19</v>
      </c>
      <c r="K787" s="2" t="str">
        <f>J787*71448.00</f>
        <v>0</v>
      </c>
      <c r="L787" s="5"/>
    </row>
    <row r="788" spans="1:12" outlineLevel="6">
      <c r="A788" s="1"/>
      <c r="B788" s="1">
        <v>958665</v>
      </c>
      <c r="C788" s="1" t="s">
        <v>2451</v>
      </c>
      <c r="D788" s="1">
        <v>13374</v>
      </c>
      <c r="E788" s="2" t="s">
        <v>2452</v>
      </c>
      <c r="F788" s="2" t="s">
        <v>2453</v>
      </c>
      <c r="G788" s="2">
        <v>0</v>
      </c>
      <c r="H788" s="2">
        <v>0</v>
      </c>
      <c r="I788" s="1">
        <v>0</v>
      </c>
      <c r="J788" s="3" t="s">
        <v>19</v>
      </c>
      <c r="K788" s="2" t="str">
        <f>J788*75850.00</f>
        <v>0</v>
      </c>
      <c r="L788" s="5"/>
    </row>
    <row r="789" spans="1:12" outlineLevel="6">
      <c r="A789" s="1"/>
      <c r="B789" s="1">
        <v>958666</v>
      </c>
      <c r="C789" s="1" t="s">
        <v>2454</v>
      </c>
      <c r="D789" s="1">
        <v>42126</v>
      </c>
      <c r="E789" s="2" t="s">
        <v>2455</v>
      </c>
      <c r="F789" s="2" t="s">
        <v>2456</v>
      </c>
      <c r="G789" s="2">
        <v>0</v>
      </c>
      <c r="H789" s="2">
        <v>0</v>
      </c>
      <c r="I789" s="1">
        <v>0</v>
      </c>
      <c r="J789" s="3" t="s">
        <v>19</v>
      </c>
      <c r="K789" s="2" t="str">
        <f>J789*77987.00</f>
        <v>0</v>
      </c>
      <c r="L789" s="5"/>
    </row>
    <row r="790" spans="1:12" outlineLevel="6">
      <c r="A790" s="1"/>
      <c r="B790" s="1">
        <v>958667</v>
      </c>
      <c r="C790" s="1" t="s">
        <v>2457</v>
      </c>
      <c r="D790" s="1">
        <v>55846</v>
      </c>
      <c r="E790" s="2" t="s">
        <v>2458</v>
      </c>
      <c r="F790" s="2" t="s">
        <v>2459</v>
      </c>
      <c r="G790" s="2">
        <v>0</v>
      </c>
      <c r="H790" s="2">
        <v>0</v>
      </c>
      <c r="I790" s="1">
        <v>0</v>
      </c>
      <c r="J790" s="3" t="s">
        <v>19</v>
      </c>
      <c r="K790" s="2" t="str">
        <f>J790*117379.00</f>
        <v>0</v>
      </c>
      <c r="L790" s="5"/>
    </row>
    <row r="791" spans="1:12" outlineLevel="6">
      <c r="A791" s="1"/>
      <c r="B791" s="1">
        <v>958668</v>
      </c>
      <c r="C791" s="1" t="s">
        <v>2460</v>
      </c>
      <c r="D791" s="1">
        <v>77038</v>
      </c>
      <c r="E791" s="2" t="s">
        <v>2461</v>
      </c>
      <c r="F791" s="2" t="s">
        <v>2462</v>
      </c>
      <c r="G791" s="2">
        <v>0</v>
      </c>
      <c r="H791" s="2">
        <v>0</v>
      </c>
      <c r="I791" s="1">
        <v>0</v>
      </c>
      <c r="J791" s="3" t="s">
        <v>19</v>
      </c>
      <c r="K791" s="2" t="str">
        <f>J791*127586.00</f>
        <v>0</v>
      </c>
      <c r="L791" s="5"/>
    </row>
    <row r="792" spans="1:12" outlineLevel="6">
      <c r="A792" s="1"/>
      <c r="B792" s="1">
        <v>958669</v>
      </c>
      <c r="C792" s="1" t="s">
        <v>2463</v>
      </c>
      <c r="D792" s="1">
        <v>22962</v>
      </c>
      <c r="E792" s="2" t="s">
        <v>2464</v>
      </c>
      <c r="F792" s="2" t="s">
        <v>2465</v>
      </c>
      <c r="G792" s="2">
        <v>0</v>
      </c>
      <c r="H792" s="2">
        <v>0</v>
      </c>
      <c r="I792" s="1">
        <v>0</v>
      </c>
      <c r="J792" s="3" t="s">
        <v>19</v>
      </c>
      <c r="K792" s="2" t="str">
        <f>J792*142897.00</f>
        <v>0</v>
      </c>
      <c r="L792" s="5"/>
    </row>
    <row r="793" spans="1:12" outlineLevel="6">
      <c r="A793" s="1"/>
      <c r="B793" s="1">
        <v>958670</v>
      </c>
      <c r="C793" s="1" t="s">
        <v>2466</v>
      </c>
      <c r="D793" s="1">
        <v>86939</v>
      </c>
      <c r="E793" s="2" t="s">
        <v>2467</v>
      </c>
      <c r="F793" s="2" t="s">
        <v>2468</v>
      </c>
      <c r="G793" s="2">
        <v>0</v>
      </c>
      <c r="H793" s="2">
        <v>0</v>
      </c>
      <c r="I793" s="1">
        <v>0</v>
      </c>
      <c r="J793" s="3" t="s">
        <v>19</v>
      </c>
      <c r="K793" s="2" t="str">
        <f>J793*81655.00</f>
        <v>0</v>
      </c>
      <c r="L793" s="5"/>
    </row>
    <row r="794" spans="1:12" outlineLevel="6">
      <c r="A794" s="1"/>
      <c r="B794" s="1">
        <v>958671</v>
      </c>
      <c r="C794" s="1" t="s">
        <v>2469</v>
      </c>
      <c r="D794" s="1">
        <v>57789</v>
      </c>
      <c r="E794" s="2" t="s">
        <v>2470</v>
      </c>
      <c r="F794" s="2" t="s">
        <v>2471</v>
      </c>
      <c r="G794" s="2">
        <v>0</v>
      </c>
      <c r="H794" s="2">
        <v>0</v>
      </c>
      <c r="I794" s="1">
        <v>0</v>
      </c>
      <c r="J794" s="3" t="s">
        <v>19</v>
      </c>
      <c r="K794" s="2" t="str">
        <f>J794*89821.00</f>
        <v>0</v>
      </c>
      <c r="L794" s="5"/>
    </row>
    <row r="795" spans="1:12" outlineLevel="6">
      <c r="A795" s="1"/>
      <c r="B795" s="1">
        <v>958672</v>
      </c>
      <c r="C795" s="1" t="s">
        <v>2472</v>
      </c>
      <c r="D795" s="1">
        <v>15506</v>
      </c>
      <c r="E795" s="2" t="s">
        <v>2473</v>
      </c>
      <c r="F795" s="2" t="s">
        <v>2474</v>
      </c>
      <c r="G795" s="2">
        <v>0</v>
      </c>
      <c r="H795" s="2">
        <v>0</v>
      </c>
      <c r="I795" s="1">
        <v>0</v>
      </c>
      <c r="J795" s="3" t="s">
        <v>19</v>
      </c>
      <c r="K795" s="2" t="str">
        <f>J795*95945.00</f>
        <v>0</v>
      </c>
      <c r="L795" s="5"/>
    </row>
    <row r="796" spans="1:12" outlineLevel="6">
      <c r="A796" s="1"/>
      <c r="B796" s="1">
        <v>958673</v>
      </c>
      <c r="C796" s="1" t="s">
        <v>2475</v>
      </c>
      <c r="D796" s="1">
        <v>30201</v>
      </c>
      <c r="E796" s="2" t="s">
        <v>2476</v>
      </c>
      <c r="F796" s="2" t="s">
        <v>2477</v>
      </c>
      <c r="G796" s="2">
        <v>0</v>
      </c>
      <c r="H796" s="2">
        <v>0</v>
      </c>
      <c r="I796" s="1">
        <v>0</v>
      </c>
      <c r="J796" s="3" t="s">
        <v>19</v>
      </c>
      <c r="K796" s="2" t="str">
        <f>J796*104971.00</f>
        <v>0</v>
      </c>
      <c r="L796" s="5"/>
    </row>
    <row r="797" spans="1:12" outlineLevel="6">
      <c r="A797" s="1"/>
      <c r="B797" s="1">
        <v>958674</v>
      </c>
      <c r="C797" s="1" t="s">
        <v>2478</v>
      </c>
      <c r="D797" s="1">
        <v>80003</v>
      </c>
      <c r="E797" s="2" t="s">
        <v>2479</v>
      </c>
      <c r="F797" s="2" t="s">
        <v>2480</v>
      </c>
      <c r="G797" s="2">
        <v>0</v>
      </c>
      <c r="H797" s="2">
        <v>0</v>
      </c>
      <c r="I797" s="1">
        <v>0</v>
      </c>
      <c r="J797" s="3" t="s">
        <v>19</v>
      </c>
      <c r="K797" s="2" t="str">
        <f>J797*135958.00</f>
        <v>0</v>
      </c>
      <c r="L797" s="5"/>
    </row>
    <row r="798" spans="1:12" outlineLevel="6">
      <c r="A798" s="1"/>
      <c r="B798" s="1">
        <v>958675</v>
      </c>
      <c r="C798" s="1" t="s">
        <v>2481</v>
      </c>
      <c r="D798" s="1">
        <v>92204</v>
      </c>
      <c r="E798" s="2" t="s">
        <v>2482</v>
      </c>
      <c r="F798" s="2" t="s">
        <v>2483</v>
      </c>
      <c r="G798" s="2">
        <v>0</v>
      </c>
      <c r="H798" s="2">
        <v>0</v>
      </c>
      <c r="I798" s="1">
        <v>0</v>
      </c>
      <c r="J798" s="3" t="s">
        <v>19</v>
      </c>
      <c r="K798" s="2" t="str">
        <f>J798*169522.00</f>
        <v>0</v>
      </c>
      <c r="L798" s="5"/>
    </row>
    <row r="799" spans="1:12" outlineLevel="6">
      <c r="A799" s="1"/>
      <c r="B799" s="1">
        <v>958676</v>
      </c>
      <c r="C799" s="1" t="s">
        <v>2484</v>
      </c>
      <c r="D799" s="1">
        <v>70165</v>
      </c>
      <c r="E799" s="2" t="s">
        <v>2485</v>
      </c>
      <c r="F799" s="2" t="s">
        <v>2486</v>
      </c>
      <c r="G799" s="2">
        <v>0</v>
      </c>
      <c r="H799" s="2">
        <v>0</v>
      </c>
      <c r="I799" s="1">
        <v>0</v>
      </c>
      <c r="J799" s="3" t="s">
        <v>19</v>
      </c>
      <c r="K799" s="2" t="str">
        <f>J799*179828.00</f>
        <v>0</v>
      </c>
      <c r="L799" s="5"/>
    </row>
    <row r="800" spans="1:12" outlineLevel="6">
      <c r="A800" s="1"/>
      <c r="B800" s="1">
        <v>958677</v>
      </c>
      <c r="C800" s="1" t="s">
        <v>2487</v>
      </c>
      <c r="D800" s="1">
        <v>23489</v>
      </c>
      <c r="E800" s="2" t="s">
        <v>2488</v>
      </c>
      <c r="F800" s="2" t="s">
        <v>2489</v>
      </c>
      <c r="G800" s="2">
        <v>0</v>
      </c>
      <c r="H800" s="2">
        <v>0</v>
      </c>
      <c r="I800" s="1">
        <v>0</v>
      </c>
      <c r="J800" s="3" t="s">
        <v>19</v>
      </c>
      <c r="K800" s="2" t="str">
        <f>J800*96966.00</f>
        <v>0</v>
      </c>
      <c r="L800" s="5"/>
    </row>
    <row r="801" spans="1:12" outlineLevel="6">
      <c r="A801" s="1"/>
      <c r="B801" s="1">
        <v>958678</v>
      </c>
      <c r="C801" s="1" t="s">
        <v>2490</v>
      </c>
      <c r="D801" s="1">
        <v>52919</v>
      </c>
      <c r="E801" s="2" t="s">
        <v>2491</v>
      </c>
      <c r="F801" s="2" t="s">
        <v>2492</v>
      </c>
      <c r="G801" s="2">
        <v>0</v>
      </c>
      <c r="H801" s="2">
        <v>0</v>
      </c>
      <c r="I801" s="1">
        <v>0</v>
      </c>
      <c r="J801" s="3" t="s">
        <v>19</v>
      </c>
      <c r="K801" s="2" t="str">
        <f>J801*109738.00</f>
        <v>0</v>
      </c>
      <c r="L801" s="5"/>
    </row>
    <row r="802" spans="1:12" outlineLevel="6">
      <c r="A802" s="1"/>
      <c r="B802" s="1">
        <v>958679</v>
      </c>
      <c r="C802" s="1" t="s">
        <v>2493</v>
      </c>
      <c r="D802" s="1">
        <v>24547</v>
      </c>
      <c r="E802" s="2" t="s">
        <v>2494</v>
      </c>
      <c r="F802" s="2" t="s">
        <v>2495</v>
      </c>
      <c r="G802" s="2">
        <v>0</v>
      </c>
      <c r="H802" s="2">
        <v>0</v>
      </c>
      <c r="I802" s="1">
        <v>0</v>
      </c>
      <c r="J802" s="3" t="s">
        <v>19</v>
      </c>
      <c r="K802" s="2" t="str">
        <f>J802*107627.00</f>
        <v>0</v>
      </c>
      <c r="L802" s="5"/>
    </row>
    <row r="803" spans="1:12" outlineLevel="6">
      <c r="A803" s="1"/>
      <c r="B803" s="1">
        <v>958680</v>
      </c>
      <c r="C803" s="1" t="s">
        <v>2496</v>
      </c>
      <c r="D803" s="1">
        <v>25473</v>
      </c>
      <c r="E803" s="2" t="s">
        <v>2497</v>
      </c>
      <c r="F803" s="2" t="s">
        <v>2459</v>
      </c>
      <c r="G803" s="2">
        <v>0</v>
      </c>
      <c r="H803" s="2">
        <v>0</v>
      </c>
      <c r="I803" s="1">
        <v>0</v>
      </c>
      <c r="J803" s="3" t="s">
        <v>19</v>
      </c>
      <c r="K803" s="2" t="str">
        <f>J803*117379.00</f>
        <v>0</v>
      </c>
      <c r="L803" s="5"/>
    </row>
    <row r="804" spans="1:12" outlineLevel="2">
      <c r="A804" s="8" t="s">
        <v>2498</v>
      </c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5"/>
    </row>
    <row r="805" spans="1:12" outlineLevel="3">
      <c r="A805" s="9" t="s">
        <v>2499</v>
      </c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5"/>
    </row>
    <row r="806" spans="1:12" customHeight="1" ht="105" outlineLevel="5">
      <c r="A806" s="1"/>
      <c r="B806" s="1">
        <v>833331</v>
      </c>
      <c r="C806" s="1" t="s">
        <v>2500</v>
      </c>
      <c r="D806" s="1" t="s">
        <v>2501</v>
      </c>
      <c r="E806" s="2" t="s">
        <v>2502</v>
      </c>
      <c r="F806" s="2" t="s">
        <v>2503</v>
      </c>
      <c r="G806" s="2">
        <v>3</v>
      </c>
      <c r="H806" s="2">
        <v>0</v>
      </c>
      <c r="I806" s="1">
        <v>0</v>
      </c>
      <c r="J806" s="3" t="s">
        <v>19</v>
      </c>
      <c r="K806" s="2" t="str">
        <f>J806*6358.89</f>
        <v>0</v>
      </c>
      <c r="L806" s="5"/>
    </row>
    <row r="807" spans="1:12" customHeight="1" ht="105" outlineLevel="5">
      <c r="A807" s="1"/>
      <c r="B807" s="1">
        <v>833332</v>
      </c>
      <c r="C807" s="1" t="s">
        <v>2504</v>
      </c>
      <c r="D807" s="1" t="s">
        <v>2505</v>
      </c>
      <c r="E807" s="2" t="s">
        <v>2506</v>
      </c>
      <c r="F807" s="2" t="s">
        <v>2507</v>
      </c>
      <c r="G807" s="2">
        <v>3</v>
      </c>
      <c r="H807" s="2">
        <v>0</v>
      </c>
      <c r="I807" s="1">
        <v>0</v>
      </c>
      <c r="J807" s="3" t="s">
        <v>19</v>
      </c>
      <c r="K807" s="2" t="str">
        <f>J807*7334.13</f>
        <v>0</v>
      </c>
      <c r="L807" s="5"/>
    </row>
    <row r="808" spans="1:12" customHeight="1" ht="105" outlineLevel="5">
      <c r="A808" s="1"/>
      <c r="B808" s="1">
        <v>833333</v>
      </c>
      <c r="C808" s="1" t="s">
        <v>2508</v>
      </c>
      <c r="D808" s="1" t="s">
        <v>2509</v>
      </c>
      <c r="E808" s="2" t="s">
        <v>2510</v>
      </c>
      <c r="F808" s="2" t="s">
        <v>2511</v>
      </c>
      <c r="G808" s="2">
        <v>2</v>
      </c>
      <c r="H808" s="2">
        <v>0</v>
      </c>
      <c r="I808" s="1">
        <v>0</v>
      </c>
      <c r="J808" s="3" t="s">
        <v>19</v>
      </c>
      <c r="K808" s="2" t="str">
        <f>J808*7251.14</f>
        <v>0</v>
      </c>
      <c r="L808" s="5"/>
    </row>
    <row r="809" spans="1:12" customHeight="1" ht="105" outlineLevel="5">
      <c r="A809" s="1"/>
      <c r="B809" s="1">
        <v>833334</v>
      </c>
      <c r="C809" s="1" t="s">
        <v>2512</v>
      </c>
      <c r="D809" s="1" t="s">
        <v>2513</v>
      </c>
      <c r="E809" s="2" t="s">
        <v>2514</v>
      </c>
      <c r="F809" s="2" t="s">
        <v>2515</v>
      </c>
      <c r="G809" s="2">
        <v>2</v>
      </c>
      <c r="H809" s="2">
        <v>0</v>
      </c>
      <c r="I809" s="1">
        <v>0</v>
      </c>
      <c r="J809" s="3" t="s">
        <v>19</v>
      </c>
      <c r="K809" s="2" t="str">
        <f>J809*8237.05</f>
        <v>0</v>
      </c>
      <c r="L809" s="5"/>
    </row>
    <row r="810" spans="1:12" customHeight="1" ht="105" outlineLevel="5">
      <c r="A810" s="1"/>
      <c r="B810" s="1">
        <v>833335</v>
      </c>
      <c r="C810" s="1" t="s">
        <v>2516</v>
      </c>
      <c r="D810" s="1" t="s">
        <v>2517</v>
      </c>
      <c r="E810" s="2" t="s">
        <v>2518</v>
      </c>
      <c r="F810" s="2" t="s">
        <v>2519</v>
      </c>
      <c r="G810" s="2">
        <v>0</v>
      </c>
      <c r="H810" s="2">
        <v>0</v>
      </c>
      <c r="I810" s="1">
        <v>0</v>
      </c>
      <c r="J810" s="3" t="s">
        <v>19</v>
      </c>
      <c r="K810" s="2" t="str">
        <f>J810*9057.16</f>
        <v>0</v>
      </c>
      <c r="L810" s="5"/>
    </row>
    <row r="811" spans="1:12" customHeight="1" ht="105" outlineLevel="5">
      <c r="A811" s="1"/>
      <c r="B811" s="1">
        <v>833336</v>
      </c>
      <c r="C811" s="1" t="s">
        <v>2520</v>
      </c>
      <c r="D811" s="1" t="s">
        <v>2521</v>
      </c>
      <c r="E811" s="2" t="s">
        <v>2522</v>
      </c>
      <c r="F811" s="2" t="s">
        <v>2523</v>
      </c>
      <c r="G811" s="2">
        <v>1</v>
      </c>
      <c r="H811" s="2">
        <v>0</v>
      </c>
      <c r="I811" s="1">
        <v>0</v>
      </c>
      <c r="J811" s="3" t="s">
        <v>19</v>
      </c>
      <c r="K811" s="2" t="str">
        <f>J811*8081.45</f>
        <v>0</v>
      </c>
      <c r="L811" s="5"/>
    </row>
    <row r="812" spans="1:12" customHeight="1" ht="105" outlineLevel="5">
      <c r="A812" s="1"/>
      <c r="B812" s="1">
        <v>833337</v>
      </c>
      <c r="C812" s="1" t="s">
        <v>2524</v>
      </c>
      <c r="D812" s="1" t="s">
        <v>2525</v>
      </c>
      <c r="E812" s="2" t="s">
        <v>2526</v>
      </c>
      <c r="F812" s="2" t="s">
        <v>2527</v>
      </c>
      <c r="G812" s="2">
        <v>1</v>
      </c>
      <c r="H812" s="2">
        <v>0</v>
      </c>
      <c r="I812" s="1">
        <v>0</v>
      </c>
      <c r="J812" s="3" t="s">
        <v>19</v>
      </c>
      <c r="K812" s="2" t="str">
        <f>J812*8045.96</f>
        <v>0</v>
      </c>
      <c r="L812" s="5"/>
    </row>
    <row r="813" spans="1:12" customHeight="1" ht="105" outlineLevel="5">
      <c r="A813" s="1"/>
      <c r="B813" s="1">
        <v>833338</v>
      </c>
      <c r="C813" s="1" t="s">
        <v>2528</v>
      </c>
      <c r="D813" s="1" t="s">
        <v>2529</v>
      </c>
      <c r="E813" s="2" t="s">
        <v>2530</v>
      </c>
      <c r="F813" s="2" t="s">
        <v>2531</v>
      </c>
      <c r="G813" s="2">
        <v>1</v>
      </c>
      <c r="H813" s="2">
        <v>0</v>
      </c>
      <c r="I813" s="1">
        <v>0</v>
      </c>
      <c r="J813" s="3" t="s">
        <v>19</v>
      </c>
      <c r="K813" s="2" t="str">
        <f>J813*9737.50</f>
        <v>0</v>
      </c>
      <c r="L813" s="5"/>
    </row>
    <row r="814" spans="1:12" customHeight="1" ht="105" outlineLevel="5">
      <c r="A814" s="1"/>
      <c r="B814" s="1">
        <v>833339</v>
      </c>
      <c r="C814" s="1" t="s">
        <v>2532</v>
      </c>
      <c r="D814" s="1" t="s">
        <v>2533</v>
      </c>
      <c r="E814" s="2" t="s">
        <v>2534</v>
      </c>
      <c r="F814" s="2" t="s">
        <v>2535</v>
      </c>
      <c r="G814" s="2">
        <v>2</v>
      </c>
      <c r="H814" s="2">
        <v>0</v>
      </c>
      <c r="I814" s="1">
        <v>0</v>
      </c>
      <c r="J814" s="3" t="s">
        <v>19</v>
      </c>
      <c r="K814" s="2" t="str">
        <f>J814*9674.57</f>
        <v>0</v>
      </c>
      <c r="L814" s="5"/>
    </row>
    <row r="815" spans="1:12" customHeight="1" ht="105" outlineLevel="5">
      <c r="A815" s="1"/>
      <c r="B815" s="1">
        <v>839070</v>
      </c>
      <c r="C815" s="1" t="s">
        <v>2536</v>
      </c>
      <c r="D815" s="1" t="s">
        <v>2537</v>
      </c>
      <c r="E815" s="2" t="s">
        <v>2538</v>
      </c>
      <c r="F815" s="2" t="s">
        <v>2539</v>
      </c>
      <c r="G815" s="2">
        <v>0</v>
      </c>
      <c r="H815" s="2">
        <v>0</v>
      </c>
      <c r="I815" s="1">
        <v>0</v>
      </c>
      <c r="J815" s="3" t="s">
        <v>19</v>
      </c>
      <c r="K815" s="2" t="str">
        <f>J815*8817.08</f>
        <v>0</v>
      </c>
      <c r="L815" s="5"/>
    </row>
    <row r="816" spans="1:12" customHeight="1" ht="105" outlineLevel="5">
      <c r="A816" s="1"/>
      <c r="B816" s="1">
        <v>839071</v>
      </c>
      <c r="C816" s="1" t="s">
        <v>2540</v>
      </c>
      <c r="D816" s="1" t="s">
        <v>2541</v>
      </c>
      <c r="E816" s="2" t="s">
        <v>2542</v>
      </c>
      <c r="F816" s="2" t="s">
        <v>2543</v>
      </c>
      <c r="G816" s="2">
        <v>1</v>
      </c>
      <c r="H816" s="2">
        <v>0</v>
      </c>
      <c r="I816" s="1">
        <v>0</v>
      </c>
      <c r="J816" s="3" t="s">
        <v>19</v>
      </c>
      <c r="K816" s="2" t="str">
        <f>J816*8510.77</f>
        <v>0</v>
      </c>
      <c r="L816" s="5"/>
    </row>
    <row r="817" spans="1:12" customHeight="1" ht="105" outlineLevel="5">
      <c r="A817" s="1"/>
      <c r="B817" s="1">
        <v>878011</v>
      </c>
      <c r="C817" s="1" t="s">
        <v>2544</v>
      </c>
      <c r="D817" s="1" t="s">
        <v>2545</v>
      </c>
      <c r="E817" s="2" t="s">
        <v>2546</v>
      </c>
      <c r="F817" s="2" t="s">
        <v>2547</v>
      </c>
      <c r="G817" s="2">
        <v>6</v>
      </c>
      <c r="H817" s="2">
        <v>0</v>
      </c>
      <c r="I817" s="1">
        <v>0</v>
      </c>
      <c r="J817" s="3" t="s">
        <v>19</v>
      </c>
      <c r="K817" s="2" t="str">
        <f>J817*6938.40</f>
        <v>0</v>
      </c>
      <c r="L817" s="5"/>
    </row>
    <row r="818" spans="1:12" customHeight="1" ht="105" outlineLevel="5">
      <c r="A818" s="1"/>
      <c r="B818" s="1">
        <v>878012</v>
      </c>
      <c r="C818" s="1" t="s">
        <v>2548</v>
      </c>
      <c r="D818" s="1" t="s">
        <v>2549</v>
      </c>
      <c r="E818" s="2" t="s">
        <v>2550</v>
      </c>
      <c r="F818" s="2" t="s">
        <v>2551</v>
      </c>
      <c r="G818" s="2">
        <v>4</v>
      </c>
      <c r="H818" s="2">
        <v>0</v>
      </c>
      <c r="I818" s="1">
        <v>0</v>
      </c>
      <c r="J818" s="3" t="s">
        <v>19</v>
      </c>
      <c r="K818" s="2" t="str">
        <f>J818*8065.96</f>
        <v>0</v>
      </c>
      <c r="L818" s="5"/>
    </row>
    <row r="819" spans="1:12" customHeight="1" ht="105" outlineLevel="5">
      <c r="A819" s="1"/>
      <c r="B819" s="1">
        <v>878013</v>
      </c>
      <c r="C819" s="1" t="s">
        <v>2552</v>
      </c>
      <c r="D819" s="1" t="s">
        <v>2553</v>
      </c>
      <c r="E819" s="2" t="s">
        <v>2554</v>
      </c>
      <c r="F819" s="2" t="s">
        <v>2555</v>
      </c>
      <c r="G819" s="2">
        <v>3</v>
      </c>
      <c r="H819" s="2">
        <v>0</v>
      </c>
      <c r="I819" s="1">
        <v>0</v>
      </c>
      <c r="J819" s="3" t="s">
        <v>19</v>
      </c>
      <c r="K819" s="2" t="str">
        <f>J819*9345.60</f>
        <v>0</v>
      </c>
      <c r="L819" s="5"/>
    </row>
    <row r="820" spans="1:12" customHeight="1" ht="105" outlineLevel="5">
      <c r="A820" s="1"/>
      <c r="B820" s="1">
        <v>956597</v>
      </c>
      <c r="C820" s="1" t="s">
        <v>2556</v>
      </c>
      <c r="D820" s="1" t="s">
        <v>2557</v>
      </c>
      <c r="E820" s="2" t="s">
        <v>2558</v>
      </c>
      <c r="F820" s="2" t="s">
        <v>2559</v>
      </c>
      <c r="G820" s="2">
        <v>2</v>
      </c>
      <c r="H820" s="2">
        <v>0</v>
      </c>
      <c r="I820" s="1">
        <v>0</v>
      </c>
      <c r="J820" s="3" t="s">
        <v>19</v>
      </c>
      <c r="K820" s="2" t="str">
        <f>J820*12958.20</f>
        <v>0</v>
      </c>
      <c r="L820" s="5"/>
    </row>
    <row r="821" spans="1:12" customHeight="1" ht="105" outlineLevel="5">
      <c r="A821" s="1"/>
      <c r="B821" s="1">
        <v>956598</v>
      </c>
      <c r="C821" s="1" t="s">
        <v>2560</v>
      </c>
      <c r="D821" s="1" t="s">
        <v>2561</v>
      </c>
      <c r="E821" s="2" t="s">
        <v>2562</v>
      </c>
      <c r="F821" s="2" t="s">
        <v>2563</v>
      </c>
      <c r="G821" s="2">
        <v>2</v>
      </c>
      <c r="H821" s="2">
        <v>0</v>
      </c>
      <c r="I821" s="1">
        <v>0</v>
      </c>
      <c r="J821" s="3" t="s">
        <v>19</v>
      </c>
      <c r="K821" s="2" t="str">
        <f>J821*14148.27</f>
        <v>0</v>
      </c>
      <c r="L821" s="5"/>
    </row>
    <row r="822" spans="1:12" outlineLevel="3">
      <c r="A822" s="9" t="s">
        <v>2564</v>
      </c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5"/>
    </row>
    <row r="823" spans="1:12" outlineLevel="5">
      <c r="A823" s="1"/>
      <c r="B823" s="1">
        <v>958507</v>
      </c>
      <c r="C823" s="1" t="s">
        <v>2565</v>
      </c>
      <c r="D823" s="1">
        <v>12580</v>
      </c>
      <c r="E823" s="2" t="s">
        <v>2566</v>
      </c>
      <c r="F823" s="2" t="s">
        <v>2567</v>
      </c>
      <c r="G823" s="2">
        <v>0</v>
      </c>
      <c r="H823" s="2">
        <v>0</v>
      </c>
      <c r="I823" s="1">
        <v>0</v>
      </c>
      <c r="J823" s="3" t="s">
        <v>19</v>
      </c>
      <c r="K823" s="2" t="str">
        <f>J823*12993.00</f>
        <v>0</v>
      </c>
      <c r="L823" s="5"/>
    </row>
    <row r="824" spans="1:12" outlineLevel="5">
      <c r="A824" s="1"/>
      <c r="B824" s="1">
        <v>958508</v>
      </c>
      <c r="C824" s="1" t="s">
        <v>2568</v>
      </c>
      <c r="D824" s="1">
        <v>15636</v>
      </c>
      <c r="E824" s="2" t="s">
        <v>2569</v>
      </c>
      <c r="F824" s="2" t="s">
        <v>2570</v>
      </c>
      <c r="G824" s="2">
        <v>0</v>
      </c>
      <c r="H824" s="2">
        <v>0</v>
      </c>
      <c r="I824" s="1">
        <v>0</v>
      </c>
      <c r="J824" s="3" t="s">
        <v>19</v>
      </c>
      <c r="K824" s="2" t="str">
        <f>J824*9521.00</f>
        <v>0</v>
      </c>
      <c r="L824" s="5"/>
    </row>
    <row r="825" spans="1:12" outlineLevel="5">
      <c r="A825" s="1"/>
      <c r="B825" s="1">
        <v>958509</v>
      </c>
      <c r="C825" s="1" t="s">
        <v>2571</v>
      </c>
      <c r="D825" s="1">
        <v>11677</v>
      </c>
      <c r="E825" s="2" t="s">
        <v>2572</v>
      </c>
      <c r="F825" s="2" t="s">
        <v>2573</v>
      </c>
      <c r="G825" s="2">
        <v>0</v>
      </c>
      <c r="H825" s="2">
        <v>0</v>
      </c>
      <c r="I825" s="1">
        <v>0</v>
      </c>
      <c r="J825" s="3" t="s">
        <v>19</v>
      </c>
      <c r="K825" s="2" t="str">
        <f>J825*10887.00</f>
        <v>0</v>
      </c>
      <c r="L825" s="5"/>
    </row>
    <row r="826" spans="1:12" outlineLevel="5">
      <c r="A826" s="1"/>
      <c r="B826" s="1">
        <v>958510</v>
      </c>
      <c r="C826" s="1" t="s">
        <v>2574</v>
      </c>
      <c r="D826" s="1">
        <v>28921</v>
      </c>
      <c r="E826" s="2" t="s">
        <v>2575</v>
      </c>
      <c r="F826" s="2" t="s">
        <v>2576</v>
      </c>
      <c r="G826" s="2">
        <v>0</v>
      </c>
      <c r="H826" s="2">
        <v>0</v>
      </c>
      <c r="I826" s="1">
        <v>0</v>
      </c>
      <c r="J826" s="3" t="s">
        <v>19</v>
      </c>
      <c r="K826" s="2" t="str">
        <f>J826*13509.00</f>
        <v>0</v>
      </c>
      <c r="L826" s="5"/>
    </row>
    <row r="827" spans="1:12" outlineLevel="1">
      <c r="A827" s="7" t="s">
        <v>2577</v>
      </c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5"/>
    </row>
    <row r="828" spans="1:12" outlineLevel="2">
      <c r="A828" s="8" t="s">
        <v>2578</v>
      </c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5"/>
    </row>
    <row r="829" spans="1:12" customHeight="1" ht="105" outlineLevel="4">
      <c r="A829" s="1"/>
      <c r="B829" s="1">
        <v>882093</v>
      </c>
      <c r="C829" s="1" t="s">
        <v>2579</v>
      </c>
      <c r="D829" s="1" t="s">
        <v>2580</v>
      </c>
      <c r="E829" s="2" t="s">
        <v>2581</v>
      </c>
      <c r="F829" s="2" t="s">
        <v>2582</v>
      </c>
      <c r="G829" s="2">
        <v>0</v>
      </c>
      <c r="H829" s="2">
        <v>0</v>
      </c>
      <c r="I829" s="1">
        <v>0</v>
      </c>
      <c r="J829" s="3" t="s">
        <v>19</v>
      </c>
      <c r="K829" s="2" t="str">
        <f>J829*6306.30</f>
        <v>0</v>
      </c>
      <c r="L829" s="5"/>
    </row>
    <row r="830" spans="1:12" customHeight="1" ht="105" outlineLevel="4">
      <c r="A830" s="1"/>
      <c r="B830" s="1">
        <v>882098</v>
      </c>
      <c r="C830" s="1" t="s">
        <v>2583</v>
      </c>
      <c r="D830" s="1" t="s">
        <v>2584</v>
      </c>
      <c r="E830" s="2" t="s">
        <v>2585</v>
      </c>
      <c r="F830" s="2" t="s">
        <v>2586</v>
      </c>
      <c r="G830" s="2">
        <v>0</v>
      </c>
      <c r="H830" s="2">
        <v>0</v>
      </c>
      <c r="I830" s="1">
        <v>0</v>
      </c>
      <c r="J830" s="3" t="s">
        <v>19</v>
      </c>
      <c r="K830" s="2" t="str">
        <f>J830*6391.56</f>
        <v>0</v>
      </c>
      <c r="L830" s="5"/>
    </row>
    <row r="831" spans="1:12" customHeight="1" ht="105" outlineLevel="4">
      <c r="A831" s="1"/>
      <c r="B831" s="1">
        <v>833390</v>
      </c>
      <c r="C831" s="1" t="s">
        <v>2587</v>
      </c>
      <c r="D831" s="1" t="s">
        <v>2588</v>
      </c>
      <c r="E831" s="2" t="s">
        <v>2589</v>
      </c>
      <c r="F831" s="2" t="s">
        <v>2590</v>
      </c>
      <c r="G831" s="2">
        <v>1</v>
      </c>
      <c r="H831" s="2">
        <v>0</v>
      </c>
      <c r="I831" s="1">
        <v>0</v>
      </c>
      <c r="J831" s="3" t="s">
        <v>19</v>
      </c>
      <c r="K831" s="2" t="str">
        <f>J831*4121.72</f>
        <v>0</v>
      </c>
      <c r="L831" s="5"/>
    </row>
    <row r="832" spans="1:12" customHeight="1" ht="105" outlineLevel="4">
      <c r="A832" s="1"/>
      <c r="B832" s="1">
        <v>833391</v>
      </c>
      <c r="C832" s="1" t="s">
        <v>2591</v>
      </c>
      <c r="D832" s="1" t="s">
        <v>2592</v>
      </c>
      <c r="E832" s="2" t="s">
        <v>2593</v>
      </c>
      <c r="F832" s="2" t="s">
        <v>2594</v>
      </c>
      <c r="G832" s="2">
        <v>3</v>
      </c>
      <c r="H832" s="2">
        <v>0</v>
      </c>
      <c r="I832" s="1">
        <v>0</v>
      </c>
      <c r="J832" s="3" t="s">
        <v>19</v>
      </c>
      <c r="K832" s="2" t="str">
        <f>J832*7281.24</f>
        <v>0</v>
      </c>
      <c r="L832" s="5"/>
    </row>
    <row r="833" spans="1:12" customHeight="1" ht="105" outlineLevel="4">
      <c r="A833" s="1"/>
      <c r="B833" s="1">
        <v>833392</v>
      </c>
      <c r="C833" s="1" t="s">
        <v>2595</v>
      </c>
      <c r="D833" s="1" t="s">
        <v>2596</v>
      </c>
      <c r="E833" s="2" t="s">
        <v>2597</v>
      </c>
      <c r="F833" s="2" t="s">
        <v>2598</v>
      </c>
      <c r="G833" s="2">
        <v>3</v>
      </c>
      <c r="H833" s="2">
        <v>0</v>
      </c>
      <c r="I833" s="1">
        <v>0</v>
      </c>
      <c r="J833" s="3" t="s">
        <v>19</v>
      </c>
      <c r="K833" s="2" t="str">
        <f>J833*3733.15</f>
        <v>0</v>
      </c>
      <c r="L833" s="5"/>
    </row>
    <row r="834" spans="1:12" customHeight="1" ht="105" outlineLevel="4">
      <c r="A834" s="1"/>
      <c r="B834" s="1">
        <v>833394</v>
      </c>
      <c r="C834" s="1" t="s">
        <v>2599</v>
      </c>
      <c r="D834" s="1" t="s">
        <v>2600</v>
      </c>
      <c r="E834" s="2" t="s">
        <v>2601</v>
      </c>
      <c r="F834" s="2" t="s">
        <v>2602</v>
      </c>
      <c r="G834" s="2">
        <v>3</v>
      </c>
      <c r="H834" s="2">
        <v>0</v>
      </c>
      <c r="I834" s="1">
        <v>0</v>
      </c>
      <c r="J834" s="3" t="s">
        <v>19</v>
      </c>
      <c r="K834" s="2" t="str">
        <f>J834*10404.85</f>
        <v>0</v>
      </c>
      <c r="L834" s="5"/>
    </row>
    <row r="835" spans="1:12" customHeight="1" ht="105" outlineLevel="4">
      <c r="A835" s="1"/>
      <c r="B835" s="1">
        <v>833396</v>
      </c>
      <c r="C835" s="1" t="s">
        <v>2603</v>
      </c>
      <c r="D835" s="1" t="s">
        <v>2604</v>
      </c>
      <c r="E835" s="2" t="s">
        <v>2605</v>
      </c>
      <c r="F835" s="2" t="s">
        <v>2606</v>
      </c>
      <c r="G835" s="2">
        <v>2</v>
      </c>
      <c r="H835" s="2">
        <v>0</v>
      </c>
      <c r="I835" s="1">
        <v>0</v>
      </c>
      <c r="J835" s="3" t="s">
        <v>19</v>
      </c>
      <c r="K835" s="2" t="str">
        <f>J835*8573.81</f>
        <v>0</v>
      </c>
      <c r="L835" s="5"/>
    </row>
    <row r="836" spans="1:12" customHeight="1" ht="105" outlineLevel="4">
      <c r="A836" s="1"/>
      <c r="B836" s="1">
        <v>833397</v>
      </c>
      <c r="C836" s="1" t="s">
        <v>2607</v>
      </c>
      <c r="D836" s="1" t="s">
        <v>2608</v>
      </c>
      <c r="E836" s="2" t="s">
        <v>2609</v>
      </c>
      <c r="F836" s="2" t="s">
        <v>2610</v>
      </c>
      <c r="G836" s="2">
        <v>2</v>
      </c>
      <c r="H836" s="2">
        <v>0</v>
      </c>
      <c r="I836" s="1">
        <v>0</v>
      </c>
      <c r="J836" s="3" t="s">
        <v>19</v>
      </c>
      <c r="K836" s="2" t="str">
        <f>J836*8835.95</f>
        <v>0</v>
      </c>
      <c r="L836" s="5"/>
    </row>
    <row r="837" spans="1:12" customHeight="1" ht="105" outlineLevel="4">
      <c r="A837" s="1"/>
      <c r="B837" s="1">
        <v>833402</v>
      </c>
      <c r="C837" s="1" t="s">
        <v>2611</v>
      </c>
      <c r="D837" s="1" t="s">
        <v>2612</v>
      </c>
      <c r="E837" s="2" t="s">
        <v>2613</v>
      </c>
      <c r="F837" s="2" t="s">
        <v>2614</v>
      </c>
      <c r="G837" s="2">
        <v>2</v>
      </c>
      <c r="H837" s="2">
        <v>0</v>
      </c>
      <c r="I837" s="1">
        <v>0</v>
      </c>
      <c r="J837" s="3" t="s">
        <v>19</v>
      </c>
      <c r="K837" s="2" t="str">
        <f>J837*7388.23</f>
        <v>0</v>
      </c>
      <c r="L837" s="5"/>
    </row>
    <row r="838" spans="1:12" customHeight="1" ht="105" outlineLevel="4">
      <c r="A838" s="1"/>
      <c r="B838" s="1">
        <v>833403</v>
      </c>
      <c r="C838" s="1" t="s">
        <v>2615</v>
      </c>
      <c r="D838" s="1" t="s">
        <v>2616</v>
      </c>
      <c r="E838" s="2" t="s">
        <v>2617</v>
      </c>
      <c r="F838" s="2" t="s">
        <v>2618</v>
      </c>
      <c r="G838" s="2">
        <v>3</v>
      </c>
      <c r="H838" s="2">
        <v>0</v>
      </c>
      <c r="I838" s="1">
        <v>0</v>
      </c>
      <c r="J838" s="3" t="s">
        <v>19</v>
      </c>
      <c r="K838" s="2" t="str">
        <f>J838*7322.74</f>
        <v>0</v>
      </c>
      <c r="L838" s="5"/>
    </row>
    <row r="839" spans="1:12" customHeight="1" ht="105" outlineLevel="4">
      <c r="A839" s="1"/>
      <c r="B839" s="1">
        <v>837271</v>
      </c>
      <c r="C839" s="1" t="s">
        <v>2619</v>
      </c>
      <c r="D839" s="1" t="s">
        <v>2620</v>
      </c>
      <c r="E839" s="2" t="s">
        <v>2621</v>
      </c>
      <c r="F839" s="2" t="s">
        <v>2622</v>
      </c>
      <c r="G839" s="2">
        <v>1</v>
      </c>
      <c r="H839" s="2">
        <v>0</v>
      </c>
      <c r="I839" s="1">
        <v>0</v>
      </c>
      <c r="J839" s="3" t="s">
        <v>19</v>
      </c>
      <c r="K839" s="2" t="str">
        <f>J839*6164.28</f>
        <v>0</v>
      </c>
      <c r="L839" s="5"/>
    </row>
    <row r="840" spans="1:12" customHeight="1" ht="105" outlineLevel="4">
      <c r="A840" s="1"/>
      <c r="B840" s="1">
        <v>837273</v>
      </c>
      <c r="C840" s="1" t="s">
        <v>2623</v>
      </c>
      <c r="D840" s="1" t="s">
        <v>2624</v>
      </c>
      <c r="E840" s="2" t="s">
        <v>2625</v>
      </c>
      <c r="F840" s="2" t="s">
        <v>2626</v>
      </c>
      <c r="G840" s="2">
        <v>2</v>
      </c>
      <c r="H840" s="2">
        <v>0</v>
      </c>
      <c r="I840" s="1">
        <v>0</v>
      </c>
      <c r="J840" s="3" t="s">
        <v>19</v>
      </c>
      <c r="K840" s="2" t="str">
        <f>J840*9683.28</f>
        <v>0</v>
      </c>
      <c r="L840" s="5"/>
    </row>
    <row r="841" spans="1:12" customHeight="1" ht="105" outlineLevel="4">
      <c r="A841" s="1"/>
      <c r="B841" s="1">
        <v>837276</v>
      </c>
      <c r="C841" s="1" t="s">
        <v>2627</v>
      </c>
      <c r="D841" s="1" t="s">
        <v>2628</v>
      </c>
      <c r="E841" s="2" t="s">
        <v>2629</v>
      </c>
      <c r="F841" s="2" t="s">
        <v>2630</v>
      </c>
      <c r="G841" s="2">
        <v>2</v>
      </c>
      <c r="H841" s="2">
        <v>0</v>
      </c>
      <c r="I841" s="1">
        <v>0</v>
      </c>
      <c r="J841" s="3" t="s">
        <v>19</v>
      </c>
      <c r="K841" s="2" t="str">
        <f>J841*9279.38</f>
        <v>0</v>
      </c>
      <c r="L841" s="5"/>
    </row>
    <row r="842" spans="1:12" customHeight="1" ht="105" outlineLevel="4">
      <c r="A842" s="1"/>
      <c r="B842" s="1">
        <v>839077</v>
      </c>
      <c r="C842" s="1" t="s">
        <v>2631</v>
      </c>
      <c r="D842" s="1" t="s">
        <v>2632</v>
      </c>
      <c r="E842" s="2" t="s">
        <v>2633</v>
      </c>
      <c r="F842" s="2" t="s">
        <v>2634</v>
      </c>
      <c r="G842" s="2">
        <v>5</v>
      </c>
      <c r="H842" s="2">
        <v>0</v>
      </c>
      <c r="I842" s="1">
        <v>0</v>
      </c>
      <c r="J842" s="3" t="s">
        <v>19</v>
      </c>
      <c r="K842" s="2" t="str">
        <f>J842*5701.42</f>
        <v>0</v>
      </c>
      <c r="L842" s="5"/>
    </row>
    <row r="843" spans="1:12" customHeight="1" ht="105" outlineLevel="4">
      <c r="A843" s="1"/>
      <c r="B843" s="1">
        <v>839078</v>
      </c>
      <c r="C843" s="1" t="s">
        <v>2635</v>
      </c>
      <c r="D843" s="1" t="s">
        <v>2636</v>
      </c>
      <c r="E843" s="2" t="s">
        <v>2637</v>
      </c>
      <c r="F843" s="2" t="s">
        <v>2638</v>
      </c>
      <c r="G843" s="2">
        <v>2</v>
      </c>
      <c r="H843" s="2">
        <v>0</v>
      </c>
      <c r="I843" s="1">
        <v>0</v>
      </c>
      <c r="J843" s="3" t="s">
        <v>19</v>
      </c>
      <c r="K843" s="2" t="str">
        <f>J843*7044.12</f>
        <v>0</v>
      </c>
      <c r="L843" s="5"/>
    </row>
    <row r="844" spans="1:12" customHeight="1" ht="105" outlineLevel="4">
      <c r="A844" s="1"/>
      <c r="B844" s="1">
        <v>858841</v>
      </c>
      <c r="C844" s="1" t="s">
        <v>2639</v>
      </c>
      <c r="D844" s="1" t="s">
        <v>2640</v>
      </c>
      <c r="E844" s="2" t="s">
        <v>2641</v>
      </c>
      <c r="F844" s="2" t="s">
        <v>2642</v>
      </c>
      <c r="G844" s="2">
        <v>3</v>
      </c>
      <c r="H844" s="2">
        <v>0</v>
      </c>
      <c r="I844" s="1">
        <v>0</v>
      </c>
      <c r="J844" s="3" t="s">
        <v>19</v>
      </c>
      <c r="K844" s="2" t="str">
        <f>J844*11787.43</f>
        <v>0</v>
      </c>
      <c r="L844" s="5"/>
    </row>
    <row r="845" spans="1:12" customHeight="1" ht="105" outlineLevel="4">
      <c r="A845" s="1"/>
      <c r="B845" s="1">
        <v>858842</v>
      </c>
      <c r="C845" s="1" t="s">
        <v>2643</v>
      </c>
      <c r="D845" s="1" t="s">
        <v>2644</v>
      </c>
      <c r="E845" s="2" t="s">
        <v>2645</v>
      </c>
      <c r="F845" s="2" t="s">
        <v>2646</v>
      </c>
      <c r="G845" s="2">
        <v>2</v>
      </c>
      <c r="H845" s="2">
        <v>0</v>
      </c>
      <c r="I845" s="1">
        <v>0</v>
      </c>
      <c r="J845" s="3" t="s">
        <v>19</v>
      </c>
      <c r="K845" s="2" t="str">
        <f>J845*20454.26</f>
        <v>0</v>
      </c>
      <c r="L845" s="5"/>
    </row>
    <row r="846" spans="1:12" customHeight="1" ht="105" outlineLevel="4">
      <c r="A846" s="1"/>
      <c r="B846" s="1">
        <v>879332</v>
      </c>
      <c r="C846" s="1" t="s">
        <v>2647</v>
      </c>
      <c r="D846" s="1" t="s">
        <v>2648</v>
      </c>
      <c r="E846" s="2" t="s">
        <v>2649</v>
      </c>
      <c r="F846" s="2" t="s">
        <v>2650</v>
      </c>
      <c r="G846" s="2">
        <v>3</v>
      </c>
      <c r="H846" s="2">
        <v>0</v>
      </c>
      <c r="I846" s="1">
        <v>0</v>
      </c>
      <c r="J846" s="3" t="s">
        <v>19</v>
      </c>
      <c r="K846" s="2" t="str">
        <f>J846*6366.17</f>
        <v>0</v>
      </c>
      <c r="L846" s="5"/>
    </row>
    <row r="847" spans="1:12" customHeight="1" ht="105" outlineLevel="4">
      <c r="A847" s="1"/>
      <c r="B847" s="1">
        <v>879333</v>
      </c>
      <c r="C847" s="1" t="s">
        <v>2651</v>
      </c>
      <c r="D847" s="1" t="s">
        <v>2652</v>
      </c>
      <c r="E847" s="2" t="s">
        <v>2653</v>
      </c>
      <c r="F847" s="2" t="s">
        <v>2654</v>
      </c>
      <c r="G847" s="2">
        <v>3</v>
      </c>
      <c r="H847" s="2">
        <v>0</v>
      </c>
      <c r="I847" s="1">
        <v>0</v>
      </c>
      <c r="J847" s="3" t="s">
        <v>19</v>
      </c>
      <c r="K847" s="2" t="str">
        <f>J847*8182.22</f>
        <v>0</v>
      </c>
      <c r="L847" s="5"/>
    </row>
    <row r="848" spans="1:12" outlineLevel="4">
      <c r="A848" s="1"/>
      <c r="B848" s="1">
        <v>956573</v>
      </c>
      <c r="C848" s="1" t="s">
        <v>2655</v>
      </c>
      <c r="D848" s="1" t="s">
        <v>2656</v>
      </c>
      <c r="E848" s="2" t="s">
        <v>2657</v>
      </c>
      <c r="F848" s="2" t="s">
        <v>2658</v>
      </c>
      <c r="G848" s="2">
        <v>1</v>
      </c>
      <c r="H848" s="2">
        <v>0</v>
      </c>
      <c r="I848" s="1">
        <v>0</v>
      </c>
      <c r="J848" s="3" t="s">
        <v>19</v>
      </c>
      <c r="K848" s="2" t="str">
        <f>J848*6720.25</f>
        <v>0</v>
      </c>
      <c r="L848" s="5"/>
    </row>
    <row r="849" spans="1:12" outlineLevel="4">
      <c r="A849" s="1"/>
      <c r="B849" s="1">
        <v>956574</v>
      </c>
      <c r="C849" s="1" t="s">
        <v>2659</v>
      </c>
      <c r="D849" s="1" t="s">
        <v>2660</v>
      </c>
      <c r="E849" s="2" t="s">
        <v>2661</v>
      </c>
      <c r="F849" s="2" t="s">
        <v>2662</v>
      </c>
      <c r="G849" s="2">
        <v>1</v>
      </c>
      <c r="H849" s="2">
        <v>0</v>
      </c>
      <c r="I849" s="1">
        <v>0</v>
      </c>
      <c r="J849" s="3" t="s">
        <v>19</v>
      </c>
      <c r="K849" s="2" t="str">
        <f>J849*8397.42</f>
        <v>0</v>
      </c>
      <c r="L849" s="5"/>
    </row>
    <row r="850" spans="1:12" outlineLevel="4">
      <c r="A850" s="1"/>
      <c r="B850" s="1">
        <v>956575</v>
      </c>
      <c r="C850" s="1" t="s">
        <v>2663</v>
      </c>
      <c r="D850" s="1" t="s">
        <v>2664</v>
      </c>
      <c r="E850" s="2" t="s">
        <v>2665</v>
      </c>
      <c r="F850" s="2" t="s">
        <v>2666</v>
      </c>
      <c r="G850" s="2">
        <v>1</v>
      </c>
      <c r="H850" s="2">
        <v>0</v>
      </c>
      <c r="I850" s="1">
        <v>0</v>
      </c>
      <c r="J850" s="3" t="s">
        <v>19</v>
      </c>
      <c r="K850" s="2" t="str">
        <f>J850*10638.47</f>
        <v>0</v>
      </c>
      <c r="L850" s="5"/>
    </row>
    <row r="851" spans="1:12" customHeight="1" ht="105" outlineLevel="4">
      <c r="A851" s="1"/>
      <c r="B851" s="1">
        <v>956576</v>
      </c>
      <c r="C851" s="1" t="s">
        <v>2667</v>
      </c>
      <c r="D851" s="1" t="s">
        <v>2668</v>
      </c>
      <c r="E851" s="2" t="s">
        <v>2657</v>
      </c>
      <c r="F851" s="2" t="s">
        <v>1244</v>
      </c>
      <c r="G851" s="2">
        <v>0</v>
      </c>
      <c r="H851" s="2">
        <v>0</v>
      </c>
      <c r="I851" s="1">
        <v>0</v>
      </c>
      <c r="J851" s="3" t="s">
        <v>19</v>
      </c>
      <c r="K851" s="2" t="str">
        <f>J851*5436.35</f>
        <v>0</v>
      </c>
      <c r="L851" s="5"/>
    </row>
    <row r="852" spans="1:12" outlineLevel="4">
      <c r="A852" s="1"/>
      <c r="B852" s="1">
        <v>956577</v>
      </c>
      <c r="C852" s="1" t="s">
        <v>2669</v>
      </c>
      <c r="D852" s="1" t="s">
        <v>2670</v>
      </c>
      <c r="E852" s="2" t="s">
        <v>2661</v>
      </c>
      <c r="F852" s="2" t="s">
        <v>2671</v>
      </c>
      <c r="G852" s="2">
        <v>1</v>
      </c>
      <c r="H852" s="2">
        <v>0</v>
      </c>
      <c r="I852" s="1">
        <v>0</v>
      </c>
      <c r="J852" s="3" t="s">
        <v>19</v>
      </c>
      <c r="K852" s="2" t="str">
        <f>J852*6887.97</f>
        <v>0</v>
      </c>
      <c r="L852" s="5"/>
    </row>
    <row r="853" spans="1:12" outlineLevel="4">
      <c r="A853" s="1"/>
      <c r="B853" s="1">
        <v>956578</v>
      </c>
      <c r="C853" s="1" t="s">
        <v>2672</v>
      </c>
      <c r="D853" s="1" t="s">
        <v>2673</v>
      </c>
      <c r="E853" s="2" t="s">
        <v>2665</v>
      </c>
      <c r="F853" s="2" t="s">
        <v>2674</v>
      </c>
      <c r="G853" s="2">
        <v>1</v>
      </c>
      <c r="H853" s="2">
        <v>0</v>
      </c>
      <c r="I853" s="1">
        <v>0</v>
      </c>
      <c r="J853" s="3" t="s">
        <v>19</v>
      </c>
      <c r="K853" s="2" t="str">
        <f>J853*8698.16</f>
        <v>0</v>
      </c>
      <c r="L853" s="5"/>
    </row>
    <row r="854" spans="1:12" customHeight="1" ht="105" outlineLevel="4">
      <c r="A854" s="1"/>
      <c r="B854" s="1">
        <v>956581</v>
      </c>
      <c r="C854" s="1" t="s">
        <v>2675</v>
      </c>
      <c r="D854" s="1" t="s">
        <v>2676</v>
      </c>
      <c r="E854" s="2" t="s">
        <v>2677</v>
      </c>
      <c r="F854" s="2" t="s">
        <v>2678</v>
      </c>
      <c r="G854" s="2" t="s">
        <v>23</v>
      </c>
      <c r="H854" s="2">
        <v>0</v>
      </c>
      <c r="I854" s="1">
        <v>0</v>
      </c>
      <c r="J854" s="3" t="s">
        <v>19</v>
      </c>
      <c r="K854" s="2" t="str">
        <f>J854*2937.86</f>
        <v>0</v>
      </c>
      <c r="L854" s="5"/>
    </row>
    <row r="855" spans="1:12" customHeight="1" ht="105" outlineLevel="4">
      <c r="A855" s="1"/>
      <c r="B855" s="1">
        <v>956582</v>
      </c>
      <c r="C855" s="1" t="s">
        <v>2679</v>
      </c>
      <c r="D855" s="1" t="s">
        <v>2680</v>
      </c>
      <c r="E855" s="2" t="s">
        <v>2681</v>
      </c>
      <c r="F855" s="2" t="s">
        <v>2682</v>
      </c>
      <c r="G855" s="2">
        <v>6</v>
      </c>
      <c r="H855" s="2">
        <v>0</v>
      </c>
      <c r="I855" s="1">
        <v>0</v>
      </c>
      <c r="J855" s="3" t="s">
        <v>19</v>
      </c>
      <c r="K855" s="2" t="str">
        <f>J855*5127.91</f>
        <v>0</v>
      </c>
      <c r="L855" s="5"/>
    </row>
    <row r="856" spans="1:12" outlineLevel="4">
      <c r="A856" s="1"/>
      <c r="B856" s="1">
        <v>956624</v>
      </c>
      <c r="C856" s="1" t="s">
        <v>2683</v>
      </c>
      <c r="D856" s="1" t="s">
        <v>2684</v>
      </c>
      <c r="E856" s="2" t="s">
        <v>2685</v>
      </c>
      <c r="F856" s="2" t="s">
        <v>2686</v>
      </c>
      <c r="G856" s="2">
        <v>2</v>
      </c>
      <c r="H856" s="2">
        <v>0</v>
      </c>
      <c r="I856" s="1">
        <v>0</v>
      </c>
      <c r="J856" s="3" t="s">
        <v>19</v>
      </c>
      <c r="K856" s="2" t="str">
        <f>J856*10605.44</f>
        <v>0</v>
      </c>
      <c r="L856" s="5"/>
    </row>
    <row r="857" spans="1:12" customHeight="1" ht="105" outlineLevel="4">
      <c r="A857" s="1"/>
      <c r="B857" s="1">
        <v>956625</v>
      </c>
      <c r="C857" s="1" t="s">
        <v>2687</v>
      </c>
      <c r="D857" s="1" t="s">
        <v>2688</v>
      </c>
      <c r="E857" s="2" t="s">
        <v>2689</v>
      </c>
      <c r="F857" s="2" t="s">
        <v>2690</v>
      </c>
      <c r="G857" s="2">
        <v>2</v>
      </c>
      <c r="H857" s="2">
        <v>0</v>
      </c>
      <c r="I857" s="1">
        <v>0</v>
      </c>
      <c r="J857" s="3" t="s">
        <v>19</v>
      </c>
      <c r="K857" s="2" t="str">
        <f>J857*16010.25</f>
        <v>0</v>
      </c>
      <c r="L857" s="5"/>
    </row>
    <row r="858" spans="1:12" customHeight="1" ht="105" outlineLevel="4">
      <c r="A858" s="1"/>
      <c r="B858" s="1">
        <v>956626</v>
      </c>
      <c r="C858" s="1" t="s">
        <v>2691</v>
      </c>
      <c r="D858" s="1" t="s">
        <v>2692</v>
      </c>
      <c r="E858" s="2" t="s">
        <v>2693</v>
      </c>
      <c r="F858" s="2" t="s">
        <v>2694</v>
      </c>
      <c r="G858" s="2">
        <v>2</v>
      </c>
      <c r="H858" s="2">
        <v>0</v>
      </c>
      <c r="I858" s="1">
        <v>0</v>
      </c>
      <c r="J858" s="3" t="s">
        <v>19</v>
      </c>
      <c r="K858" s="2" t="str">
        <f>J858*17986.22</f>
        <v>0</v>
      </c>
      <c r="L858" s="5"/>
    </row>
    <row r="859" spans="1:12" customHeight="1" ht="105" outlineLevel="4">
      <c r="A859" s="1"/>
      <c r="B859" s="1">
        <v>956627</v>
      </c>
      <c r="C859" s="1" t="s">
        <v>2695</v>
      </c>
      <c r="D859" s="1" t="s">
        <v>2696</v>
      </c>
      <c r="E859" s="2" t="s">
        <v>2697</v>
      </c>
      <c r="F859" s="2" t="s">
        <v>2698</v>
      </c>
      <c r="G859" s="2">
        <v>1</v>
      </c>
      <c r="H859" s="2">
        <v>0</v>
      </c>
      <c r="I859" s="1">
        <v>0</v>
      </c>
      <c r="J859" s="3" t="s">
        <v>19</v>
      </c>
      <c r="K859" s="2" t="str">
        <f>J859*21109.23</f>
        <v>0</v>
      </c>
      <c r="L859" s="5"/>
    </row>
    <row r="860" spans="1:12" customHeight="1" ht="105" outlineLevel="4">
      <c r="A860" s="1"/>
      <c r="B860" s="1">
        <v>956628</v>
      </c>
      <c r="C860" s="1" t="s">
        <v>2699</v>
      </c>
      <c r="D860" s="1" t="s">
        <v>2700</v>
      </c>
      <c r="E860" s="2" t="s">
        <v>2701</v>
      </c>
      <c r="F860" s="2" t="s">
        <v>2702</v>
      </c>
      <c r="G860" s="2">
        <v>1</v>
      </c>
      <c r="H860" s="2">
        <v>0</v>
      </c>
      <c r="I860" s="1">
        <v>0</v>
      </c>
      <c r="J860" s="3" t="s">
        <v>19</v>
      </c>
      <c r="K860" s="2" t="str">
        <f>J860*23560.73</f>
        <v>0</v>
      </c>
      <c r="L860" s="5"/>
    </row>
    <row r="861" spans="1:12" customHeight="1" ht="105" outlineLevel="4">
      <c r="A861" s="1"/>
      <c r="B861" s="1">
        <v>956629</v>
      </c>
      <c r="C861" s="1" t="s">
        <v>2703</v>
      </c>
      <c r="D861" s="1" t="s">
        <v>2704</v>
      </c>
      <c r="E861" s="2" t="s">
        <v>2705</v>
      </c>
      <c r="F861" s="2" t="s">
        <v>2706</v>
      </c>
      <c r="G861" s="2">
        <v>1</v>
      </c>
      <c r="H861" s="2">
        <v>0</v>
      </c>
      <c r="I861" s="1">
        <v>0</v>
      </c>
      <c r="J861" s="3" t="s">
        <v>19</v>
      </c>
      <c r="K861" s="2" t="str">
        <f>J861*29292.68</f>
        <v>0</v>
      </c>
      <c r="L861" s="5"/>
    </row>
    <row r="862" spans="1:12" outlineLevel="2">
      <c r="A862" s="8" t="s">
        <v>2707</v>
      </c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5"/>
    </row>
    <row r="863" spans="1:12" outlineLevel="3">
      <c r="A863" s="9" t="s">
        <v>2708</v>
      </c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5"/>
    </row>
    <row r="864" spans="1:12" outlineLevel="5">
      <c r="A864" s="1"/>
      <c r="B864" s="1">
        <v>958310</v>
      </c>
      <c r="C864" s="1" t="s">
        <v>2709</v>
      </c>
      <c r="D864" s="1">
        <v>83861</v>
      </c>
      <c r="E864" s="2" t="s">
        <v>2710</v>
      </c>
      <c r="F864" s="2" t="s">
        <v>2711</v>
      </c>
      <c r="G864" s="2">
        <v>0</v>
      </c>
      <c r="H864" s="2">
        <v>0</v>
      </c>
      <c r="I864" s="1">
        <v>0</v>
      </c>
      <c r="J864" s="3" t="s">
        <v>19</v>
      </c>
      <c r="K864" s="2" t="str">
        <f>J864*4047.00</f>
        <v>0</v>
      </c>
      <c r="L864" s="5"/>
    </row>
    <row r="865" spans="1:12" outlineLevel="5">
      <c r="A865" s="1"/>
      <c r="B865" s="1">
        <v>958311</v>
      </c>
      <c r="C865" s="1" t="s">
        <v>2712</v>
      </c>
      <c r="D865" s="1">
        <v>96432</v>
      </c>
      <c r="E865" s="2" t="s">
        <v>2713</v>
      </c>
      <c r="F865" s="2" t="s">
        <v>2714</v>
      </c>
      <c r="G865" s="2">
        <v>0</v>
      </c>
      <c r="H865" s="2">
        <v>0</v>
      </c>
      <c r="I865" s="1">
        <v>0</v>
      </c>
      <c r="J865" s="3" t="s">
        <v>19</v>
      </c>
      <c r="K865" s="2" t="str">
        <f>J865*5971.00</f>
        <v>0</v>
      </c>
      <c r="L865" s="5"/>
    </row>
    <row r="866" spans="1:12" outlineLevel="5">
      <c r="A866" s="1"/>
      <c r="B866" s="1">
        <v>958312</v>
      </c>
      <c r="C866" s="1" t="s">
        <v>2715</v>
      </c>
      <c r="D866" s="1">
        <v>38873</v>
      </c>
      <c r="E866" s="2" t="s">
        <v>2716</v>
      </c>
      <c r="F866" s="2" t="s">
        <v>2717</v>
      </c>
      <c r="G866" s="2">
        <v>0</v>
      </c>
      <c r="H866" s="2">
        <v>0</v>
      </c>
      <c r="I866" s="1">
        <v>0</v>
      </c>
      <c r="J866" s="3" t="s">
        <v>19</v>
      </c>
      <c r="K866" s="2" t="str">
        <f>J866*6530.00</f>
        <v>0</v>
      </c>
      <c r="L866" s="5"/>
    </row>
    <row r="867" spans="1:12" outlineLevel="3">
      <c r="A867" s="9" t="s">
        <v>2718</v>
      </c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5"/>
    </row>
    <row r="868" spans="1:12" outlineLevel="5">
      <c r="A868" s="1"/>
      <c r="B868" s="1">
        <v>958313</v>
      </c>
      <c r="C868" s="1" t="s">
        <v>2719</v>
      </c>
      <c r="D868" s="1">
        <v>49952</v>
      </c>
      <c r="E868" s="2" t="s">
        <v>2720</v>
      </c>
      <c r="F868" s="2" t="s">
        <v>2721</v>
      </c>
      <c r="G868" s="2">
        <v>0</v>
      </c>
      <c r="H868" s="2">
        <v>0</v>
      </c>
      <c r="I868" s="1">
        <v>0</v>
      </c>
      <c r="J868" s="3" t="s">
        <v>19</v>
      </c>
      <c r="K868" s="2" t="str">
        <f>J868*56515.00</f>
        <v>0</v>
      </c>
      <c r="L868" s="5"/>
    </row>
    <row r="869" spans="1:12" outlineLevel="5">
      <c r="A869" s="1"/>
      <c r="B869" s="1">
        <v>958314</v>
      </c>
      <c r="C869" s="1" t="s">
        <v>2722</v>
      </c>
      <c r="D869" s="1">
        <v>58998</v>
      </c>
      <c r="E869" s="2" t="s">
        <v>2723</v>
      </c>
      <c r="F869" s="2" t="s">
        <v>2724</v>
      </c>
      <c r="G869" s="2">
        <v>0</v>
      </c>
      <c r="H869" s="2">
        <v>0</v>
      </c>
      <c r="I869" s="1">
        <v>0</v>
      </c>
      <c r="J869" s="3" t="s">
        <v>19</v>
      </c>
      <c r="K869" s="2" t="str">
        <f>J869*60282.00</f>
        <v>0</v>
      </c>
      <c r="L869" s="5"/>
    </row>
    <row r="870" spans="1:12" outlineLevel="5">
      <c r="A870" s="1"/>
      <c r="B870" s="1">
        <v>958315</v>
      </c>
      <c r="C870" s="1" t="s">
        <v>2725</v>
      </c>
      <c r="D870" s="1">
        <v>61494</v>
      </c>
      <c r="E870" s="2" t="s">
        <v>2726</v>
      </c>
      <c r="F870" s="2" t="s">
        <v>2727</v>
      </c>
      <c r="G870" s="2">
        <v>0</v>
      </c>
      <c r="H870" s="2">
        <v>0</v>
      </c>
      <c r="I870" s="1">
        <v>0</v>
      </c>
      <c r="J870" s="3" t="s">
        <v>19</v>
      </c>
      <c r="K870" s="2" t="str">
        <f>J870*83516.00</f>
        <v>0</v>
      </c>
      <c r="L870" s="5"/>
    </row>
    <row r="871" spans="1:12" outlineLevel="5">
      <c r="A871" s="1"/>
      <c r="B871" s="1">
        <v>958316</v>
      </c>
      <c r="C871" s="1" t="s">
        <v>2728</v>
      </c>
      <c r="D871" s="1">
        <v>67280</v>
      </c>
      <c r="E871" s="2" t="s">
        <v>2729</v>
      </c>
      <c r="F871" s="2" t="s">
        <v>2730</v>
      </c>
      <c r="G871" s="2">
        <v>0</v>
      </c>
      <c r="H871" s="2">
        <v>0</v>
      </c>
      <c r="I871" s="1">
        <v>0</v>
      </c>
      <c r="J871" s="3" t="s">
        <v>19</v>
      </c>
      <c r="K871" s="2" t="str">
        <f>J871*98065.00</f>
        <v>0</v>
      </c>
      <c r="L871" s="5"/>
    </row>
    <row r="872" spans="1:12" outlineLevel="5">
      <c r="A872" s="1"/>
      <c r="B872" s="1">
        <v>958317</v>
      </c>
      <c r="C872" s="1" t="s">
        <v>2731</v>
      </c>
      <c r="D872" s="1">
        <v>21631</v>
      </c>
      <c r="E872" s="2" t="s">
        <v>2732</v>
      </c>
      <c r="F872" s="2" t="s">
        <v>2733</v>
      </c>
      <c r="G872" s="2">
        <v>0</v>
      </c>
      <c r="H872" s="2">
        <v>0</v>
      </c>
      <c r="I872" s="1">
        <v>0</v>
      </c>
      <c r="J872" s="3" t="s">
        <v>19</v>
      </c>
      <c r="K872" s="2" t="str">
        <f>J872*78448.00</f>
        <v>0</v>
      </c>
      <c r="L872" s="5"/>
    </row>
    <row r="873" spans="1:12" outlineLevel="5">
      <c r="A873" s="1"/>
      <c r="B873" s="1">
        <v>958318</v>
      </c>
      <c r="C873" s="1" t="s">
        <v>2734</v>
      </c>
      <c r="D873" s="1">
        <v>65372</v>
      </c>
      <c r="E873" s="2" t="s">
        <v>2735</v>
      </c>
      <c r="F873" s="2" t="s">
        <v>2736</v>
      </c>
      <c r="G873" s="2">
        <v>0</v>
      </c>
      <c r="H873" s="2">
        <v>0</v>
      </c>
      <c r="I873" s="1">
        <v>0</v>
      </c>
      <c r="J873" s="3" t="s">
        <v>19</v>
      </c>
      <c r="K873" s="2" t="str">
        <f>J873*96772.00</f>
        <v>0</v>
      </c>
      <c r="L873" s="5"/>
    </row>
    <row r="874" spans="1:12" outlineLevel="5">
      <c r="A874" s="1"/>
      <c r="B874" s="1">
        <v>958319</v>
      </c>
      <c r="C874" s="1" t="s">
        <v>2737</v>
      </c>
      <c r="D874" s="1">
        <v>28803</v>
      </c>
      <c r="E874" s="2" t="s">
        <v>2738</v>
      </c>
      <c r="F874" s="2" t="s">
        <v>2739</v>
      </c>
      <c r="G874" s="2">
        <v>0</v>
      </c>
      <c r="H874" s="2">
        <v>0</v>
      </c>
      <c r="I874" s="1">
        <v>0</v>
      </c>
      <c r="J874" s="3" t="s">
        <v>19</v>
      </c>
      <c r="K874" s="2" t="str">
        <f>J874*103204.00</f>
        <v>0</v>
      </c>
      <c r="L874" s="5"/>
    </row>
    <row r="875" spans="1:12" outlineLevel="5">
      <c r="A875" s="1"/>
      <c r="B875" s="1">
        <v>958320</v>
      </c>
      <c r="C875" s="1" t="s">
        <v>2740</v>
      </c>
      <c r="D875" s="1">
        <v>94418</v>
      </c>
      <c r="E875" s="2" t="s">
        <v>2741</v>
      </c>
      <c r="F875" s="2" t="s">
        <v>2742</v>
      </c>
      <c r="G875" s="2">
        <v>0</v>
      </c>
      <c r="H875" s="2">
        <v>0</v>
      </c>
      <c r="I875" s="1">
        <v>0</v>
      </c>
      <c r="J875" s="3" t="s">
        <v>19</v>
      </c>
      <c r="K875" s="2" t="str">
        <f>J875*86646.00</f>
        <v>0</v>
      </c>
      <c r="L875" s="5"/>
    </row>
    <row r="876" spans="1:12" outlineLevel="5">
      <c r="A876" s="1"/>
      <c r="B876" s="1">
        <v>958321</v>
      </c>
      <c r="C876" s="1" t="s">
        <v>2743</v>
      </c>
      <c r="D876" s="1">
        <v>93555</v>
      </c>
      <c r="E876" s="2" t="s">
        <v>2744</v>
      </c>
      <c r="F876" s="2" t="s">
        <v>2745</v>
      </c>
      <c r="G876" s="2">
        <v>0</v>
      </c>
      <c r="H876" s="2">
        <v>0</v>
      </c>
      <c r="I876" s="1">
        <v>0</v>
      </c>
      <c r="J876" s="3" t="s">
        <v>19</v>
      </c>
      <c r="K876" s="2" t="str">
        <f>J876*93170.00</f>
        <v>0</v>
      </c>
      <c r="L876" s="5"/>
    </row>
    <row r="877" spans="1:12" outlineLevel="5">
      <c r="A877" s="1"/>
      <c r="B877" s="1">
        <v>958322</v>
      </c>
      <c r="C877" s="1" t="s">
        <v>2746</v>
      </c>
      <c r="D877" s="1">
        <v>79325</v>
      </c>
      <c r="E877" s="2" t="s">
        <v>2747</v>
      </c>
      <c r="F877" s="2" t="s">
        <v>2748</v>
      </c>
      <c r="G877" s="2">
        <v>0</v>
      </c>
      <c r="H877" s="2">
        <v>0</v>
      </c>
      <c r="I877" s="1">
        <v>0</v>
      </c>
      <c r="J877" s="3" t="s">
        <v>19</v>
      </c>
      <c r="K877" s="2" t="str">
        <f>J877*102285.00</f>
        <v>0</v>
      </c>
      <c r="L877" s="5"/>
    </row>
    <row r="878" spans="1:12" outlineLevel="5">
      <c r="A878" s="1"/>
      <c r="B878" s="1">
        <v>958323</v>
      </c>
      <c r="C878" s="1" t="s">
        <v>2749</v>
      </c>
      <c r="D878" s="1">
        <v>29068</v>
      </c>
      <c r="E878" s="2" t="s">
        <v>2750</v>
      </c>
      <c r="F878" s="2" t="s">
        <v>2751</v>
      </c>
      <c r="G878" s="2">
        <v>0</v>
      </c>
      <c r="H878" s="2">
        <v>0</v>
      </c>
      <c r="I878" s="1">
        <v>0</v>
      </c>
      <c r="J878" s="3" t="s">
        <v>19</v>
      </c>
      <c r="K878" s="2" t="str">
        <f>J878*115866.00</f>
        <v>0</v>
      </c>
      <c r="L878" s="5"/>
    </row>
    <row r="879" spans="1:12" outlineLevel="5">
      <c r="A879" s="1"/>
      <c r="B879" s="1">
        <v>958324</v>
      </c>
      <c r="C879" s="1" t="s">
        <v>2752</v>
      </c>
      <c r="D879" s="1">
        <v>70324</v>
      </c>
      <c r="E879" s="2" t="s">
        <v>2753</v>
      </c>
      <c r="F879" s="2" t="s">
        <v>2754</v>
      </c>
      <c r="G879" s="2">
        <v>0</v>
      </c>
      <c r="H879" s="2">
        <v>0</v>
      </c>
      <c r="I879" s="1">
        <v>0</v>
      </c>
      <c r="J879" s="3" t="s">
        <v>19</v>
      </c>
      <c r="K879" s="2" t="str">
        <f>J879*33870.00</f>
        <v>0</v>
      </c>
      <c r="L879" s="5"/>
    </row>
    <row r="880" spans="1:12" outlineLevel="5">
      <c r="A880" s="1"/>
      <c r="B880" s="1">
        <v>958325</v>
      </c>
      <c r="C880" s="1" t="s">
        <v>2755</v>
      </c>
      <c r="D880" s="1">
        <v>41814</v>
      </c>
      <c r="E880" s="2" t="s">
        <v>2756</v>
      </c>
      <c r="F880" s="2" t="s">
        <v>2757</v>
      </c>
      <c r="G880" s="2">
        <v>0</v>
      </c>
      <c r="H880" s="2">
        <v>0</v>
      </c>
      <c r="I880" s="1">
        <v>0</v>
      </c>
      <c r="J880" s="3" t="s">
        <v>19</v>
      </c>
      <c r="K880" s="2" t="str">
        <f>J880*36035.00</f>
        <v>0</v>
      </c>
      <c r="L880" s="5"/>
    </row>
    <row r="881" spans="1:12" outlineLevel="5">
      <c r="A881" s="1"/>
      <c r="B881" s="1">
        <v>958326</v>
      </c>
      <c r="C881" s="1" t="s">
        <v>2758</v>
      </c>
      <c r="D881" s="1">
        <v>90343</v>
      </c>
      <c r="E881" s="2" t="s">
        <v>2759</v>
      </c>
      <c r="F881" s="2" t="s">
        <v>2760</v>
      </c>
      <c r="G881" s="2">
        <v>0</v>
      </c>
      <c r="H881" s="2">
        <v>0</v>
      </c>
      <c r="I881" s="1">
        <v>0</v>
      </c>
      <c r="J881" s="3" t="s">
        <v>19</v>
      </c>
      <c r="K881" s="2" t="str">
        <f>J881*40404.00</f>
        <v>0</v>
      </c>
      <c r="L881" s="5"/>
    </row>
    <row r="882" spans="1:12" outlineLevel="5">
      <c r="A882" s="1"/>
      <c r="B882" s="1">
        <v>958327</v>
      </c>
      <c r="C882" s="1" t="s">
        <v>2761</v>
      </c>
      <c r="D882" s="1">
        <v>24727</v>
      </c>
      <c r="E882" s="2" t="s">
        <v>2762</v>
      </c>
      <c r="F882" s="2" t="s">
        <v>2763</v>
      </c>
      <c r="G882" s="2">
        <v>0</v>
      </c>
      <c r="H882" s="2">
        <v>0</v>
      </c>
      <c r="I882" s="1">
        <v>0</v>
      </c>
      <c r="J882" s="3" t="s">
        <v>19</v>
      </c>
      <c r="K882" s="2" t="str">
        <f>J882*49814.00</f>
        <v>0</v>
      </c>
      <c r="L882" s="5"/>
    </row>
    <row r="883" spans="1:12" outlineLevel="5">
      <c r="A883" s="1"/>
      <c r="B883" s="1">
        <v>958328</v>
      </c>
      <c r="C883" s="1" t="s">
        <v>2764</v>
      </c>
      <c r="D883" s="1">
        <v>83534</v>
      </c>
      <c r="E883" s="2" t="s">
        <v>2765</v>
      </c>
      <c r="F883" s="2" t="s">
        <v>2766</v>
      </c>
      <c r="G883" s="2">
        <v>0</v>
      </c>
      <c r="H883" s="2">
        <v>0</v>
      </c>
      <c r="I883" s="1">
        <v>0</v>
      </c>
      <c r="J883" s="3" t="s">
        <v>19</v>
      </c>
      <c r="K883" s="2" t="str">
        <f>J883*53025.00</f>
        <v>0</v>
      </c>
      <c r="L883" s="5"/>
    </row>
    <row r="884" spans="1:12" outlineLevel="5">
      <c r="A884" s="1"/>
      <c r="B884" s="1">
        <v>958329</v>
      </c>
      <c r="C884" s="1" t="s">
        <v>2767</v>
      </c>
      <c r="D884" s="1">
        <v>63411</v>
      </c>
      <c r="E884" s="2" t="s">
        <v>2768</v>
      </c>
      <c r="F884" s="2" t="s">
        <v>2769</v>
      </c>
      <c r="G884" s="2">
        <v>0</v>
      </c>
      <c r="H884" s="2">
        <v>0</v>
      </c>
      <c r="I884" s="1">
        <v>0</v>
      </c>
      <c r="J884" s="3" t="s">
        <v>19</v>
      </c>
      <c r="K884" s="2" t="str">
        <f>J884*32564.00</f>
        <v>0</v>
      </c>
      <c r="L884" s="5"/>
    </row>
    <row r="885" spans="1:12" outlineLevel="5">
      <c r="A885" s="1"/>
      <c r="B885" s="1">
        <v>958330</v>
      </c>
      <c r="C885" s="1" t="s">
        <v>2770</v>
      </c>
      <c r="D885" s="1">
        <v>54591</v>
      </c>
      <c r="E885" s="2" t="s">
        <v>2771</v>
      </c>
      <c r="F885" s="2" t="s">
        <v>2772</v>
      </c>
      <c r="G885" s="2">
        <v>0</v>
      </c>
      <c r="H885" s="2">
        <v>0</v>
      </c>
      <c r="I885" s="1">
        <v>0</v>
      </c>
      <c r="J885" s="3" t="s">
        <v>19</v>
      </c>
      <c r="K885" s="2" t="str">
        <f>J885*45259.00</f>
        <v>0</v>
      </c>
      <c r="L885" s="5"/>
    </row>
    <row r="886" spans="1:12" outlineLevel="5">
      <c r="A886" s="1"/>
      <c r="B886" s="1">
        <v>958331</v>
      </c>
      <c r="C886" s="1" t="s">
        <v>2773</v>
      </c>
      <c r="D886" s="1">
        <v>49640</v>
      </c>
      <c r="E886" s="2" t="s">
        <v>2774</v>
      </c>
      <c r="F886" s="2" t="s">
        <v>2775</v>
      </c>
      <c r="G886" s="2">
        <v>0</v>
      </c>
      <c r="H886" s="2">
        <v>0</v>
      </c>
      <c r="I886" s="1">
        <v>0</v>
      </c>
      <c r="J886" s="3" t="s">
        <v>19</v>
      </c>
      <c r="K886" s="2" t="str">
        <f>J886*48322.00</f>
        <v>0</v>
      </c>
      <c r="L886" s="5"/>
    </row>
    <row r="887" spans="1:12" outlineLevel="5">
      <c r="A887" s="1"/>
      <c r="B887" s="1">
        <v>958332</v>
      </c>
      <c r="C887" s="1" t="s">
        <v>2776</v>
      </c>
      <c r="D887" s="1">
        <v>85707</v>
      </c>
      <c r="E887" s="2" t="s">
        <v>2777</v>
      </c>
      <c r="F887" s="2" t="s">
        <v>2778</v>
      </c>
      <c r="G887" s="2">
        <v>0</v>
      </c>
      <c r="H887" s="2">
        <v>0</v>
      </c>
      <c r="I887" s="1">
        <v>0</v>
      </c>
      <c r="J887" s="3" t="s">
        <v>19</v>
      </c>
      <c r="K887" s="2" t="str">
        <f>J887*43991.00</f>
        <v>0</v>
      </c>
      <c r="L887" s="5"/>
    </row>
    <row r="888" spans="1:12" outlineLevel="5">
      <c r="A888" s="1"/>
      <c r="B888" s="1">
        <v>958333</v>
      </c>
      <c r="C888" s="1" t="s">
        <v>2779</v>
      </c>
      <c r="D888" s="1">
        <v>17138</v>
      </c>
      <c r="E888" s="2" t="s">
        <v>2780</v>
      </c>
      <c r="F888" s="2" t="s">
        <v>2781</v>
      </c>
      <c r="G888" s="2">
        <v>0</v>
      </c>
      <c r="H888" s="2">
        <v>0</v>
      </c>
      <c r="I888" s="1">
        <v>0</v>
      </c>
      <c r="J888" s="3" t="s">
        <v>19</v>
      </c>
      <c r="K888" s="2" t="str">
        <f>J888*48920.00</f>
        <v>0</v>
      </c>
      <c r="L888" s="5"/>
    </row>
    <row r="889" spans="1:12" outlineLevel="5">
      <c r="A889" s="1"/>
      <c r="B889" s="1">
        <v>958334</v>
      </c>
      <c r="C889" s="1" t="s">
        <v>2782</v>
      </c>
      <c r="D889" s="1">
        <v>56379</v>
      </c>
      <c r="E889" s="2" t="s">
        <v>2783</v>
      </c>
      <c r="F889" s="2" t="s">
        <v>2784</v>
      </c>
      <c r="G889" s="2">
        <v>0</v>
      </c>
      <c r="H889" s="2">
        <v>0</v>
      </c>
      <c r="I889" s="1">
        <v>0</v>
      </c>
      <c r="J889" s="3" t="s">
        <v>19</v>
      </c>
      <c r="K889" s="2" t="str">
        <f>J889*58853.00</f>
        <v>0</v>
      </c>
      <c r="L889" s="5"/>
    </row>
    <row r="890" spans="1:12" outlineLevel="5">
      <c r="A890" s="1"/>
      <c r="B890" s="1">
        <v>958335</v>
      </c>
      <c r="C890" s="1" t="s">
        <v>2785</v>
      </c>
      <c r="D890" s="1">
        <v>51370</v>
      </c>
      <c r="E890" s="2" t="s">
        <v>2786</v>
      </c>
      <c r="F890" s="2" t="s">
        <v>2787</v>
      </c>
      <c r="G890" s="2">
        <v>0</v>
      </c>
      <c r="H890" s="2">
        <v>0</v>
      </c>
      <c r="I890" s="1">
        <v>0</v>
      </c>
      <c r="J890" s="3" t="s">
        <v>19</v>
      </c>
      <c r="K890" s="2" t="str">
        <f>J890*56313.00</f>
        <v>0</v>
      </c>
      <c r="L890" s="5"/>
    </row>
    <row r="891" spans="1:12" outlineLevel="5">
      <c r="A891" s="1"/>
      <c r="B891" s="1">
        <v>958336</v>
      </c>
      <c r="C891" s="1" t="s">
        <v>2788</v>
      </c>
      <c r="D891" s="1">
        <v>67881</v>
      </c>
      <c r="E891" s="2" t="s">
        <v>2789</v>
      </c>
      <c r="F891" s="2" t="s">
        <v>2790</v>
      </c>
      <c r="G891" s="2">
        <v>0</v>
      </c>
      <c r="H891" s="2">
        <v>0</v>
      </c>
      <c r="I891" s="1">
        <v>0</v>
      </c>
      <c r="J891" s="3" t="s">
        <v>19</v>
      </c>
      <c r="K891" s="2" t="str">
        <f>J891*62513.00</f>
        <v>0</v>
      </c>
      <c r="L891" s="5"/>
    </row>
    <row r="892" spans="1:12" outlineLevel="5">
      <c r="A892" s="1"/>
      <c r="B892" s="1">
        <v>958337</v>
      </c>
      <c r="C892" s="1" t="s">
        <v>2791</v>
      </c>
      <c r="D892" s="1">
        <v>29701</v>
      </c>
      <c r="E892" s="2" t="s">
        <v>2792</v>
      </c>
      <c r="F892" s="2" t="s">
        <v>2793</v>
      </c>
      <c r="G892" s="2">
        <v>0</v>
      </c>
      <c r="H892" s="2">
        <v>0</v>
      </c>
      <c r="I892" s="1">
        <v>0</v>
      </c>
      <c r="J892" s="3" t="s">
        <v>19</v>
      </c>
      <c r="K892" s="2" t="str">
        <f>J892*99253.00</f>
        <v>0</v>
      </c>
      <c r="L892" s="5"/>
    </row>
    <row r="893" spans="1:12" outlineLevel="3">
      <c r="A893" s="9" t="s">
        <v>2794</v>
      </c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5"/>
    </row>
    <row r="894" spans="1:12" outlineLevel="5">
      <c r="A894" s="1"/>
      <c r="B894" s="1">
        <v>958338</v>
      </c>
      <c r="C894" s="1" t="s">
        <v>2795</v>
      </c>
      <c r="D894" s="1">
        <v>11931</v>
      </c>
      <c r="E894" s="2" t="s">
        <v>2796</v>
      </c>
      <c r="F894" s="2" t="s">
        <v>2797</v>
      </c>
      <c r="G894" s="2">
        <v>0</v>
      </c>
      <c r="H894" s="2">
        <v>0</v>
      </c>
      <c r="I894" s="1">
        <v>0</v>
      </c>
      <c r="J894" s="3" t="s">
        <v>19</v>
      </c>
      <c r="K894" s="2" t="str">
        <f>J894*24769.00</f>
        <v>0</v>
      </c>
      <c r="L894" s="5"/>
    </row>
    <row r="895" spans="1:12" outlineLevel="5">
      <c r="A895" s="1"/>
      <c r="B895" s="1">
        <v>958339</v>
      </c>
      <c r="C895" s="1" t="s">
        <v>2798</v>
      </c>
      <c r="D895" s="1">
        <v>78851</v>
      </c>
      <c r="E895" s="2" t="s">
        <v>2799</v>
      </c>
      <c r="F895" s="2" t="s">
        <v>2800</v>
      </c>
      <c r="G895" s="2">
        <v>0</v>
      </c>
      <c r="H895" s="2">
        <v>0</v>
      </c>
      <c r="I895" s="1">
        <v>0</v>
      </c>
      <c r="J895" s="3" t="s">
        <v>19</v>
      </c>
      <c r="K895" s="2" t="str">
        <f>J895*46334.00</f>
        <v>0</v>
      </c>
      <c r="L895" s="5"/>
    </row>
    <row r="896" spans="1:12" outlineLevel="5">
      <c r="A896" s="1"/>
      <c r="B896" s="1">
        <v>958340</v>
      </c>
      <c r="C896" s="1" t="s">
        <v>2801</v>
      </c>
      <c r="D896" s="1">
        <v>74789</v>
      </c>
      <c r="E896" s="2" t="s">
        <v>2802</v>
      </c>
      <c r="F896" s="2" t="s">
        <v>2803</v>
      </c>
      <c r="G896" s="2">
        <v>0</v>
      </c>
      <c r="H896" s="2">
        <v>0</v>
      </c>
      <c r="I896" s="1">
        <v>0</v>
      </c>
      <c r="J896" s="3" t="s">
        <v>19</v>
      </c>
      <c r="K896" s="2" t="str">
        <f>J896*48951.00</f>
        <v>0</v>
      </c>
      <c r="L896" s="5"/>
    </row>
    <row r="897" spans="1:12" outlineLevel="5">
      <c r="A897" s="1"/>
      <c r="B897" s="1">
        <v>958341</v>
      </c>
      <c r="C897" s="1" t="s">
        <v>2804</v>
      </c>
      <c r="D897" s="1">
        <v>22149</v>
      </c>
      <c r="E897" s="2" t="s">
        <v>2805</v>
      </c>
      <c r="F897" s="2" t="s">
        <v>2806</v>
      </c>
      <c r="G897" s="2">
        <v>0</v>
      </c>
      <c r="H897" s="2">
        <v>0</v>
      </c>
      <c r="I897" s="1">
        <v>0</v>
      </c>
      <c r="J897" s="3" t="s">
        <v>19</v>
      </c>
      <c r="K897" s="2" t="str">
        <f>J897*26031.00</f>
        <v>0</v>
      </c>
      <c r="L897" s="5"/>
    </row>
    <row r="898" spans="1:12" outlineLevel="5">
      <c r="A898" s="1"/>
      <c r="B898" s="1">
        <v>958342</v>
      </c>
      <c r="C898" s="1" t="s">
        <v>2807</v>
      </c>
      <c r="D898" s="1">
        <v>77209</v>
      </c>
      <c r="E898" s="2" t="s">
        <v>2808</v>
      </c>
      <c r="F898" s="2" t="s">
        <v>2809</v>
      </c>
      <c r="G898" s="2">
        <v>0</v>
      </c>
      <c r="H898" s="2">
        <v>0</v>
      </c>
      <c r="I898" s="1">
        <v>0</v>
      </c>
      <c r="J898" s="3" t="s">
        <v>19</v>
      </c>
      <c r="K898" s="2" t="str">
        <f>J898*33856.00</f>
        <v>0</v>
      </c>
      <c r="L898" s="5"/>
    </row>
    <row r="899" spans="1:12" outlineLevel="5">
      <c r="A899" s="1"/>
      <c r="B899" s="1">
        <v>958343</v>
      </c>
      <c r="C899" s="1" t="s">
        <v>2810</v>
      </c>
      <c r="D899" s="1">
        <v>57133</v>
      </c>
      <c r="E899" s="2" t="s">
        <v>2811</v>
      </c>
      <c r="F899" s="2" t="s">
        <v>2812</v>
      </c>
      <c r="G899" s="2">
        <v>0</v>
      </c>
      <c r="H899" s="2">
        <v>0</v>
      </c>
      <c r="I899" s="1">
        <v>0</v>
      </c>
      <c r="J899" s="3" t="s">
        <v>19</v>
      </c>
      <c r="K899" s="2" t="str">
        <f>J899*14576.00</f>
        <v>0</v>
      </c>
      <c r="L899" s="5"/>
    </row>
    <row r="900" spans="1:12" outlineLevel="5">
      <c r="A900" s="1"/>
      <c r="B900" s="1">
        <v>958344</v>
      </c>
      <c r="C900" s="1" t="s">
        <v>2813</v>
      </c>
      <c r="D900" s="1">
        <v>89110</v>
      </c>
      <c r="E900" s="2" t="s">
        <v>2814</v>
      </c>
      <c r="F900" s="2" t="s">
        <v>2815</v>
      </c>
      <c r="G900" s="2">
        <v>0</v>
      </c>
      <c r="H900" s="2">
        <v>0</v>
      </c>
      <c r="I900" s="1">
        <v>0</v>
      </c>
      <c r="J900" s="3" t="s">
        <v>19</v>
      </c>
      <c r="K900" s="2" t="str">
        <f>J900*15549.00</f>
        <v>0</v>
      </c>
      <c r="L900" s="5"/>
    </row>
    <row r="901" spans="1:12" outlineLevel="5">
      <c r="A901" s="1"/>
      <c r="B901" s="1">
        <v>958345</v>
      </c>
      <c r="C901" s="1" t="s">
        <v>2816</v>
      </c>
      <c r="D901" s="1">
        <v>88359</v>
      </c>
      <c r="E901" s="2" t="s">
        <v>2817</v>
      </c>
      <c r="F901" s="2" t="s">
        <v>2818</v>
      </c>
      <c r="G901" s="2">
        <v>0</v>
      </c>
      <c r="H901" s="2">
        <v>0</v>
      </c>
      <c r="I901" s="1">
        <v>0</v>
      </c>
      <c r="J901" s="3" t="s">
        <v>19</v>
      </c>
      <c r="K901" s="2" t="str">
        <f>J901*19315.00</f>
        <v>0</v>
      </c>
      <c r="L901" s="5"/>
    </row>
    <row r="902" spans="1:12" outlineLevel="5">
      <c r="A902" s="1"/>
      <c r="B902" s="1">
        <v>958346</v>
      </c>
      <c r="C902" s="1" t="s">
        <v>2819</v>
      </c>
      <c r="D902" s="1">
        <v>93241</v>
      </c>
      <c r="E902" s="2" t="s">
        <v>2820</v>
      </c>
      <c r="F902" s="2" t="s">
        <v>2821</v>
      </c>
      <c r="G902" s="2">
        <v>0</v>
      </c>
      <c r="H902" s="2">
        <v>0</v>
      </c>
      <c r="I902" s="1">
        <v>0</v>
      </c>
      <c r="J902" s="3" t="s">
        <v>19</v>
      </c>
      <c r="K902" s="2" t="str">
        <f>J902*16830.00</f>
        <v>0</v>
      </c>
      <c r="L902" s="5"/>
    </row>
    <row r="903" spans="1:12" outlineLevel="5">
      <c r="A903" s="1"/>
      <c r="B903" s="1">
        <v>958347</v>
      </c>
      <c r="C903" s="1" t="s">
        <v>2822</v>
      </c>
      <c r="D903" s="1">
        <v>46461</v>
      </c>
      <c r="E903" s="2" t="s">
        <v>2823</v>
      </c>
      <c r="F903" s="2" t="s">
        <v>2824</v>
      </c>
      <c r="G903" s="2">
        <v>0</v>
      </c>
      <c r="H903" s="2">
        <v>0</v>
      </c>
      <c r="I903" s="1">
        <v>0</v>
      </c>
      <c r="J903" s="3" t="s">
        <v>19</v>
      </c>
      <c r="K903" s="2" t="str">
        <f>J903*19958.00</f>
        <v>0</v>
      </c>
      <c r="L903" s="5"/>
    </row>
    <row r="904" spans="1:12" outlineLevel="5">
      <c r="A904" s="1"/>
      <c r="B904" s="1">
        <v>958348</v>
      </c>
      <c r="C904" s="1" t="s">
        <v>2825</v>
      </c>
      <c r="D904" s="1">
        <v>17684</v>
      </c>
      <c r="E904" s="2" t="s">
        <v>2826</v>
      </c>
      <c r="F904" s="2" t="s">
        <v>2827</v>
      </c>
      <c r="G904" s="2">
        <v>0</v>
      </c>
      <c r="H904" s="2">
        <v>0</v>
      </c>
      <c r="I904" s="1">
        <v>0</v>
      </c>
      <c r="J904" s="3" t="s">
        <v>19</v>
      </c>
      <c r="K904" s="2" t="str">
        <f>J904*22601.00</f>
        <v>0</v>
      </c>
      <c r="L904" s="5"/>
    </row>
    <row r="905" spans="1:12" outlineLevel="5">
      <c r="A905" s="1"/>
      <c r="B905" s="1">
        <v>958349</v>
      </c>
      <c r="C905" s="1" t="s">
        <v>2828</v>
      </c>
      <c r="D905" s="1">
        <v>38612</v>
      </c>
      <c r="E905" s="2" t="s">
        <v>2829</v>
      </c>
      <c r="F905" s="2" t="s">
        <v>2830</v>
      </c>
      <c r="G905" s="2">
        <v>0</v>
      </c>
      <c r="H905" s="2">
        <v>0</v>
      </c>
      <c r="I905" s="1">
        <v>0</v>
      </c>
      <c r="J905" s="3" t="s">
        <v>19</v>
      </c>
      <c r="K905" s="2" t="str">
        <f>J905*25421.00</f>
        <v>0</v>
      </c>
      <c r="L905" s="5"/>
    </row>
    <row r="906" spans="1:12" outlineLevel="3">
      <c r="A906" s="9" t="s">
        <v>2831</v>
      </c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5"/>
    </row>
    <row r="907" spans="1:12" outlineLevel="5">
      <c r="A907" s="1"/>
      <c r="B907" s="1">
        <v>958350</v>
      </c>
      <c r="C907" s="1" t="s">
        <v>2832</v>
      </c>
      <c r="D907" s="1">
        <v>32510</v>
      </c>
      <c r="E907" s="2" t="s">
        <v>2833</v>
      </c>
      <c r="F907" s="2" t="s">
        <v>2834</v>
      </c>
      <c r="G907" s="2">
        <v>0</v>
      </c>
      <c r="H907" s="2">
        <v>0</v>
      </c>
      <c r="I907" s="1">
        <v>0</v>
      </c>
      <c r="J907" s="3" t="s">
        <v>19</v>
      </c>
      <c r="K907" s="2" t="str">
        <f>J907*42207.00</f>
        <v>0</v>
      </c>
      <c r="L907" s="5"/>
    </row>
    <row r="908" spans="1:12" outlineLevel="5">
      <c r="A908" s="1"/>
      <c r="B908" s="1">
        <v>958351</v>
      </c>
      <c r="C908" s="1" t="s">
        <v>2835</v>
      </c>
      <c r="D908" s="1">
        <v>40022</v>
      </c>
      <c r="E908" s="2" t="s">
        <v>2836</v>
      </c>
      <c r="F908" s="2" t="s">
        <v>2837</v>
      </c>
      <c r="G908" s="2">
        <v>0</v>
      </c>
      <c r="H908" s="2">
        <v>0</v>
      </c>
      <c r="I908" s="1">
        <v>0</v>
      </c>
      <c r="J908" s="3" t="s">
        <v>19</v>
      </c>
      <c r="K908" s="2" t="str">
        <f>J908*52299.00</f>
        <v>0</v>
      </c>
      <c r="L908" s="5"/>
    </row>
    <row r="909" spans="1:12" outlineLevel="5">
      <c r="A909" s="1"/>
      <c r="B909" s="1">
        <v>958352</v>
      </c>
      <c r="C909" s="1" t="s">
        <v>2838</v>
      </c>
      <c r="D909" s="1">
        <v>21883</v>
      </c>
      <c r="E909" s="2" t="s">
        <v>2839</v>
      </c>
      <c r="F909" s="2" t="s">
        <v>2840</v>
      </c>
      <c r="G909" s="2">
        <v>0</v>
      </c>
      <c r="H909" s="2">
        <v>0</v>
      </c>
      <c r="I909" s="1">
        <v>0</v>
      </c>
      <c r="J909" s="3" t="s">
        <v>19</v>
      </c>
      <c r="K909" s="2" t="str">
        <f>J909*135133.00</f>
        <v>0</v>
      </c>
      <c r="L909" s="5"/>
    </row>
    <row r="910" spans="1:12" outlineLevel="5">
      <c r="A910" s="1"/>
      <c r="B910" s="1">
        <v>958353</v>
      </c>
      <c r="C910" s="1" t="s">
        <v>2841</v>
      </c>
      <c r="D910" s="1">
        <v>90884</v>
      </c>
      <c r="E910" s="2" t="s">
        <v>2842</v>
      </c>
      <c r="F910" s="2" t="s">
        <v>2843</v>
      </c>
      <c r="G910" s="2">
        <v>0</v>
      </c>
      <c r="H910" s="2">
        <v>0</v>
      </c>
      <c r="I910" s="1">
        <v>0</v>
      </c>
      <c r="J910" s="3" t="s">
        <v>19</v>
      </c>
      <c r="K910" s="2" t="str">
        <f>J910*188730.00</f>
        <v>0</v>
      </c>
      <c r="L910" s="5"/>
    </row>
    <row r="911" spans="1:12" outlineLevel="5">
      <c r="A911" s="1"/>
      <c r="B911" s="1">
        <v>958354</v>
      </c>
      <c r="C911" s="1" t="s">
        <v>2844</v>
      </c>
      <c r="D911" s="1">
        <v>53086</v>
      </c>
      <c r="E911" s="2" t="s">
        <v>2845</v>
      </c>
      <c r="F911" s="2" t="s">
        <v>2846</v>
      </c>
      <c r="G911" s="2">
        <v>0</v>
      </c>
      <c r="H911" s="2">
        <v>0</v>
      </c>
      <c r="I911" s="1">
        <v>0</v>
      </c>
      <c r="J911" s="3" t="s">
        <v>19</v>
      </c>
      <c r="K911" s="2" t="str">
        <f>J911*88222.00</f>
        <v>0</v>
      </c>
      <c r="L911" s="5"/>
    </row>
    <row r="912" spans="1:12" outlineLevel="5">
      <c r="A912" s="1"/>
      <c r="B912" s="1">
        <v>958355</v>
      </c>
      <c r="C912" s="1" t="s">
        <v>2847</v>
      </c>
      <c r="D912" s="1">
        <v>66150</v>
      </c>
      <c r="E912" s="2" t="s">
        <v>2848</v>
      </c>
      <c r="F912" s="2" t="s">
        <v>2849</v>
      </c>
      <c r="G912" s="2">
        <v>0</v>
      </c>
      <c r="H912" s="2">
        <v>0</v>
      </c>
      <c r="I912" s="1">
        <v>0</v>
      </c>
      <c r="J912" s="3" t="s">
        <v>19</v>
      </c>
      <c r="K912" s="2" t="str">
        <f>J912*122975.00</f>
        <v>0</v>
      </c>
      <c r="L912" s="5"/>
    </row>
    <row r="913" spans="1:12" outlineLevel="5">
      <c r="A913" s="1"/>
      <c r="B913" s="1">
        <v>958356</v>
      </c>
      <c r="C913" s="1" t="s">
        <v>2850</v>
      </c>
      <c r="D913" s="1">
        <v>63835</v>
      </c>
      <c r="E913" s="2" t="s">
        <v>2851</v>
      </c>
      <c r="F913" s="2" t="s">
        <v>2852</v>
      </c>
      <c r="G913" s="2">
        <v>0</v>
      </c>
      <c r="H913" s="2">
        <v>0</v>
      </c>
      <c r="I913" s="1">
        <v>0</v>
      </c>
      <c r="J913" s="3" t="s">
        <v>19</v>
      </c>
      <c r="K913" s="2" t="str">
        <f>J913*125398.00</f>
        <v>0</v>
      </c>
      <c r="L913" s="5"/>
    </row>
    <row r="914" spans="1:12" outlineLevel="5">
      <c r="A914" s="1"/>
      <c r="B914" s="1">
        <v>958357</v>
      </c>
      <c r="C914" s="1" t="s">
        <v>2853</v>
      </c>
      <c r="D914" s="1">
        <v>96401</v>
      </c>
      <c r="E914" s="2" t="s">
        <v>2854</v>
      </c>
      <c r="F914" s="2" t="s">
        <v>2855</v>
      </c>
      <c r="G914" s="2">
        <v>0</v>
      </c>
      <c r="H914" s="2">
        <v>0</v>
      </c>
      <c r="I914" s="1">
        <v>0</v>
      </c>
      <c r="J914" s="3" t="s">
        <v>19</v>
      </c>
      <c r="K914" s="2" t="str">
        <f>J914*60151.00</f>
        <v>0</v>
      </c>
      <c r="L914" s="5"/>
    </row>
    <row r="915" spans="1:12" outlineLevel="5">
      <c r="A915" s="1"/>
      <c r="B915" s="1">
        <v>958358</v>
      </c>
      <c r="C915" s="1" t="s">
        <v>2856</v>
      </c>
      <c r="D915" s="1">
        <v>20932</v>
      </c>
      <c r="E915" s="2" t="s">
        <v>2857</v>
      </c>
      <c r="F915" s="2" t="s">
        <v>2858</v>
      </c>
      <c r="G915" s="2">
        <v>0</v>
      </c>
      <c r="H915" s="2">
        <v>0</v>
      </c>
      <c r="I915" s="1">
        <v>0</v>
      </c>
      <c r="J915" s="3" t="s">
        <v>19</v>
      </c>
      <c r="K915" s="2" t="str">
        <f>J915*69074.00</f>
        <v>0</v>
      </c>
      <c r="L915" s="5"/>
    </row>
    <row r="916" spans="1:12" outlineLevel="5">
      <c r="A916" s="1"/>
      <c r="B916" s="1">
        <v>958359</v>
      </c>
      <c r="C916" s="1" t="s">
        <v>2859</v>
      </c>
      <c r="D916" s="1">
        <v>49175</v>
      </c>
      <c r="E916" s="2" t="s">
        <v>2860</v>
      </c>
      <c r="F916" s="2" t="s">
        <v>2861</v>
      </c>
      <c r="G916" s="2">
        <v>0</v>
      </c>
      <c r="H916" s="2">
        <v>0</v>
      </c>
      <c r="I916" s="1">
        <v>0</v>
      </c>
      <c r="J916" s="3" t="s">
        <v>19</v>
      </c>
      <c r="K916" s="2" t="str">
        <f>J916*82154.00</f>
        <v>0</v>
      </c>
      <c r="L916" s="5"/>
    </row>
    <row r="917" spans="1:12" outlineLevel="5">
      <c r="A917" s="1"/>
      <c r="B917" s="1">
        <v>958360</v>
      </c>
      <c r="C917" s="1" t="s">
        <v>2862</v>
      </c>
      <c r="D917" s="1">
        <v>44433</v>
      </c>
      <c r="E917" s="2" t="s">
        <v>2863</v>
      </c>
      <c r="F917" s="2" t="s">
        <v>2864</v>
      </c>
      <c r="G917" s="2">
        <v>0</v>
      </c>
      <c r="H917" s="2">
        <v>0</v>
      </c>
      <c r="I917" s="1">
        <v>0</v>
      </c>
      <c r="J917" s="3" t="s">
        <v>19</v>
      </c>
      <c r="K917" s="2" t="str">
        <f>J917*95434.00</f>
        <v>0</v>
      </c>
      <c r="L917" s="5"/>
    </row>
    <row r="918" spans="1:12" outlineLevel="5">
      <c r="A918" s="1"/>
      <c r="B918" s="1">
        <v>958361</v>
      </c>
      <c r="C918" s="1" t="s">
        <v>2865</v>
      </c>
      <c r="D918" s="1">
        <v>67193</v>
      </c>
      <c r="E918" s="2" t="s">
        <v>2866</v>
      </c>
      <c r="F918" s="2" t="s">
        <v>2867</v>
      </c>
      <c r="G918" s="2">
        <v>0</v>
      </c>
      <c r="H918" s="2">
        <v>0</v>
      </c>
      <c r="I918" s="1">
        <v>0</v>
      </c>
      <c r="J918" s="3" t="s">
        <v>19</v>
      </c>
      <c r="K918" s="2" t="str">
        <f>J918*49328.00</f>
        <v>0</v>
      </c>
      <c r="L918" s="5"/>
    </row>
    <row r="919" spans="1:12" outlineLevel="5">
      <c r="A919" s="1"/>
      <c r="B919" s="1">
        <v>958362</v>
      </c>
      <c r="C919" s="1" t="s">
        <v>2868</v>
      </c>
      <c r="D919" s="1">
        <v>90849</v>
      </c>
      <c r="E919" s="2" t="s">
        <v>2869</v>
      </c>
      <c r="F919" s="2" t="s">
        <v>2870</v>
      </c>
      <c r="G919" s="2">
        <v>0</v>
      </c>
      <c r="H919" s="2">
        <v>0</v>
      </c>
      <c r="I919" s="1">
        <v>0</v>
      </c>
      <c r="J919" s="3" t="s">
        <v>19</v>
      </c>
      <c r="K919" s="2" t="str">
        <f>J919*90154.00</f>
        <v>0</v>
      </c>
      <c r="L919" s="5"/>
    </row>
    <row r="920" spans="1:12" outlineLevel="5">
      <c r="A920" s="1"/>
      <c r="B920" s="1">
        <v>958363</v>
      </c>
      <c r="C920" s="1" t="s">
        <v>2871</v>
      </c>
      <c r="D920" s="1">
        <v>87153</v>
      </c>
      <c r="E920" s="2" t="s">
        <v>2872</v>
      </c>
      <c r="F920" s="2" t="s">
        <v>2873</v>
      </c>
      <c r="G920" s="2">
        <v>0</v>
      </c>
      <c r="H920" s="2">
        <v>0</v>
      </c>
      <c r="I920" s="1">
        <v>0</v>
      </c>
      <c r="J920" s="3" t="s">
        <v>19</v>
      </c>
      <c r="K920" s="2" t="str">
        <f>J920*113891.00</f>
        <v>0</v>
      </c>
      <c r="L920" s="5"/>
    </row>
    <row r="921" spans="1:12" outlineLevel="5">
      <c r="A921" s="1"/>
      <c r="B921" s="1">
        <v>958364</v>
      </c>
      <c r="C921" s="1" t="s">
        <v>2874</v>
      </c>
      <c r="D921" s="1">
        <v>32556</v>
      </c>
      <c r="E921" s="2" t="s">
        <v>2875</v>
      </c>
      <c r="F921" s="2" t="s">
        <v>2876</v>
      </c>
      <c r="G921" s="2">
        <v>0</v>
      </c>
      <c r="H921" s="2">
        <v>0</v>
      </c>
      <c r="I921" s="1">
        <v>0</v>
      </c>
      <c r="J921" s="3" t="s">
        <v>19</v>
      </c>
      <c r="K921" s="2" t="str">
        <f>J921*70292.00</f>
        <v>0</v>
      </c>
      <c r="L921" s="5"/>
    </row>
    <row r="922" spans="1:12" outlineLevel="5">
      <c r="A922" s="1"/>
      <c r="B922" s="1">
        <v>958365</v>
      </c>
      <c r="C922" s="1" t="s">
        <v>2877</v>
      </c>
      <c r="D922" s="1">
        <v>84803</v>
      </c>
      <c r="E922" s="2" t="s">
        <v>2878</v>
      </c>
      <c r="F922" s="2" t="s">
        <v>2879</v>
      </c>
      <c r="G922" s="2">
        <v>0</v>
      </c>
      <c r="H922" s="2">
        <v>0</v>
      </c>
      <c r="I922" s="1">
        <v>0</v>
      </c>
      <c r="J922" s="3" t="s">
        <v>19</v>
      </c>
      <c r="K922" s="2" t="str">
        <f>J922*83194.00</f>
        <v>0</v>
      </c>
      <c r="L922" s="5"/>
    </row>
    <row r="923" spans="1:12" outlineLevel="5">
      <c r="A923" s="1"/>
      <c r="B923" s="1">
        <v>958366</v>
      </c>
      <c r="C923" s="1" t="s">
        <v>2880</v>
      </c>
      <c r="D923" s="1">
        <v>99081</v>
      </c>
      <c r="E923" s="2" t="s">
        <v>2881</v>
      </c>
      <c r="F923" s="2" t="s">
        <v>2882</v>
      </c>
      <c r="G923" s="2">
        <v>0</v>
      </c>
      <c r="H923" s="2">
        <v>0</v>
      </c>
      <c r="I923" s="1">
        <v>0</v>
      </c>
      <c r="J923" s="3" t="s">
        <v>19</v>
      </c>
      <c r="K923" s="2" t="str">
        <f>J923*101660.00</f>
        <v>0</v>
      </c>
      <c r="L923" s="5"/>
    </row>
    <row r="924" spans="1:12" outlineLevel="5">
      <c r="A924" s="1"/>
      <c r="B924" s="1">
        <v>958367</v>
      </c>
      <c r="C924" s="1" t="s">
        <v>2883</v>
      </c>
      <c r="D924" s="1">
        <v>86720</v>
      </c>
      <c r="E924" s="2" t="s">
        <v>2884</v>
      </c>
      <c r="F924" s="2" t="s">
        <v>2885</v>
      </c>
      <c r="G924" s="2">
        <v>0</v>
      </c>
      <c r="H924" s="2">
        <v>0</v>
      </c>
      <c r="I924" s="1">
        <v>0</v>
      </c>
      <c r="J924" s="3" t="s">
        <v>19</v>
      </c>
      <c r="K924" s="2" t="str">
        <f>J924*48825.00</f>
        <v>0</v>
      </c>
      <c r="L924" s="5"/>
    </row>
    <row r="925" spans="1:12" outlineLevel="5">
      <c r="A925" s="1"/>
      <c r="B925" s="1">
        <v>958368</v>
      </c>
      <c r="C925" s="1" t="s">
        <v>2886</v>
      </c>
      <c r="D925" s="1">
        <v>38064</v>
      </c>
      <c r="E925" s="2" t="s">
        <v>2887</v>
      </c>
      <c r="F925" s="2" t="s">
        <v>2888</v>
      </c>
      <c r="G925" s="2">
        <v>0</v>
      </c>
      <c r="H925" s="2">
        <v>0</v>
      </c>
      <c r="I925" s="1">
        <v>0</v>
      </c>
      <c r="J925" s="3" t="s">
        <v>19</v>
      </c>
      <c r="K925" s="2" t="str">
        <f>J925*61138.00</f>
        <v>0</v>
      </c>
      <c r="L925" s="5"/>
    </row>
    <row r="926" spans="1:12" outlineLevel="5">
      <c r="A926" s="1"/>
      <c r="B926" s="1">
        <v>958369</v>
      </c>
      <c r="C926" s="1" t="s">
        <v>2889</v>
      </c>
      <c r="D926" s="1">
        <v>87367</v>
      </c>
      <c r="E926" s="2" t="s">
        <v>2890</v>
      </c>
      <c r="F926" s="2" t="s">
        <v>2891</v>
      </c>
      <c r="G926" s="2">
        <v>0</v>
      </c>
      <c r="H926" s="2">
        <v>0</v>
      </c>
      <c r="I926" s="1">
        <v>0</v>
      </c>
      <c r="J926" s="3" t="s">
        <v>19</v>
      </c>
      <c r="K926" s="2" t="str">
        <f>J926*106814.00</f>
        <v>0</v>
      </c>
      <c r="L926" s="5"/>
    </row>
    <row r="927" spans="1:12" outlineLevel="5">
      <c r="A927" s="1"/>
      <c r="B927" s="1">
        <v>958370</v>
      </c>
      <c r="C927" s="1" t="s">
        <v>2892</v>
      </c>
      <c r="D927" s="1">
        <v>11988</v>
      </c>
      <c r="E927" s="2" t="s">
        <v>2893</v>
      </c>
      <c r="F927" s="2" t="s">
        <v>2894</v>
      </c>
      <c r="G927" s="2">
        <v>0</v>
      </c>
      <c r="H927" s="2">
        <v>0</v>
      </c>
      <c r="I927" s="1">
        <v>0</v>
      </c>
      <c r="J927" s="3" t="s">
        <v>19</v>
      </c>
      <c r="K927" s="2" t="str">
        <f>J927*140036.00</f>
        <v>0</v>
      </c>
      <c r="L927" s="5"/>
    </row>
    <row r="928" spans="1:12" outlineLevel="5">
      <c r="A928" s="1"/>
      <c r="B928" s="1">
        <v>958371</v>
      </c>
      <c r="C928" s="1" t="s">
        <v>2895</v>
      </c>
      <c r="D928" s="1">
        <v>87709</v>
      </c>
      <c r="E928" s="2" t="s">
        <v>2896</v>
      </c>
      <c r="F928" s="2" t="s">
        <v>2897</v>
      </c>
      <c r="G928" s="2">
        <v>0</v>
      </c>
      <c r="H928" s="2">
        <v>0</v>
      </c>
      <c r="I928" s="1">
        <v>0</v>
      </c>
      <c r="J928" s="3" t="s">
        <v>19</v>
      </c>
      <c r="K928" s="2" t="str">
        <f>J928*161408.00</f>
        <v>0</v>
      </c>
      <c r="L928" s="5"/>
    </row>
    <row r="929" spans="1:12" outlineLevel="5">
      <c r="A929" s="1"/>
      <c r="B929" s="1">
        <v>958372</v>
      </c>
      <c r="C929" s="1" t="s">
        <v>2898</v>
      </c>
      <c r="D929" s="1">
        <v>54268</v>
      </c>
      <c r="E929" s="2" t="s">
        <v>2899</v>
      </c>
      <c r="F929" s="2" t="s">
        <v>2900</v>
      </c>
      <c r="G929" s="2">
        <v>0</v>
      </c>
      <c r="H929" s="2">
        <v>0</v>
      </c>
      <c r="I929" s="1">
        <v>0</v>
      </c>
      <c r="J929" s="3" t="s">
        <v>19</v>
      </c>
      <c r="K929" s="2" t="str">
        <f>J929*71944.00</f>
        <v>0</v>
      </c>
      <c r="L929" s="5"/>
    </row>
    <row r="930" spans="1:12" outlineLevel="5">
      <c r="A930" s="1"/>
      <c r="B930" s="1">
        <v>958373</v>
      </c>
      <c r="C930" s="1" t="s">
        <v>2901</v>
      </c>
      <c r="D930" s="1">
        <v>61344</v>
      </c>
      <c r="E930" s="2" t="s">
        <v>2902</v>
      </c>
      <c r="F930" s="2" t="s">
        <v>2903</v>
      </c>
      <c r="G930" s="2">
        <v>0</v>
      </c>
      <c r="H930" s="2">
        <v>0</v>
      </c>
      <c r="I930" s="1">
        <v>0</v>
      </c>
      <c r="J930" s="3" t="s">
        <v>19</v>
      </c>
      <c r="K930" s="2" t="str">
        <f>J930*78934.00</f>
        <v>0</v>
      </c>
      <c r="L930" s="5"/>
    </row>
    <row r="931" spans="1:12" outlineLevel="5">
      <c r="A931" s="1"/>
      <c r="B931" s="1">
        <v>958374</v>
      </c>
      <c r="C931" s="1" t="s">
        <v>2904</v>
      </c>
      <c r="D931" s="1">
        <v>82776</v>
      </c>
      <c r="E931" s="2" t="s">
        <v>2905</v>
      </c>
      <c r="F931" s="2" t="s">
        <v>2906</v>
      </c>
      <c r="G931" s="2">
        <v>0</v>
      </c>
      <c r="H931" s="2">
        <v>0</v>
      </c>
      <c r="I931" s="1">
        <v>0</v>
      </c>
      <c r="J931" s="3" t="s">
        <v>19</v>
      </c>
      <c r="K931" s="2" t="str">
        <f>J931*93472.00</f>
        <v>0</v>
      </c>
      <c r="L931" s="5"/>
    </row>
    <row r="932" spans="1:12" outlineLevel="5">
      <c r="A932" s="1"/>
      <c r="B932" s="1">
        <v>958375</v>
      </c>
      <c r="C932" s="1" t="s">
        <v>2907</v>
      </c>
      <c r="D932" s="1">
        <v>62333</v>
      </c>
      <c r="E932" s="2" t="s">
        <v>2908</v>
      </c>
      <c r="F932" s="2" t="s">
        <v>2909</v>
      </c>
      <c r="G932" s="2">
        <v>0</v>
      </c>
      <c r="H932" s="2">
        <v>0</v>
      </c>
      <c r="I932" s="1">
        <v>0</v>
      </c>
      <c r="J932" s="3" t="s">
        <v>19</v>
      </c>
      <c r="K932" s="2" t="str">
        <f>J932*23823.00</f>
        <v>0</v>
      </c>
      <c r="L932" s="5"/>
    </row>
    <row r="933" spans="1:12" outlineLevel="5">
      <c r="A933" s="1"/>
      <c r="B933" s="1">
        <v>958376</v>
      </c>
      <c r="C933" s="1" t="s">
        <v>2910</v>
      </c>
      <c r="D933" s="1">
        <v>52478</v>
      </c>
      <c r="E933" s="2" t="s">
        <v>2911</v>
      </c>
      <c r="F933" s="2" t="s">
        <v>2912</v>
      </c>
      <c r="G933" s="2">
        <v>0</v>
      </c>
      <c r="H933" s="2">
        <v>0</v>
      </c>
      <c r="I933" s="1">
        <v>0</v>
      </c>
      <c r="J933" s="3" t="s">
        <v>19</v>
      </c>
      <c r="K933" s="2" t="str">
        <f>J933*29280.00</f>
        <v>0</v>
      </c>
      <c r="L933" s="5"/>
    </row>
    <row r="934" spans="1:12" outlineLevel="5">
      <c r="A934" s="1"/>
      <c r="B934" s="1">
        <v>958377</v>
      </c>
      <c r="C934" s="1" t="s">
        <v>2913</v>
      </c>
      <c r="D934" s="1">
        <v>80943</v>
      </c>
      <c r="E934" s="2" t="s">
        <v>2914</v>
      </c>
      <c r="F934" s="2" t="s">
        <v>2915</v>
      </c>
      <c r="G934" s="2">
        <v>0</v>
      </c>
      <c r="H934" s="2">
        <v>0</v>
      </c>
      <c r="I934" s="1">
        <v>0</v>
      </c>
      <c r="J934" s="3" t="s">
        <v>19</v>
      </c>
      <c r="K934" s="2" t="str">
        <f>J934*26311.00</f>
        <v>0</v>
      </c>
      <c r="L934" s="5"/>
    </row>
    <row r="935" spans="1:12" outlineLevel="5">
      <c r="A935" s="1"/>
      <c r="B935" s="1">
        <v>958378</v>
      </c>
      <c r="C935" s="1" t="s">
        <v>2916</v>
      </c>
      <c r="D935" s="1">
        <v>76593</v>
      </c>
      <c r="E935" s="2" t="s">
        <v>2917</v>
      </c>
      <c r="F935" s="2" t="s">
        <v>2918</v>
      </c>
      <c r="G935" s="2">
        <v>0</v>
      </c>
      <c r="H935" s="2">
        <v>0</v>
      </c>
      <c r="I935" s="1">
        <v>0</v>
      </c>
      <c r="J935" s="3" t="s">
        <v>19</v>
      </c>
      <c r="K935" s="2" t="str">
        <f>J935*17019.00</f>
        <v>0</v>
      </c>
      <c r="L935" s="5"/>
    </row>
    <row r="936" spans="1:12" outlineLevel="5">
      <c r="A936" s="1"/>
      <c r="B936" s="1">
        <v>958379</v>
      </c>
      <c r="C936" s="1" t="s">
        <v>2919</v>
      </c>
      <c r="D936" s="1">
        <v>74707</v>
      </c>
      <c r="E936" s="2" t="s">
        <v>2920</v>
      </c>
      <c r="F936" s="2" t="s">
        <v>2921</v>
      </c>
      <c r="G936" s="2">
        <v>0</v>
      </c>
      <c r="H936" s="2">
        <v>0</v>
      </c>
      <c r="I936" s="1">
        <v>0</v>
      </c>
      <c r="J936" s="3" t="s">
        <v>19</v>
      </c>
      <c r="K936" s="2" t="str">
        <f>J936*18502.00</f>
        <v>0</v>
      </c>
      <c r="L936" s="5"/>
    </row>
    <row r="937" spans="1:12" outlineLevel="5">
      <c r="A937" s="1"/>
      <c r="B937" s="1">
        <v>958380</v>
      </c>
      <c r="C937" s="1" t="s">
        <v>2922</v>
      </c>
      <c r="D937" s="1">
        <v>68597</v>
      </c>
      <c r="E937" s="2" t="s">
        <v>2923</v>
      </c>
      <c r="F937" s="2" t="s">
        <v>2924</v>
      </c>
      <c r="G937" s="2">
        <v>0</v>
      </c>
      <c r="H937" s="2">
        <v>0</v>
      </c>
      <c r="I937" s="1">
        <v>0</v>
      </c>
      <c r="J937" s="3" t="s">
        <v>19</v>
      </c>
      <c r="K937" s="2" t="str">
        <f>J937*21072.00</f>
        <v>0</v>
      </c>
      <c r="L937" s="5"/>
    </row>
    <row r="938" spans="1:12" outlineLevel="5">
      <c r="A938" s="1"/>
      <c r="B938" s="1">
        <v>958381</v>
      </c>
      <c r="C938" s="1" t="s">
        <v>2925</v>
      </c>
      <c r="D938" s="1">
        <v>11378</v>
      </c>
      <c r="E938" s="2" t="s">
        <v>2926</v>
      </c>
      <c r="F938" s="2" t="s">
        <v>2927</v>
      </c>
      <c r="G938" s="2">
        <v>0</v>
      </c>
      <c r="H938" s="2">
        <v>0</v>
      </c>
      <c r="I938" s="1">
        <v>0</v>
      </c>
      <c r="J938" s="3" t="s">
        <v>19</v>
      </c>
      <c r="K938" s="2" t="str">
        <f>J938*22874.00</f>
        <v>0</v>
      </c>
      <c r="L938" s="5"/>
    </row>
    <row r="939" spans="1:12" outlineLevel="5">
      <c r="A939" s="1"/>
      <c r="B939" s="1">
        <v>958382</v>
      </c>
      <c r="C939" s="1" t="s">
        <v>2928</v>
      </c>
      <c r="D939" s="1">
        <v>54767</v>
      </c>
      <c r="E939" s="2" t="s">
        <v>2929</v>
      </c>
      <c r="F939" s="2" t="s">
        <v>2930</v>
      </c>
      <c r="G939" s="2">
        <v>0</v>
      </c>
      <c r="H939" s="2">
        <v>0</v>
      </c>
      <c r="I939" s="1">
        <v>0</v>
      </c>
      <c r="J939" s="3" t="s">
        <v>19</v>
      </c>
      <c r="K939" s="2" t="str">
        <f>J939*24191.00</f>
        <v>0</v>
      </c>
      <c r="L939" s="5"/>
    </row>
    <row r="940" spans="1:12" outlineLevel="5">
      <c r="A940" s="1"/>
      <c r="B940" s="1">
        <v>958383</v>
      </c>
      <c r="C940" s="1" t="s">
        <v>2931</v>
      </c>
      <c r="D940" s="1">
        <v>61222</v>
      </c>
      <c r="E940" s="2" t="s">
        <v>2932</v>
      </c>
      <c r="F940" s="2" t="s">
        <v>2933</v>
      </c>
      <c r="G940" s="2">
        <v>0</v>
      </c>
      <c r="H940" s="2">
        <v>0</v>
      </c>
      <c r="I940" s="1">
        <v>0</v>
      </c>
      <c r="J940" s="3" t="s">
        <v>19</v>
      </c>
      <c r="K940" s="2" t="str">
        <f>J940*19934.00</f>
        <v>0</v>
      </c>
      <c r="L940" s="5"/>
    </row>
    <row r="941" spans="1:12" outlineLevel="5">
      <c r="A941" s="1"/>
      <c r="B941" s="1">
        <v>958384</v>
      </c>
      <c r="C941" s="1" t="s">
        <v>2934</v>
      </c>
      <c r="D941" s="1">
        <v>37270</v>
      </c>
      <c r="E941" s="2" t="s">
        <v>2935</v>
      </c>
      <c r="F941" s="2" t="s">
        <v>2124</v>
      </c>
      <c r="G941" s="2">
        <v>0</v>
      </c>
      <c r="H941" s="2">
        <v>0</v>
      </c>
      <c r="I941" s="1">
        <v>0</v>
      </c>
      <c r="J941" s="3" t="s">
        <v>19</v>
      </c>
      <c r="K941" s="2" t="str">
        <f>J941*22849.00</f>
        <v>0</v>
      </c>
      <c r="L941" s="5"/>
    </row>
    <row r="942" spans="1:12" outlineLevel="5">
      <c r="A942" s="1"/>
      <c r="B942" s="1">
        <v>958385</v>
      </c>
      <c r="C942" s="1" t="s">
        <v>2936</v>
      </c>
      <c r="D942" s="1">
        <v>51470</v>
      </c>
      <c r="E942" s="2" t="s">
        <v>2937</v>
      </c>
      <c r="F942" s="2" t="s">
        <v>2938</v>
      </c>
      <c r="G942" s="2">
        <v>0</v>
      </c>
      <c r="H942" s="2">
        <v>0</v>
      </c>
      <c r="I942" s="1">
        <v>0</v>
      </c>
      <c r="J942" s="3" t="s">
        <v>19</v>
      </c>
      <c r="K942" s="2" t="str">
        <f>J942*24159.00</f>
        <v>0</v>
      </c>
      <c r="L942" s="5"/>
    </row>
    <row r="943" spans="1:12" outlineLevel="5">
      <c r="A943" s="1"/>
      <c r="B943" s="1">
        <v>958386</v>
      </c>
      <c r="C943" s="1" t="s">
        <v>2939</v>
      </c>
      <c r="D943" s="1">
        <v>63596</v>
      </c>
      <c r="E943" s="2" t="s">
        <v>2940</v>
      </c>
      <c r="F943" s="2" t="s">
        <v>2941</v>
      </c>
      <c r="G943" s="2">
        <v>0</v>
      </c>
      <c r="H943" s="2">
        <v>0</v>
      </c>
      <c r="I943" s="1">
        <v>0</v>
      </c>
      <c r="J943" s="3" t="s">
        <v>19</v>
      </c>
      <c r="K943" s="2" t="str">
        <f>J943*24004.00</f>
        <v>0</v>
      </c>
      <c r="L943" s="5"/>
    </row>
    <row r="944" spans="1:12" outlineLevel="5">
      <c r="A944" s="1"/>
      <c r="B944" s="1">
        <v>958387</v>
      </c>
      <c r="C944" s="1" t="s">
        <v>2942</v>
      </c>
      <c r="D944" s="1">
        <v>29111</v>
      </c>
      <c r="E944" s="2" t="s">
        <v>2943</v>
      </c>
      <c r="F944" s="2" t="s">
        <v>2944</v>
      </c>
      <c r="G944" s="2">
        <v>0</v>
      </c>
      <c r="H944" s="2">
        <v>0</v>
      </c>
      <c r="I944" s="1">
        <v>0</v>
      </c>
      <c r="J944" s="3" t="s">
        <v>19</v>
      </c>
      <c r="K944" s="2" t="str">
        <f>J944*26420.00</f>
        <v>0</v>
      </c>
      <c r="L944" s="5"/>
    </row>
    <row r="945" spans="1:12" outlineLevel="5">
      <c r="A945" s="1"/>
      <c r="B945" s="1">
        <v>958388</v>
      </c>
      <c r="C945" s="1" t="s">
        <v>2945</v>
      </c>
      <c r="D945" s="1">
        <v>37753</v>
      </c>
      <c r="E945" s="2" t="s">
        <v>2946</v>
      </c>
      <c r="F945" s="2" t="s">
        <v>2947</v>
      </c>
      <c r="G945" s="2">
        <v>0</v>
      </c>
      <c r="H945" s="2">
        <v>0</v>
      </c>
      <c r="I945" s="1">
        <v>0</v>
      </c>
      <c r="J945" s="3" t="s">
        <v>19</v>
      </c>
      <c r="K945" s="2" t="str">
        <f>J945*27846.00</f>
        <v>0</v>
      </c>
      <c r="L945" s="5"/>
    </row>
    <row r="946" spans="1:12" outlineLevel="5">
      <c r="A946" s="1"/>
      <c r="B946" s="1">
        <v>958389</v>
      </c>
      <c r="C946" s="1" t="s">
        <v>2948</v>
      </c>
      <c r="D946" s="1">
        <v>68619</v>
      </c>
      <c r="E946" s="2" t="s">
        <v>2949</v>
      </c>
      <c r="F946" s="2" t="s">
        <v>2950</v>
      </c>
      <c r="G946" s="2">
        <v>0</v>
      </c>
      <c r="H946" s="2">
        <v>0</v>
      </c>
      <c r="I946" s="1">
        <v>0</v>
      </c>
      <c r="J946" s="3" t="s">
        <v>19</v>
      </c>
      <c r="K946" s="2" t="str">
        <f>J946*22140.00</f>
        <v>0</v>
      </c>
      <c r="L946" s="5"/>
    </row>
    <row r="947" spans="1:12" outlineLevel="5">
      <c r="A947" s="1"/>
      <c r="B947" s="1">
        <v>958390</v>
      </c>
      <c r="C947" s="1" t="s">
        <v>2951</v>
      </c>
      <c r="D947" s="1">
        <v>66712</v>
      </c>
      <c r="E947" s="2" t="s">
        <v>2952</v>
      </c>
      <c r="F947" s="2" t="s">
        <v>2953</v>
      </c>
      <c r="G947" s="2">
        <v>0</v>
      </c>
      <c r="H947" s="2">
        <v>0</v>
      </c>
      <c r="I947" s="1">
        <v>0</v>
      </c>
      <c r="J947" s="3" t="s">
        <v>19</v>
      </c>
      <c r="K947" s="2" t="str">
        <f>J947*24791.00</f>
        <v>0</v>
      </c>
      <c r="L947" s="5"/>
    </row>
    <row r="948" spans="1:12" outlineLevel="5">
      <c r="A948" s="1"/>
      <c r="B948" s="1">
        <v>958391</v>
      </c>
      <c r="C948" s="1" t="s">
        <v>2954</v>
      </c>
      <c r="D948" s="1">
        <v>60869</v>
      </c>
      <c r="E948" s="2" t="s">
        <v>2955</v>
      </c>
      <c r="F948" s="2" t="s">
        <v>2956</v>
      </c>
      <c r="G948" s="2">
        <v>0</v>
      </c>
      <c r="H948" s="2">
        <v>0</v>
      </c>
      <c r="I948" s="1">
        <v>0</v>
      </c>
      <c r="J948" s="3" t="s">
        <v>19</v>
      </c>
      <c r="K948" s="2" t="str">
        <f>J948*26974.00</f>
        <v>0</v>
      </c>
      <c r="L948" s="5"/>
    </row>
    <row r="949" spans="1:12" outlineLevel="3">
      <c r="A949" s="9" t="s">
        <v>2957</v>
      </c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5"/>
    </row>
    <row r="950" spans="1:12" outlineLevel="5">
      <c r="A950" s="1"/>
      <c r="B950" s="1">
        <v>958298</v>
      </c>
      <c r="C950" s="1" t="s">
        <v>2958</v>
      </c>
      <c r="D950" s="1">
        <v>32579</v>
      </c>
      <c r="E950" s="2" t="s">
        <v>2959</v>
      </c>
      <c r="F950" s="2" t="s">
        <v>2960</v>
      </c>
      <c r="G950" s="2">
        <v>0</v>
      </c>
      <c r="H950" s="2">
        <v>0</v>
      </c>
      <c r="I950" s="1">
        <v>0</v>
      </c>
      <c r="J950" s="3" t="s">
        <v>19</v>
      </c>
      <c r="K950" s="2" t="str">
        <f>J950*31117.00</f>
        <v>0</v>
      </c>
      <c r="L950" s="5"/>
    </row>
    <row r="951" spans="1:12" outlineLevel="5">
      <c r="A951" s="1"/>
      <c r="B951" s="1">
        <v>958299</v>
      </c>
      <c r="C951" s="1" t="s">
        <v>2961</v>
      </c>
      <c r="D951" s="1">
        <v>74638</v>
      </c>
      <c r="E951" s="2" t="s">
        <v>2962</v>
      </c>
      <c r="F951" s="2" t="s">
        <v>2963</v>
      </c>
      <c r="G951" s="2">
        <v>0</v>
      </c>
      <c r="H951" s="2">
        <v>0</v>
      </c>
      <c r="I951" s="1">
        <v>0</v>
      </c>
      <c r="J951" s="3" t="s">
        <v>19</v>
      </c>
      <c r="K951" s="2" t="str">
        <f>J951*11874.00</f>
        <v>0</v>
      </c>
      <c r="L951" s="5"/>
    </row>
    <row r="952" spans="1:12" outlineLevel="5">
      <c r="A952" s="1"/>
      <c r="B952" s="1">
        <v>958300</v>
      </c>
      <c r="C952" s="1" t="s">
        <v>2964</v>
      </c>
      <c r="D952" s="1">
        <v>52798</v>
      </c>
      <c r="E952" s="2" t="s">
        <v>2965</v>
      </c>
      <c r="F952" s="2" t="s">
        <v>2815</v>
      </c>
      <c r="G952" s="2">
        <v>0</v>
      </c>
      <c r="H952" s="2">
        <v>0</v>
      </c>
      <c r="I952" s="1">
        <v>0</v>
      </c>
      <c r="J952" s="3" t="s">
        <v>19</v>
      </c>
      <c r="K952" s="2" t="str">
        <f>J952*15549.00</f>
        <v>0</v>
      </c>
      <c r="L952" s="5"/>
    </row>
    <row r="953" spans="1:12" outlineLevel="5">
      <c r="A953" s="1"/>
      <c r="B953" s="1">
        <v>958301</v>
      </c>
      <c r="C953" s="1" t="s">
        <v>2966</v>
      </c>
      <c r="D953" s="1">
        <v>18763</v>
      </c>
      <c r="E953" s="2" t="s">
        <v>2967</v>
      </c>
      <c r="F953" s="2" t="s">
        <v>2968</v>
      </c>
      <c r="G953" s="2">
        <v>0</v>
      </c>
      <c r="H953" s="2">
        <v>0</v>
      </c>
      <c r="I953" s="1">
        <v>0</v>
      </c>
      <c r="J953" s="3" t="s">
        <v>19</v>
      </c>
      <c r="K953" s="2" t="str">
        <f>J953*20115.00</f>
        <v>0</v>
      </c>
      <c r="L953" s="5"/>
    </row>
    <row r="954" spans="1:12" outlineLevel="5">
      <c r="A954" s="1"/>
      <c r="B954" s="1">
        <v>958302</v>
      </c>
      <c r="C954" s="1" t="s">
        <v>2969</v>
      </c>
      <c r="D954" s="1">
        <v>55233</v>
      </c>
      <c r="E954" s="2" t="s">
        <v>2970</v>
      </c>
      <c r="F954" s="2" t="s">
        <v>2971</v>
      </c>
      <c r="G954" s="2">
        <v>0</v>
      </c>
      <c r="H954" s="2">
        <v>0</v>
      </c>
      <c r="I954" s="1">
        <v>0</v>
      </c>
      <c r="J954" s="3" t="s">
        <v>19</v>
      </c>
      <c r="K954" s="2" t="str">
        <f>J954*17381.00</f>
        <v>0</v>
      </c>
      <c r="L954" s="5"/>
    </row>
    <row r="955" spans="1:12" outlineLevel="5">
      <c r="A955" s="1"/>
      <c r="B955" s="1">
        <v>958303</v>
      </c>
      <c r="C955" s="1" t="s">
        <v>2972</v>
      </c>
      <c r="D955" s="1">
        <v>29462</v>
      </c>
      <c r="E955" s="2" t="s">
        <v>2973</v>
      </c>
      <c r="F955" s="2" t="s">
        <v>2974</v>
      </c>
      <c r="G955" s="2">
        <v>0</v>
      </c>
      <c r="H955" s="2">
        <v>0</v>
      </c>
      <c r="I955" s="1">
        <v>0</v>
      </c>
      <c r="J955" s="3" t="s">
        <v>19</v>
      </c>
      <c r="K955" s="2" t="str">
        <f>J955*23797.00</f>
        <v>0</v>
      </c>
      <c r="L955" s="5"/>
    </row>
    <row r="956" spans="1:12" outlineLevel="5">
      <c r="A956" s="1"/>
      <c r="B956" s="1">
        <v>958304</v>
      </c>
      <c r="C956" s="1" t="s">
        <v>2975</v>
      </c>
      <c r="D956" s="1">
        <v>54085</v>
      </c>
      <c r="E956" s="2" t="s">
        <v>2976</v>
      </c>
      <c r="F956" s="2" t="s">
        <v>2977</v>
      </c>
      <c r="G956" s="2">
        <v>0</v>
      </c>
      <c r="H956" s="2">
        <v>0</v>
      </c>
      <c r="I956" s="1">
        <v>0</v>
      </c>
      <c r="J956" s="3" t="s">
        <v>19</v>
      </c>
      <c r="K956" s="2" t="str">
        <f>J956*19810.00</f>
        <v>0</v>
      </c>
      <c r="L956" s="5"/>
    </row>
    <row r="957" spans="1:12" outlineLevel="5">
      <c r="A957" s="1"/>
      <c r="B957" s="1">
        <v>958305</v>
      </c>
      <c r="C957" s="1" t="s">
        <v>2978</v>
      </c>
      <c r="D957" s="1">
        <v>20580</v>
      </c>
      <c r="E957" s="2" t="s">
        <v>2979</v>
      </c>
      <c r="F957" s="2" t="s">
        <v>2980</v>
      </c>
      <c r="G957" s="2">
        <v>0</v>
      </c>
      <c r="H957" s="2">
        <v>0</v>
      </c>
      <c r="I957" s="1">
        <v>0</v>
      </c>
      <c r="J957" s="3" t="s">
        <v>19</v>
      </c>
      <c r="K957" s="2" t="str">
        <f>J957*25267.00</f>
        <v>0</v>
      </c>
      <c r="L957" s="5"/>
    </row>
    <row r="958" spans="1:12" outlineLevel="5">
      <c r="A958" s="1"/>
      <c r="B958" s="1">
        <v>958306</v>
      </c>
      <c r="C958" s="1" t="s">
        <v>2981</v>
      </c>
      <c r="D958" s="1">
        <v>69231</v>
      </c>
      <c r="E958" s="2" t="s">
        <v>2982</v>
      </c>
      <c r="F958" s="2" t="s">
        <v>2983</v>
      </c>
      <c r="G958" s="2">
        <v>0</v>
      </c>
      <c r="H958" s="2">
        <v>0</v>
      </c>
      <c r="I958" s="1">
        <v>0</v>
      </c>
      <c r="J958" s="3" t="s">
        <v>19</v>
      </c>
      <c r="K958" s="2" t="str">
        <f>J958*25388.00</f>
        <v>0</v>
      </c>
      <c r="L958" s="5"/>
    </row>
    <row r="959" spans="1:12" outlineLevel="5">
      <c r="A959" s="1"/>
      <c r="B959" s="1">
        <v>958307</v>
      </c>
      <c r="C959" s="1" t="s">
        <v>2984</v>
      </c>
      <c r="D959" s="1">
        <v>12689</v>
      </c>
      <c r="E959" s="2" t="s">
        <v>2985</v>
      </c>
      <c r="F959" s="2" t="s">
        <v>2986</v>
      </c>
      <c r="G959" s="2">
        <v>0</v>
      </c>
      <c r="H959" s="2">
        <v>0</v>
      </c>
      <c r="I959" s="1">
        <v>0</v>
      </c>
      <c r="J959" s="3" t="s">
        <v>19</v>
      </c>
      <c r="K959" s="2" t="str">
        <f>J959*28281.00</f>
        <v>0</v>
      </c>
      <c r="L959" s="5"/>
    </row>
    <row r="960" spans="1:12" outlineLevel="5">
      <c r="A960" s="1"/>
      <c r="B960" s="1">
        <v>958308</v>
      </c>
      <c r="C960" s="1" t="s">
        <v>2987</v>
      </c>
      <c r="D960" s="1">
        <v>98928</v>
      </c>
      <c r="E960" s="2" t="s">
        <v>2988</v>
      </c>
      <c r="F960" s="2" t="s">
        <v>2989</v>
      </c>
      <c r="G960" s="2">
        <v>0</v>
      </c>
      <c r="H960" s="2">
        <v>0</v>
      </c>
      <c r="I960" s="1">
        <v>0</v>
      </c>
      <c r="J960" s="3" t="s">
        <v>19</v>
      </c>
      <c r="K960" s="2" t="str">
        <f>J960*15177.00</f>
        <v>0</v>
      </c>
      <c r="L960" s="5"/>
    </row>
    <row r="961" spans="1:12" outlineLevel="5">
      <c r="A961" s="1"/>
      <c r="B961" s="1">
        <v>958309</v>
      </c>
      <c r="C961" s="1" t="s">
        <v>2990</v>
      </c>
      <c r="D961" s="1">
        <v>25632</v>
      </c>
      <c r="E961" s="2" t="s">
        <v>2991</v>
      </c>
      <c r="F961" s="2" t="s">
        <v>2992</v>
      </c>
      <c r="G961" s="2">
        <v>0</v>
      </c>
      <c r="H961" s="2">
        <v>0</v>
      </c>
      <c r="I961" s="1">
        <v>0</v>
      </c>
      <c r="J961" s="3" t="s">
        <v>19</v>
      </c>
      <c r="K961" s="2" t="str">
        <f>J961*15916.00</f>
        <v>0</v>
      </c>
      <c r="L961" s="5"/>
    </row>
    <row r="962" spans="1:12" outlineLevel="3">
      <c r="A962" s="9" t="s">
        <v>2993</v>
      </c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5"/>
    </row>
    <row r="963" spans="1:12" outlineLevel="5">
      <c r="A963" s="1"/>
      <c r="B963" s="1">
        <v>958280</v>
      </c>
      <c r="C963" s="1" t="s">
        <v>2994</v>
      </c>
      <c r="D963" s="1">
        <v>22419</v>
      </c>
      <c r="E963" s="2" t="s">
        <v>2995</v>
      </c>
      <c r="F963" s="2" t="s">
        <v>2996</v>
      </c>
      <c r="G963" s="2">
        <v>0</v>
      </c>
      <c r="H963" s="2">
        <v>0</v>
      </c>
      <c r="I963" s="1">
        <v>0</v>
      </c>
      <c r="J963" s="3" t="s">
        <v>19</v>
      </c>
      <c r="K963" s="2" t="str">
        <f>J963*9816.00</f>
        <v>0</v>
      </c>
      <c r="L963" s="5"/>
    </row>
    <row r="964" spans="1:12" outlineLevel="5">
      <c r="A964" s="1"/>
      <c r="B964" s="1">
        <v>958281</v>
      </c>
      <c r="C964" s="1" t="s">
        <v>2997</v>
      </c>
      <c r="D964" s="1">
        <v>42061</v>
      </c>
      <c r="E964" s="2" t="s">
        <v>2998</v>
      </c>
      <c r="F964" s="2" t="s">
        <v>2999</v>
      </c>
      <c r="G964" s="2">
        <v>0</v>
      </c>
      <c r="H964" s="2">
        <v>0</v>
      </c>
      <c r="I964" s="1">
        <v>0</v>
      </c>
      <c r="J964" s="3" t="s">
        <v>19</v>
      </c>
      <c r="K964" s="2" t="str">
        <f>J964*9015.00</f>
        <v>0</v>
      </c>
      <c r="L964" s="5"/>
    </row>
    <row r="965" spans="1:12" outlineLevel="5">
      <c r="A965" s="1"/>
      <c r="B965" s="1">
        <v>958282</v>
      </c>
      <c r="C965" s="1" t="s">
        <v>3000</v>
      </c>
      <c r="D965" s="1">
        <v>78918</v>
      </c>
      <c r="E965" s="2" t="s">
        <v>3001</v>
      </c>
      <c r="F965" s="2" t="s">
        <v>3002</v>
      </c>
      <c r="G965" s="2">
        <v>0</v>
      </c>
      <c r="H965" s="2">
        <v>0</v>
      </c>
      <c r="I965" s="1">
        <v>0</v>
      </c>
      <c r="J965" s="3" t="s">
        <v>19</v>
      </c>
      <c r="K965" s="2" t="str">
        <f>J965*11534.00</f>
        <v>0</v>
      </c>
      <c r="L965" s="5"/>
    </row>
    <row r="966" spans="1:12" outlineLevel="5">
      <c r="A966" s="1"/>
      <c r="B966" s="1">
        <v>958283</v>
      </c>
      <c r="C966" s="1" t="s">
        <v>3003</v>
      </c>
      <c r="D966" s="1">
        <v>29053</v>
      </c>
      <c r="E966" s="2" t="s">
        <v>3004</v>
      </c>
      <c r="F966" s="2" t="s">
        <v>3005</v>
      </c>
      <c r="G966" s="2">
        <v>0</v>
      </c>
      <c r="H966" s="2">
        <v>0</v>
      </c>
      <c r="I966" s="1">
        <v>0</v>
      </c>
      <c r="J966" s="3" t="s">
        <v>19</v>
      </c>
      <c r="K966" s="2" t="str">
        <f>J966*11376.00</f>
        <v>0</v>
      </c>
      <c r="L966" s="5"/>
    </row>
    <row r="967" spans="1:12" outlineLevel="5">
      <c r="A967" s="1"/>
      <c r="B967" s="1">
        <v>958284</v>
      </c>
      <c r="C967" s="1" t="s">
        <v>3006</v>
      </c>
      <c r="D967" s="1">
        <v>66799</v>
      </c>
      <c r="E967" s="2" t="s">
        <v>3007</v>
      </c>
      <c r="F967" s="2" t="s">
        <v>3008</v>
      </c>
      <c r="G967" s="2">
        <v>0</v>
      </c>
      <c r="H967" s="2">
        <v>0</v>
      </c>
      <c r="I967" s="1">
        <v>0</v>
      </c>
      <c r="J967" s="3" t="s">
        <v>19</v>
      </c>
      <c r="K967" s="2" t="str">
        <f>J967*9751.00</f>
        <v>0</v>
      </c>
      <c r="L967" s="5"/>
    </row>
    <row r="968" spans="1:12" outlineLevel="5">
      <c r="A968" s="1"/>
      <c r="B968" s="1">
        <v>958285</v>
      </c>
      <c r="C968" s="1" t="s">
        <v>3009</v>
      </c>
      <c r="D968" s="1">
        <v>11582</v>
      </c>
      <c r="E968" s="2" t="s">
        <v>3010</v>
      </c>
      <c r="F968" s="2" t="s">
        <v>3011</v>
      </c>
      <c r="G968" s="2">
        <v>0</v>
      </c>
      <c r="H968" s="2">
        <v>0</v>
      </c>
      <c r="I968" s="1">
        <v>0</v>
      </c>
      <c r="J968" s="3" t="s">
        <v>19</v>
      </c>
      <c r="K968" s="2" t="str">
        <f>J968*13243.00</f>
        <v>0</v>
      </c>
      <c r="L968" s="5"/>
    </row>
    <row r="969" spans="1:12" outlineLevel="5">
      <c r="A969" s="1"/>
      <c r="B969" s="1">
        <v>958286</v>
      </c>
      <c r="C969" s="1" t="s">
        <v>3012</v>
      </c>
      <c r="D969" s="1">
        <v>18914</v>
      </c>
      <c r="E969" s="2" t="s">
        <v>3013</v>
      </c>
      <c r="F969" s="2" t="s">
        <v>3014</v>
      </c>
      <c r="G969" s="2">
        <v>0</v>
      </c>
      <c r="H969" s="2">
        <v>0</v>
      </c>
      <c r="I969" s="1">
        <v>0</v>
      </c>
      <c r="J969" s="3" t="s">
        <v>19</v>
      </c>
      <c r="K969" s="2" t="str">
        <f>J969*7891.00</f>
        <v>0</v>
      </c>
      <c r="L969" s="5"/>
    </row>
    <row r="970" spans="1:12" outlineLevel="5">
      <c r="A970" s="1"/>
      <c r="B970" s="1">
        <v>958287</v>
      </c>
      <c r="C970" s="1" t="s">
        <v>3015</v>
      </c>
      <c r="D970" s="1">
        <v>62336</v>
      </c>
      <c r="E970" s="2" t="s">
        <v>3016</v>
      </c>
      <c r="F970" s="2" t="s">
        <v>3017</v>
      </c>
      <c r="G970" s="2">
        <v>0</v>
      </c>
      <c r="H970" s="2">
        <v>0</v>
      </c>
      <c r="I970" s="1">
        <v>0</v>
      </c>
      <c r="J970" s="3" t="s">
        <v>19</v>
      </c>
      <c r="K970" s="2" t="str">
        <f>J970*8804.00</f>
        <v>0</v>
      </c>
      <c r="L970" s="5"/>
    </row>
    <row r="971" spans="1:12" outlineLevel="5">
      <c r="A971" s="1"/>
      <c r="B971" s="1">
        <v>958288</v>
      </c>
      <c r="C971" s="1" t="s">
        <v>3018</v>
      </c>
      <c r="D971" s="1">
        <v>89628</v>
      </c>
      <c r="E971" s="2" t="s">
        <v>3019</v>
      </c>
      <c r="F971" s="2" t="s">
        <v>3020</v>
      </c>
      <c r="G971" s="2">
        <v>0</v>
      </c>
      <c r="H971" s="2">
        <v>0</v>
      </c>
      <c r="I971" s="1">
        <v>0</v>
      </c>
      <c r="J971" s="3" t="s">
        <v>19</v>
      </c>
      <c r="K971" s="2" t="str">
        <f>J971*10951.00</f>
        <v>0</v>
      </c>
      <c r="L971" s="5"/>
    </row>
    <row r="972" spans="1:12" outlineLevel="5">
      <c r="A972" s="1"/>
      <c r="B972" s="1">
        <v>958289</v>
      </c>
      <c r="C972" s="1" t="s">
        <v>3021</v>
      </c>
      <c r="D972" s="1">
        <v>54338</v>
      </c>
      <c r="E972" s="2" t="s">
        <v>3022</v>
      </c>
      <c r="F972" s="2" t="s">
        <v>3023</v>
      </c>
      <c r="G972" s="2">
        <v>0</v>
      </c>
      <c r="H972" s="2">
        <v>0</v>
      </c>
      <c r="I972" s="1">
        <v>0</v>
      </c>
      <c r="J972" s="3" t="s">
        <v>19</v>
      </c>
      <c r="K972" s="2" t="str">
        <f>J972*10817.00</f>
        <v>0</v>
      </c>
      <c r="L972" s="5"/>
    </row>
    <row r="973" spans="1:12" outlineLevel="5">
      <c r="A973" s="1"/>
      <c r="B973" s="1">
        <v>958290</v>
      </c>
      <c r="C973" s="1" t="s">
        <v>3024</v>
      </c>
      <c r="D973" s="1">
        <v>83955</v>
      </c>
      <c r="E973" s="2" t="s">
        <v>3025</v>
      </c>
      <c r="F973" s="2" t="s">
        <v>3026</v>
      </c>
      <c r="G973" s="2">
        <v>0</v>
      </c>
      <c r="H973" s="2">
        <v>0</v>
      </c>
      <c r="I973" s="1">
        <v>0</v>
      </c>
      <c r="J973" s="3" t="s">
        <v>19</v>
      </c>
      <c r="K973" s="2" t="str">
        <f>J973*12376.00</f>
        <v>0</v>
      </c>
      <c r="L973" s="5"/>
    </row>
    <row r="974" spans="1:12" outlineLevel="5">
      <c r="A974" s="1"/>
      <c r="B974" s="1">
        <v>958291</v>
      </c>
      <c r="C974" s="1" t="s">
        <v>3027</v>
      </c>
      <c r="D974" s="1">
        <v>82229</v>
      </c>
      <c r="E974" s="2" t="s">
        <v>3028</v>
      </c>
      <c r="F974" s="2" t="s">
        <v>3029</v>
      </c>
      <c r="G974" s="2">
        <v>0</v>
      </c>
      <c r="H974" s="2">
        <v>0</v>
      </c>
      <c r="I974" s="1">
        <v>0</v>
      </c>
      <c r="J974" s="3" t="s">
        <v>19</v>
      </c>
      <c r="K974" s="2" t="str">
        <f>J974*10708.00</f>
        <v>0</v>
      </c>
      <c r="L974" s="5"/>
    </row>
    <row r="975" spans="1:12" outlineLevel="5">
      <c r="A975" s="1"/>
      <c r="B975" s="1">
        <v>958292</v>
      </c>
      <c r="C975" s="1" t="s">
        <v>3030</v>
      </c>
      <c r="D975" s="1">
        <v>60382</v>
      </c>
      <c r="E975" s="2" t="s">
        <v>3031</v>
      </c>
      <c r="F975" s="2" t="s">
        <v>3032</v>
      </c>
      <c r="G975" s="2">
        <v>0</v>
      </c>
      <c r="H975" s="2">
        <v>0</v>
      </c>
      <c r="I975" s="1">
        <v>0</v>
      </c>
      <c r="J975" s="3" t="s">
        <v>19</v>
      </c>
      <c r="K975" s="2" t="str">
        <f>J975*11860.00</f>
        <v>0</v>
      </c>
      <c r="L975" s="5"/>
    </row>
    <row r="976" spans="1:12" outlineLevel="5">
      <c r="A976" s="1"/>
      <c r="B976" s="1">
        <v>958293</v>
      </c>
      <c r="C976" s="1" t="s">
        <v>3033</v>
      </c>
      <c r="D976" s="1">
        <v>43196</v>
      </c>
      <c r="E976" s="2" t="s">
        <v>3034</v>
      </c>
      <c r="F976" s="2" t="s">
        <v>3035</v>
      </c>
      <c r="G976" s="2">
        <v>0</v>
      </c>
      <c r="H976" s="2">
        <v>0</v>
      </c>
      <c r="I976" s="1">
        <v>0</v>
      </c>
      <c r="J976" s="3" t="s">
        <v>19</v>
      </c>
      <c r="K976" s="2" t="str">
        <f>J976*9962.00</f>
        <v>0</v>
      </c>
      <c r="L976" s="5"/>
    </row>
    <row r="977" spans="1:12" outlineLevel="5">
      <c r="A977" s="1"/>
      <c r="B977" s="1">
        <v>958294</v>
      </c>
      <c r="C977" s="1" t="s">
        <v>3036</v>
      </c>
      <c r="D977" s="1">
        <v>32583</v>
      </c>
      <c r="E977" s="2" t="s">
        <v>3037</v>
      </c>
      <c r="F977" s="2" t="s">
        <v>3038</v>
      </c>
      <c r="G977" s="2">
        <v>0</v>
      </c>
      <c r="H977" s="2">
        <v>0</v>
      </c>
      <c r="I977" s="1">
        <v>0</v>
      </c>
      <c r="J977" s="3" t="s">
        <v>19</v>
      </c>
      <c r="K977" s="2" t="str">
        <f>J977*13188.00</f>
        <v>0</v>
      </c>
      <c r="L977" s="5"/>
    </row>
    <row r="978" spans="1:12" outlineLevel="5">
      <c r="A978" s="1"/>
      <c r="B978" s="1">
        <v>958295</v>
      </c>
      <c r="C978" s="1" t="s">
        <v>3039</v>
      </c>
      <c r="D978" s="1">
        <v>13056</v>
      </c>
      <c r="E978" s="2" t="s">
        <v>3040</v>
      </c>
      <c r="F978" s="2" t="s">
        <v>3041</v>
      </c>
      <c r="G978" s="2">
        <v>0</v>
      </c>
      <c r="H978" s="2">
        <v>0</v>
      </c>
      <c r="I978" s="1">
        <v>0</v>
      </c>
      <c r="J978" s="3" t="s">
        <v>19</v>
      </c>
      <c r="K978" s="2" t="str">
        <f>J978*19485.00</f>
        <v>0</v>
      </c>
      <c r="L978" s="5"/>
    </row>
    <row r="979" spans="1:12" outlineLevel="5">
      <c r="A979" s="1"/>
      <c r="B979" s="1">
        <v>958296</v>
      </c>
      <c r="C979" s="1" t="s">
        <v>3042</v>
      </c>
      <c r="D979" s="1">
        <v>94344</v>
      </c>
      <c r="E979" s="2" t="s">
        <v>3043</v>
      </c>
      <c r="F979" s="2" t="s">
        <v>3044</v>
      </c>
      <c r="G979" s="2">
        <v>0</v>
      </c>
      <c r="H979" s="2">
        <v>0</v>
      </c>
      <c r="I979" s="1">
        <v>0</v>
      </c>
      <c r="J979" s="3" t="s">
        <v>19</v>
      </c>
      <c r="K979" s="2" t="str">
        <f>J979*12747.00</f>
        <v>0</v>
      </c>
      <c r="L979" s="5"/>
    </row>
    <row r="980" spans="1:12" outlineLevel="5">
      <c r="A980" s="1"/>
      <c r="B980" s="1">
        <v>958297</v>
      </c>
      <c r="C980" s="1" t="s">
        <v>3045</v>
      </c>
      <c r="D980" s="1">
        <v>85517</v>
      </c>
      <c r="E980" s="2" t="s">
        <v>3046</v>
      </c>
      <c r="F980" s="2" t="s">
        <v>3047</v>
      </c>
      <c r="G980" s="2">
        <v>0</v>
      </c>
      <c r="H980" s="2">
        <v>0</v>
      </c>
      <c r="I980" s="1">
        <v>0</v>
      </c>
      <c r="J980" s="3" t="s">
        <v>19</v>
      </c>
      <c r="K980" s="2" t="str">
        <f>J980*12216.00</f>
        <v>0</v>
      </c>
      <c r="L980" s="5"/>
    </row>
    <row r="981" spans="1:12" outlineLevel="3">
      <c r="A981" s="9" t="s">
        <v>3048</v>
      </c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5"/>
    </row>
    <row r="982" spans="1:12" outlineLevel="5">
      <c r="A982" s="1"/>
      <c r="B982" s="1">
        <v>958392</v>
      </c>
      <c r="C982" s="1" t="s">
        <v>3049</v>
      </c>
      <c r="D982" s="1">
        <v>95795</v>
      </c>
      <c r="E982" s="2" t="s">
        <v>3050</v>
      </c>
      <c r="F982" s="2" t="s">
        <v>3051</v>
      </c>
      <c r="G982" s="2">
        <v>0</v>
      </c>
      <c r="H982" s="2">
        <v>0</v>
      </c>
      <c r="I982" s="1">
        <v>0</v>
      </c>
      <c r="J982" s="3" t="s">
        <v>19</v>
      </c>
      <c r="K982" s="2" t="str">
        <f>J982*79349.00</f>
        <v>0</v>
      </c>
      <c r="L982" s="5"/>
    </row>
    <row r="983" spans="1:12" outlineLevel="5">
      <c r="A983" s="1"/>
      <c r="B983" s="1">
        <v>958393</v>
      </c>
      <c r="C983" s="1" t="s">
        <v>3052</v>
      </c>
      <c r="D983" s="1">
        <v>31710</v>
      </c>
      <c r="E983" s="2" t="s">
        <v>3053</v>
      </c>
      <c r="F983" s="2" t="s">
        <v>3054</v>
      </c>
      <c r="G983" s="2">
        <v>0</v>
      </c>
      <c r="H983" s="2">
        <v>0</v>
      </c>
      <c r="I983" s="1">
        <v>0</v>
      </c>
      <c r="J983" s="3" t="s">
        <v>19</v>
      </c>
      <c r="K983" s="2" t="str">
        <f>J983*49570.00</f>
        <v>0</v>
      </c>
      <c r="L983" s="5"/>
    </row>
    <row r="984" spans="1:12" outlineLevel="5">
      <c r="A984" s="1"/>
      <c r="B984" s="1">
        <v>958394</v>
      </c>
      <c r="C984" s="1" t="s">
        <v>3055</v>
      </c>
      <c r="D984" s="1">
        <v>89553</v>
      </c>
      <c r="E984" s="2" t="s">
        <v>3056</v>
      </c>
      <c r="F984" s="2" t="s">
        <v>3054</v>
      </c>
      <c r="G984" s="2">
        <v>0</v>
      </c>
      <c r="H984" s="2">
        <v>0</v>
      </c>
      <c r="I984" s="1">
        <v>0</v>
      </c>
      <c r="J984" s="3" t="s">
        <v>19</v>
      </c>
      <c r="K984" s="2" t="str">
        <f>J984*49570.00</f>
        <v>0</v>
      </c>
      <c r="L984" s="5"/>
    </row>
    <row r="985" spans="1:12" outlineLevel="3">
      <c r="A985" s="9" t="s">
        <v>3057</v>
      </c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5"/>
    </row>
    <row r="986" spans="1:12" outlineLevel="5">
      <c r="A986" s="1"/>
      <c r="B986" s="1">
        <v>958265</v>
      </c>
      <c r="C986" s="1" t="s">
        <v>3058</v>
      </c>
      <c r="D986" s="1">
        <v>74727</v>
      </c>
      <c r="E986" s="2" t="s">
        <v>3059</v>
      </c>
      <c r="F986" s="2" t="s">
        <v>3060</v>
      </c>
      <c r="G986" s="2">
        <v>0</v>
      </c>
      <c r="H986" s="2">
        <v>0</v>
      </c>
      <c r="I986" s="1">
        <v>0</v>
      </c>
      <c r="J986" s="3" t="s">
        <v>19</v>
      </c>
      <c r="K986" s="2" t="str">
        <f>J986*14507.00</f>
        <v>0</v>
      </c>
      <c r="L986" s="5"/>
    </row>
    <row r="987" spans="1:12" outlineLevel="5">
      <c r="A987" s="1"/>
      <c r="B987" s="1">
        <v>958266</v>
      </c>
      <c r="C987" s="1" t="s">
        <v>3061</v>
      </c>
      <c r="D987" s="1">
        <v>76643</v>
      </c>
      <c r="E987" s="2" t="s">
        <v>3062</v>
      </c>
      <c r="F987" s="2" t="s">
        <v>3063</v>
      </c>
      <c r="G987" s="2">
        <v>0</v>
      </c>
      <c r="H987" s="2">
        <v>0</v>
      </c>
      <c r="I987" s="1">
        <v>0</v>
      </c>
      <c r="J987" s="3" t="s">
        <v>19</v>
      </c>
      <c r="K987" s="2" t="str">
        <f>J987*17580.00</f>
        <v>0</v>
      </c>
      <c r="L987" s="5"/>
    </row>
    <row r="988" spans="1:12" outlineLevel="5">
      <c r="A988" s="1"/>
      <c r="B988" s="1">
        <v>958267</v>
      </c>
      <c r="C988" s="1" t="s">
        <v>3064</v>
      </c>
      <c r="D988" s="1">
        <v>66575</v>
      </c>
      <c r="E988" s="2" t="s">
        <v>3065</v>
      </c>
      <c r="F988" s="2" t="s">
        <v>3066</v>
      </c>
      <c r="G988" s="2">
        <v>0</v>
      </c>
      <c r="H988" s="2">
        <v>0</v>
      </c>
      <c r="I988" s="1">
        <v>0</v>
      </c>
      <c r="J988" s="3" t="s">
        <v>19</v>
      </c>
      <c r="K988" s="2" t="str">
        <f>J988*14604.00</f>
        <v>0</v>
      </c>
      <c r="L988" s="5"/>
    </row>
    <row r="989" spans="1:12" outlineLevel="5">
      <c r="A989" s="1"/>
      <c r="B989" s="1">
        <v>958268</v>
      </c>
      <c r="C989" s="1" t="s">
        <v>3067</v>
      </c>
      <c r="D989" s="1">
        <v>36078</v>
      </c>
      <c r="E989" s="2" t="s">
        <v>3068</v>
      </c>
      <c r="F989" s="2" t="s">
        <v>3069</v>
      </c>
      <c r="G989" s="2">
        <v>0</v>
      </c>
      <c r="H989" s="2">
        <v>0</v>
      </c>
      <c r="I989" s="1">
        <v>0</v>
      </c>
      <c r="J989" s="3" t="s">
        <v>19</v>
      </c>
      <c r="K989" s="2" t="str">
        <f>J989*17299.00</f>
        <v>0</v>
      </c>
      <c r="L989" s="5"/>
    </row>
    <row r="990" spans="1:12" outlineLevel="5">
      <c r="A990" s="1"/>
      <c r="B990" s="1">
        <v>958269</v>
      </c>
      <c r="C990" s="1" t="s">
        <v>3070</v>
      </c>
      <c r="D990" s="1">
        <v>32028</v>
      </c>
      <c r="E990" s="2" t="s">
        <v>3071</v>
      </c>
      <c r="F990" s="2" t="s">
        <v>3072</v>
      </c>
      <c r="G990" s="2">
        <v>0</v>
      </c>
      <c r="H990" s="2">
        <v>0</v>
      </c>
      <c r="I990" s="1">
        <v>0</v>
      </c>
      <c r="J990" s="3" t="s">
        <v>19</v>
      </c>
      <c r="K990" s="2" t="str">
        <f>J990*18884.00</f>
        <v>0</v>
      </c>
      <c r="L990" s="5"/>
    </row>
    <row r="991" spans="1:12" outlineLevel="5">
      <c r="A991" s="1"/>
      <c r="B991" s="1">
        <v>958270</v>
      </c>
      <c r="C991" s="1" t="s">
        <v>3073</v>
      </c>
      <c r="D991" s="1">
        <v>40938</v>
      </c>
      <c r="E991" s="2" t="s">
        <v>3074</v>
      </c>
      <c r="F991" s="2" t="s">
        <v>3075</v>
      </c>
      <c r="G991" s="2">
        <v>0</v>
      </c>
      <c r="H991" s="2">
        <v>0</v>
      </c>
      <c r="I991" s="1">
        <v>0</v>
      </c>
      <c r="J991" s="3" t="s">
        <v>19</v>
      </c>
      <c r="K991" s="2" t="str">
        <f>J991*18120.00</f>
        <v>0</v>
      </c>
      <c r="L991" s="5"/>
    </row>
    <row r="992" spans="1:12" outlineLevel="5">
      <c r="A992" s="1"/>
      <c r="B992" s="1">
        <v>958271</v>
      </c>
      <c r="C992" s="1" t="s">
        <v>3076</v>
      </c>
      <c r="D992" s="1">
        <v>51343</v>
      </c>
      <c r="E992" s="2" t="s">
        <v>3077</v>
      </c>
      <c r="F992" s="2" t="s">
        <v>3078</v>
      </c>
      <c r="G992" s="2">
        <v>0</v>
      </c>
      <c r="H992" s="2">
        <v>0</v>
      </c>
      <c r="I992" s="1">
        <v>0</v>
      </c>
      <c r="J992" s="3" t="s">
        <v>19</v>
      </c>
      <c r="K992" s="2" t="str">
        <f>J992*20113.00</f>
        <v>0</v>
      </c>
      <c r="L992" s="5"/>
    </row>
    <row r="993" spans="1:12" outlineLevel="5">
      <c r="A993" s="1"/>
      <c r="B993" s="1">
        <v>958272</v>
      </c>
      <c r="C993" s="1" t="s">
        <v>3079</v>
      </c>
      <c r="D993" s="1">
        <v>98752</v>
      </c>
      <c r="E993" s="2" t="s">
        <v>3080</v>
      </c>
      <c r="F993" s="2" t="s">
        <v>3081</v>
      </c>
      <c r="G993" s="2">
        <v>0</v>
      </c>
      <c r="H993" s="2">
        <v>0</v>
      </c>
      <c r="I993" s="1">
        <v>0</v>
      </c>
      <c r="J993" s="3" t="s">
        <v>19</v>
      </c>
      <c r="K993" s="2" t="str">
        <f>J993*18973.00</f>
        <v>0</v>
      </c>
      <c r="L993" s="5"/>
    </row>
    <row r="994" spans="1:12" outlineLevel="5">
      <c r="A994" s="1"/>
      <c r="B994" s="1">
        <v>958273</v>
      </c>
      <c r="C994" s="1" t="s">
        <v>3082</v>
      </c>
      <c r="D994" s="1">
        <v>45483</v>
      </c>
      <c r="E994" s="2" t="s">
        <v>3083</v>
      </c>
      <c r="F994" s="2" t="s">
        <v>3084</v>
      </c>
      <c r="G994" s="2">
        <v>0</v>
      </c>
      <c r="H994" s="2">
        <v>0</v>
      </c>
      <c r="I994" s="1">
        <v>0</v>
      </c>
      <c r="J994" s="3" t="s">
        <v>19</v>
      </c>
      <c r="K994" s="2" t="str">
        <f>J994*30114.00</f>
        <v>0</v>
      </c>
      <c r="L994" s="5"/>
    </row>
    <row r="995" spans="1:12" outlineLevel="5">
      <c r="A995" s="1"/>
      <c r="B995" s="1">
        <v>958274</v>
      </c>
      <c r="C995" s="1" t="s">
        <v>3085</v>
      </c>
      <c r="D995" s="1">
        <v>47258</v>
      </c>
      <c r="E995" s="2" t="s">
        <v>3086</v>
      </c>
      <c r="F995" s="2" t="s">
        <v>3087</v>
      </c>
      <c r="G995" s="2">
        <v>0</v>
      </c>
      <c r="H995" s="2">
        <v>0</v>
      </c>
      <c r="I995" s="1">
        <v>0</v>
      </c>
      <c r="J995" s="3" t="s">
        <v>19</v>
      </c>
      <c r="K995" s="2" t="str">
        <f>J995*9993.00</f>
        <v>0</v>
      </c>
      <c r="L995" s="5"/>
    </row>
    <row r="996" spans="1:12" outlineLevel="5">
      <c r="A996" s="1"/>
      <c r="B996" s="1">
        <v>958275</v>
      </c>
      <c r="C996" s="1" t="s">
        <v>3088</v>
      </c>
      <c r="D996" s="1">
        <v>86378</v>
      </c>
      <c r="E996" s="2" t="s">
        <v>3089</v>
      </c>
      <c r="F996" s="2" t="s">
        <v>3090</v>
      </c>
      <c r="G996" s="2">
        <v>0</v>
      </c>
      <c r="H996" s="2">
        <v>0</v>
      </c>
      <c r="I996" s="1">
        <v>0</v>
      </c>
      <c r="J996" s="3" t="s">
        <v>19</v>
      </c>
      <c r="K996" s="2" t="str">
        <f>J996*7777.00</f>
        <v>0</v>
      </c>
      <c r="L996" s="5"/>
    </row>
    <row r="997" spans="1:12" outlineLevel="5">
      <c r="A997" s="1"/>
      <c r="B997" s="1">
        <v>958276</v>
      </c>
      <c r="C997" s="1" t="s">
        <v>3091</v>
      </c>
      <c r="D997" s="1">
        <v>72340</v>
      </c>
      <c r="E997" s="2" t="s">
        <v>3092</v>
      </c>
      <c r="F997" s="2" t="s">
        <v>3020</v>
      </c>
      <c r="G997" s="2">
        <v>0</v>
      </c>
      <c r="H997" s="2">
        <v>0</v>
      </c>
      <c r="I997" s="1">
        <v>0</v>
      </c>
      <c r="J997" s="3" t="s">
        <v>19</v>
      </c>
      <c r="K997" s="2" t="str">
        <f>J997*10951.00</f>
        <v>0</v>
      </c>
      <c r="L997" s="5"/>
    </row>
    <row r="998" spans="1:12" outlineLevel="5">
      <c r="A998" s="1"/>
      <c r="B998" s="1">
        <v>958277</v>
      </c>
      <c r="C998" s="1" t="s">
        <v>3093</v>
      </c>
      <c r="D998" s="1">
        <v>67290</v>
      </c>
      <c r="E998" s="2" t="s">
        <v>3094</v>
      </c>
      <c r="F998" s="2" t="s">
        <v>3095</v>
      </c>
      <c r="G998" s="2">
        <v>0</v>
      </c>
      <c r="H998" s="2">
        <v>0</v>
      </c>
      <c r="I998" s="1">
        <v>0</v>
      </c>
      <c r="J998" s="3" t="s">
        <v>19</v>
      </c>
      <c r="K998" s="2" t="str">
        <f>J998*11538.00</f>
        <v>0</v>
      </c>
      <c r="L998" s="5"/>
    </row>
    <row r="999" spans="1:12" outlineLevel="5">
      <c r="A999" s="1"/>
      <c r="B999" s="1">
        <v>958278</v>
      </c>
      <c r="C999" s="1" t="s">
        <v>3096</v>
      </c>
      <c r="D999" s="1">
        <v>92596</v>
      </c>
      <c r="E999" s="2" t="s">
        <v>3097</v>
      </c>
      <c r="F999" s="2" t="s">
        <v>3098</v>
      </c>
      <c r="G999" s="2">
        <v>0</v>
      </c>
      <c r="H999" s="2">
        <v>0</v>
      </c>
      <c r="I999" s="1">
        <v>0</v>
      </c>
      <c r="J999" s="3" t="s">
        <v>19</v>
      </c>
      <c r="K999" s="2" t="str">
        <f>J999*18552.00</f>
        <v>0</v>
      </c>
      <c r="L999" s="5"/>
    </row>
    <row r="1000" spans="1:12" outlineLevel="5">
      <c r="A1000" s="1"/>
      <c r="B1000" s="1">
        <v>958279</v>
      </c>
      <c r="C1000" s="1" t="s">
        <v>3099</v>
      </c>
      <c r="D1000" s="1">
        <v>93893</v>
      </c>
      <c r="E1000" s="2" t="s">
        <v>3100</v>
      </c>
      <c r="F1000" s="2" t="s">
        <v>2933</v>
      </c>
      <c r="G1000" s="2">
        <v>0</v>
      </c>
      <c r="H1000" s="2">
        <v>0</v>
      </c>
      <c r="I1000" s="1">
        <v>0</v>
      </c>
      <c r="J1000" s="3" t="s">
        <v>19</v>
      </c>
      <c r="K1000" s="2" t="str">
        <f>J1000*19934.00</f>
        <v>0</v>
      </c>
      <c r="L1000" s="5"/>
    </row>
    <row r="1001" spans="1:12" outlineLevel="1">
      <c r="A1001" s="7" t="s">
        <v>3101</v>
      </c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5"/>
    </row>
    <row r="1002" spans="1:12" outlineLevel="2">
      <c r="A1002" s="8" t="s">
        <v>3102</v>
      </c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5"/>
    </row>
    <row r="1003" spans="1:12" customHeight="1" ht="105" outlineLevel="4">
      <c r="A1003" s="1"/>
      <c r="B1003" s="1">
        <v>825012</v>
      </c>
      <c r="C1003" s="1" t="s">
        <v>3103</v>
      </c>
      <c r="D1003" s="1" t="s">
        <v>3104</v>
      </c>
      <c r="E1003" s="2" t="s">
        <v>3105</v>
      </c>
      <c r="F1003" s="2" t="s">
        <v>3106</v>
      </c>
      <c r="G1003" s="2">
        <v>3</v>
      </c>
      <c r="H1003" s="2">
        <v>0</v>
      </c>
      <c r="I1003" s="1">
        <v>0</v>
      </c>
      <c r="J1003" s="3" t="s">
        <v>19</v>
      </c>
      <c r="K1003" s="2" t="str">
        <f>J1003*3888.15</f>
        <v>0</v>
      </c>
      <c r="L1003" s="5"/>
    </row>
    <row r="1004" spans="1:12" customHeight="1" ht="105" outlineLevel="4">
      <c r="A1004" s="1"/>
      <c r="B1004" s="1">
        <v>825013</v>
      </c>
      <c r="C1004" s="1" t="s">
        <v>3107</v>
      </c>
      <c r="D1004" s="1" t="s">
        <v>3108</v>
      </c>
      <c r="E1004" s="2" t="s">
        <v>3109</v>
      </c>
      <c r="F1004" s="2" t="s">
        <v>3110</v>
      </c>
      <c r="G1004" s="2">
        <v>1</v>
      </c>
      <c r="H1004" s="2">
        <v>0</v>
      </c>
      <c r="I1004" s="1">
        <v>0</v>
      </c>
      <c r="J1004" s="3" t="s">
        <v>19</v>
      </c>
      <c r="K1004" s="2" t="str">
        <f>J1004*4983.30</f>
        <v>0</v>
      </c>
      <c r="L1004" s="5"/>
    </row>
    <row r="1005" spans="1:12" customHeight="1" ht="105" outlineLevel="4">
      <c r="A1005" s="1"/>
      <c r="B1005" s="1">
        <v>825014</v>
      </c>
      <c r="C1005" s="1" t="s">
        <v>3111</v>
      </c>
      <c r="D1005" s="1" t="s">
        <v>3112</v>
      </c>
      <c r="E1005" s="2" t="s">
        <v>3113</v>
      </c>
      <c r="F1005" s="2" t="s">
        <v>3114</v>
      </c>
      <c r="G1005" s="2">
        <v>2</v>
      </c>
      <c r="H1005" s="2">
        <v>0</v>
      </c>
      <c r="I1005" s="1">
        <v>0</v>
      </c>
      <c r="J1005" s="3" t="s">
        <v>19</v>
      </c>
      <c r="K1005" s="2" t="str">
        <f>J1005*4527.60</f>
        <v>0</v>
      </c>
      <c r="L1005" s="5"/>
    </row>
    <row r="1006" spans="1:12" customHeight="1" ht="105" outlineLevel="4">
      <c r="A1006" s="1"/>
      <c r="B1006" s="1">
        <v>825015</v>
      </c>
      <c r="C1006" s="1" t="s">
        <v>3115</v>
      </c>
      <c r="D1006" s="1" t="s">
        <v>3116</v>
      </c>
      <c r="E1006" s="2" t="s">
        <v>3117</v>
      </c>
      <c r="F1006" s="2" t="s">
        <v>3118</v>
      </c>
      <c r="G1006" s="2">
        <v>0</v>
      </c>
      <c r="H1006" s="2">
        <v>0</v>
      </c>
      <c r="I1006" s="1">
        <v>0</v>
      </c>
      <c r="J1006" s="3" t="s">
        <v>19</v>
      </c>
      <c r="K1006" s="2" t="str">
        <f>J1006*4017.51</f>
        <v>0</v>
      </c>
      <c r="L1006" s="5"/>
    </row>
    <row r="1007" spans="1:12" outlineLevel="2">
      <c r="A1007" s="8" t="s">
        <v>3119</v>
      </c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5"/>
    </row>
    <row r="1008" spans="1:12" customHeight="1" ht="105" outlineLevel="4">
      <c r="A1008" s="1"/>
      <c r="B1008" s="1">
        <v>835195</v>
      </c>
      <c r="C1008" s="1" t="s">
        <v>3120</v>
      </c>
      <c r="D1008" s="1" t="s">
        <v>3121</v>
      </c>
      <c r="E1008" s="2" t="s">
        <v>3122</v>
      </c>
      <c r="F1008" s="2" t="s">
        <v>523</v>
      </c>
      <c r="G1008" s="2">
        <v>0</v>
      </c>
      <c r="H1008" s="2">
        <v>0</v>
      </c>
      <c r="I1008" s="1">
        <v>0</v>
      </c>
      <c r="J1008" s="3" t="s">
        <v>19</v>
      </c>
      <c r="K1008" s="2" t="str">
        <f>J1008*0.00</f>
        <v>0</v>
      </c>
      <c r="L1008" s="5"/>
    </row>
    <row r="1009" spans="1:12" customHeight="1" ht="105" outlineLevel="4">
      <c r="A1009" s="1"/>
      <c r="B1009" s="1">
        <v>837275</v>
      </c>
      <c r="C1009" s="1" t="s">
        <v>3123</v>
      </c>
      <c r="D1009" s="1" t="s">
        <v>3124</v>
      </c>
      <c r="E1009" s="2" t="s">
        <v>3125</v>
      </c>
      <c r="F1009" s="2" t="s">
        <v>3126</v>
      </c>
      <c r="G1009" s="2">
        <v>5</v>
      </c>
      <c r="H1009" s="2">
        <v>0</v>
      </c>
      <c r="I1009" s="1">
        <v>0</v>
      </c>
      <c r="J1009" s="3" t="s">
        <v>19</v>
      </c>
      <c r="K1009" s="2" t="str">
        <f>J1009*4095.66</f>
        <v>0</v>
      </c>
      <c r="L1009" s="5"/>
    </row>
    <row r="1010" spans="1:12" customHeight="1" ht="105" outlineLevel="4">
      <c r="A1010" s="1"/>
      <c r="B1010" s="1">
        <v>837278</v>
      </c>
      <c r="C1010" s="1" t="s">
        <v>3127</v>
      </c>
      <c r="D1010" s="1" t="s">
        <v>3128</v>
      </c>
      <c r="E1010" s="2" t="s">
        <v>3129</v>
      </c>
      <c r="F1010" s="2" t="s">
        <v>3130</v>
      </c>
      <c r="G1010" s="2">
        <v>7</v>
      </c>
      <c r="H1010" s="2">
        <v>0</v>
      </c>
      <c r="I1010" s="1">
        <v>0</v>
      </c>
      <c r="J1010" s="3" t="s">
        <v>19</v>
      </c>
      <c r="K1010" s="2" t="str">
        <f>J1010*4235.95</f>
        <v>0</v>
      </c>
      <c r="L1010" s="5"/>
    </row>
    <row r="1011" spans="1:12" customHeight="1" ht="105" outlineLevel="4">
      <c r="A1011" s="1"/>
      <c r="B1011" s="1">
        <v>837279</v>
      </c>
      <c r="C1011" s="1" t="s">
        <v>3131</v>
      </c>
      <c r="D1011" s="1" t="s">
        <v>3132</v>
      </c>
      <c r="E1011" s="2" t="s">
        <v>3133</v>
      </c>
      <c r="F1011" s="2" t="s">
        <v>3134</v>
      </c>
      <c r="G1011" s="2">
        <v>2</v>
      </c>
      <c r="H1011" s="2">
        <v>0</v>
      </c>
      <c r="I1011" s="1">
        <v>0</v>
      </c>
      <c r="J1011" s="3" t="s">
        <v>19</v>
      </c>
      <c r="K1011" s="2" t="str">
        <f>J1011*5838.32</f>
        <v>0</v>
      </c>
      <c r="L1011" s="5"/>
    </row>
    <row r="1012" spans="1:12" customHeight="1" ht="105" outlineLevel="4">
      <c r="A1012" s="1"/>
      <c r="B1012" s="1">
        <v>873440</v>
      </c>
      <c r="C1012" s="1" t="s">
        <v>3135</v>
      </c>
      <c r="D1012" s="1" t="s">
        <v>3136</v>
      </c>
      <c r="E1012" s="2" t="s">
        <v>3137</v>
      </c>
      <c r="F1012" s="2" t="s">
        <v>3138</v>
      </c>
      <c r="G1012" s="2">
        <v>4</v>
      </c>
      <c r="H1012" s="2">
        <v>0</v>
      </c>
      <c r="I1012" s="1">
        <v>0</v>
      </c>
      <c r="J1012" s="3" t="s">
        <v>19</v>
      </c>
      <c r="K1012" s="2" t="str">
        <f>J1012*5225.26</f>
        <v>0</v>
      </c>
      <c r="L1012" s="5"/>
    </row>
    <row r="1013" spans="1:12" customHeight="1" ht="105" outlineLevel="4">
      <c r="A1013" s="1"/>
      <c r="B1013" s="1">
        <v>956633</v>
      </c>
      <c r="C1013" s="1" t="s">
        <v>3139</v>
      </c>
      <c r="D1013" s="1" t="s">
        <v>3140</v>
      </c>
      <c r="E1013" s="2" t="s">
        <v>3141</v>
      </c>
      <c r="F1013" s="2" t="s">
        <v>3142</v>
      </c>
      <c r="G1013" s="2">
        <v>2</v>
      </c>
      <c r="H1013" s="2">
        <v>0</v>
      </c>
      <c r="I1013" s="1">
        <v>0</v>
      </c>
      <c r="J1013" s="3" t="s">
        <v>19</v>
      </c>
      <c r="K1013" s="2" t="str">
        <f>J1013*4639.09</f>
        <v>0</v>
      </c>
      <c r="L1013" s="5"/>
    </row>
    <row r="1014" spans="1:12" customHeight="1" ht="105" outlineLevel="4">
      <c r="A1014" s="1"/>
      <c r="B1014" s="1">
        <v>956634</v>
      </c>
      <c r="C1014" s="1" t="s">
        <v>3143</v>
      </c>
      <c r="D1014" s="1" t="s">
        <v>3144</v>
      </c>
      <c r="E1014" s="2" t="s">
        <v>3145</v>
      </c>
      <c r="F1014" s="2" t="s">
        <v>3146</v>
      </c>
      <c r="G1014" s="2" t="s">
        <v>23</v>
      </c>
      <c r="H1014" s="2">
        <v>0</v>
      </c>
      <c r="I1014" s="1">
        <v>0</v>
      </c>
      <c r="J1014" s="3" t="s">
        <v>19</v>
      </c>
      <c r="K1014" s="2" t="str">
        <f>J1014*6476.89</f>
        <v>0</v>
      </c>
      <c r="L1014" s="5"/>
    </row>
    <row r="1015" spans="1:12" outlineLevel="2">
      <c r="A1015" s="8" t="s">
        <v>3147</v>
      </c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5"/>
    </row>
    <row r="1016" spans="1:12" outlineLevel="4">
      <c r="A1016" s="1"/>
      <c r="B1016" s="1">
        <v>958685</v>
      </c>
      <c r="C1016" s="1" t="s">
        <v>3148</v>
      </c>
      <c r="D1016" s="1">
        <v>21106</v>
      </c>
      <c r="E1016" s="2" t="s">
        <v>3149</v>
      </c>
      <c r="F1016" s="2" t="s">
        <v>3150</v>
      </c>
      <c r="G1016" s="2">
        <v>0</v>
      </c>
      <c r="H1016" s="2">
        <v>0</v>
      </c>
      <c r="I1016" s="1">
        <v>0</v>
      </c>
      <c r="J1016" s="3" t="s">
        <v>19</v>
      </c>
      <c r="K1016" s="2" t="str">
        <f>J1016*4862.00</f>
        <v>0</v>
      </c>
      <c r="L1016" s="5"/>
    </row>
    <row r="1017" spans="1:12" outlineLevel="4">
      <c r="A1017" s="1"/>
      <c r="B1017" s="1">
        <v>958686</v>
      </c>
      <c r="C1017" s="1" t="s">
        <v>3151</v>
      </c>
      <c r="D1017" s="1">
        <v>34815</v>
      </c>
      <c r="E1017" s="2" t="s">
        <v>3152</v>
      </c>
      <c r="F1017" s="2" t="s">
        <v>3153</v>
      </c>
      <c r="G1017" s="2">
        <v>0</v>
      </c>
      <c r="H1017" s="2">
        <v>0</v>
      </c>
      <c r="I1017" s="1">
        <v>0</v>
      </c>
      <c r="J1017" s="3" t="s">
        <v>19</v>
      </c>
      <c r="K1017" s="2" t="str">
        <f>J1017*5961.00</f>
        <v>0</v>
      </c>
      <c r="L1017" s="5"/>
    </row>
    <row r="1018" spans="1:12" outlineLevel="4">
      <c r="A1018" s="1"/>
      <c r="B1018" s="1">
        <v>958687</v>
      </c>
      <c r="C1018" s="1" t="s">
        <v>3154</v>
      </c>
      <c r="D1018" s="1">
        <v>82352</v>
      </c>
      <c r="E1018" s="2" t="s">
        <v>3155</v>
      </c>
      <c r="F1018" s="2" t="s">
        <v>3156</v>
      </c>
      <c r="G1018" s="2">
        <v>0</v>
      </c>
      <c r="H1018" s="2">
        <v>0</v>
      </c>
      <c r="I1018" s="1">
        <v>0</v>
      </c>
      <c r="J1018" s="3" t="s">
        <v>19</v>
      </c>
      <c r="K1018" s="2" t="str">
        <f>J1018*8971.00</f>
        <v>0</v>
      </c>
      <c r="L1018" s="5"/>
    </row>
    <row r="1019" spans="1:12" outlineLevel="4">
      <c r="A1019" s="1"/>
      <c r="B1019" s="1">
        <v>958688</v>
      </c>
      <c r="C1019" s="1" t="s">
        <v>3157</v>
      </c>
      <c r="D1019" s="1">
        <v>75438</v>
      </c>
      <c r="E1019" s="2" t="s">
        <v>3158</v>
      </c>
      <c r="F1019" s="2" t="s">
        <v>3159</v>
      </c>
      <c r="G1019" s="2">
        <v>0</v>
      </c>
      <c r="H1019" s="2">
        <v>0</v>
      </c>
      <c r="I1019" s="1">
        <v>0</v>
      </c>
      <c r="J1019" s="3" t="s">
        <v>19</v>
      </c>
      <c r="K1019" s="2" t="str">
        <f>J1019*12038.00</f>
        <v>0</v>
      </c>
      <c r="L1019" s="5"/>
    </row>
    <row r="1020" spans="1:12" outlineLevel="4">
      <c r="A1020" s="1"/>
      <c r="B1020" s="1">
        <v>958689</v>
      </c>
      <c r="C1020" s="1" t="s">
        <v>3160</v>
      </c>
      <c r="D1020" s="1">
        <v>44898</v>
      </c>
      <c r="E1020" s="2" t="s">
        <v>3161</v>
      </c>
      <c r="F1020" s="2" t="s">
        <v>3162</v>
      </c>
      <c r="G1020" s="2">
        <v>0</v>
      </c>
      <c r="H1020" s="2">
        <v>0</v>
      </c>
      <c r="I1020" s="1">
        <v>0</v>
      </c>
      <c r="J1020" s="3" t="s">
        <v>19</v>
      </c>
      <c r="K1020" s="2" t="str">
        <f>J1020*7582.00</f>
        <v>0</v>
      </c>
      <c r="L1020" s="5"/>
    </row>
    <row r="1021" spans="1:12" outlineLevel="1">
      <c r="A1021" s="7" t="s">
        <v>3163</v>
      </c>
      <c r="B1021" s="7"/>
      <c r="C1021" s="7"/>
      <c r="D1021" s="7"/>
      <c r="E1021" s="7"/>
      <c r="F1021" s="7"/>
      <c r="G1021" s="7"/>
      <c r="H1021" s="7"/>
      <c r="I1021" s="7"/>
      <c r="J1021" s="7"/>
      <c r="K1021" s="7"/>
      <c r="L1021" s="5"/>
    </row>
    <row r="1022" spans="1:12" outlineLevel="2">
      <c r="A1022" s="8" t="s">
        <v>3164</v>
      </c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5"/>
    </row>
    <row r="1023" spans="1:12" customHeight="1" ht="105" outlineLevel="4">
      <c r="A1023" s="1"/>
      <c r="B1023" s="1">
        <v>855792</v>
      </c>
      <c r="C1023" s="1" t="s">
        <v>3165</v>
      </c>
      <c r="D1023" s="1" t="s">
        <v>3166</v>
      </c>
      <c r="E1023" s="2" t="s">
        <v>3167</v>
      </c>
      <c r="F1023" s="2" t="s">
        <v>3168</v>
      </c>
      <c r="G1023" s="2">
        <v>0</v>
      </c>
      <c r="H1023" s="2">
        <v>0</v>
      </c>
      <c r="I1023" s="1">
        <v>0</v>
      </c>
      <c r="J1023" s="3" t="s">
        <v>19</v>
      </c>
      <c r="K1023" s="2" t="str">
        <f>J1023*11745.30</f>
        <v>0</v>
      </c>
      <c r="L1023" s="5"/>
    </row>
    <row r="1024" spans="1:12" customHeight="1" ht="105" outlineLevel="4">
      <c r="A1024" s="1"/>
      <c r="B1024" s="1">
        <v>855795</v>
      </c>
      <c r="C1024" s="1" t="s">
        <v>3169</v>
      </c>
      <c r="D1024" s="1" t="s">
        <v>3170</v>
      </c>
      <c r="E1024" s="2" t="s">
        <v>3171</v>
      </c>
      <c r="F1024" s="2" t="s">
        <v>3172</v>
      </c>
      <c r="G1024" s="2">
        <v>0</v>
      </c>
      <c r="H1024" s="2">
        <v>0</v>
      </c>
      <c r="I1024" s="1">
        <v>0</v>
      </c>
      <c r="J1024" s="3" t="s">
        <v>19</v>
      </c>
      <c r="K1024" s="2" t="str">
        <f>J1024*15771.63</f>
        <v>0</v>
      </c>
      <c r="L1024" s="5"/>
    </row>
    <row r="1025" spans="1:12" customHeight="1" ht="105" outlineLevel="4">
      <c r="A1025" s="1"/>
      <c r="B1025" s="1">
        <v>878045</v>
      </c>
      <c r="C1025" s="1" t="s">
        <v>3173</v>
      </c>
      <c r="D1025" s="1" t="s">
        <v>3174</v>
      </c>
      <c r="E1025" s="2" t="s">
        <v>3175</v>
      </c>
      <c r="F1025" s="2" t="s">
        <v>3176</v>
      </c>
      <c r="G1025" s="2">
        <v>3</v>
      </c>
      <c r="H1025" s="2">
        <v>0</v>
      </c>
      <c r="I1025" s="1">
        <v>0</v>
      </c>
      <c r="J1025" s="3" t="s">
        <v>19</v>
      </c>
      <c r="K1025" s="2" t="str">
        <f>J1025*14683.83</f>
        <v>0</v>
      </c>
      <c r="L1025" s="5"/>
    </row>
    <row r="1026" spans="1:12" customHeight="1" ht="105" outlineLevel="4">
      <c r="A1026" s="1"/>
      <c r="B1026" s="1">
        <v>878046</v>
      </c>
      <c r="C1026" s="1" t="s">
        <v>3177</v>
      </c>
      <c r="D1026" s="1" t="s">
        <v>3178</v>
      </c>
      <c r="E1026" s="2" t="s">
        <v>3179</v>
      </c>
      <c r="F1026" s="2" t="s">
        <v>3180</v>
      </c>
      <c r="G1026" s="2">
        <v>0</v>
      </c>
      <c r="H1026" s="2">
        <v>0</v>
      </c>
      <c r="I1026" s="1">
        <v>0</v>
      </c>
      <c r="J1026" s="3" t="s">
        <v>19</v>
      </c>
      <c r="K1026" s="2" t="str">
        <f>J1026*16885.89</f>
        <v>0</v>
      </c>
      <c r="L1026" s="5"/>
    </row>
    <row r="1027" spans="1:12" customHeight="1" ht="105" outlineLevel="4">
      <c r="A1027" s="1"/>
      <c r="B1027" s="1">
        <v>878142</v>
      </c>
      <c r="C1027" s="1" t="s">
        <v>3181</v>
      </c>
      <c r="D1027" s="1" t="s">
        <v>3182</v>
      </c>
      <c r="E1027" s="2" t="s">
        <v>3175</v>
      </c>
      <c r="F1027" s="2" t="s">
        <v>3183</v>
      </c>
      <c r="G1027" s="2">
        <v>1</v>
      </c>
      <c r="H1027" s="2">
        <v>0</v>
      </c>
      <c r="I1027" s="1">
        <v>0</v>
      </c>
      <c r="J1027" s="3" t="s">
        <v>19</v>
      </c>
      <c r="K1027" s="2" t="str">
        <f>J1027*14491.26</f>
        <v>0</v>
      </c>
      <c r="L1027" s="5"/>
    </row>
    <row r="1028" spans="1:12" customHeight="1" ht="105" outlineLevel="4">
      <c r="A1028" s="1"/>
      <c r="B1028" s="1">
        <v>884702</v>
      </c>
      <c r="C1028" s="1" t="s">
        <v>3184</v>
      </c>
      <c r="D1028" s="1" t="s">
        <v>3185</v>
      </c>
      <c r="E1028" s="2" t="s">
        <v>3186</v>
      </c>
      <c r="F1028" s="2" t="s">
        <v>3187</v>
      </c>
      <c r="G1028" s="2">
        <v>1</v>
      </c>
      <c r="H1028" s="2">
        <v>0</v>
      </c>
      <c r="I1028" s="1">
        <v>0</v>
      </c>
      <c r="J1028" s="3" t="s">
        <v>19</v>
      </c>
      <c r="K1028" s="2" t="str">
        <f>J1028*22094.10</f>
        <v>0</v>
      </c>
      <c r="L1028" s="5"/>
    </row>
    <row r="1029" spans="1:12" customHeight="1" ht="105" outlineLevel="4">
      <c r="A1029" s="1"/>
      <c r="B1029" s="1">
        <v>884703</v>
      </c>
      <c r="C1029" s="1" t="s">
        <v>3188</v>
      </c>
      <c r="D1029" s="1" t="s">
        <v>3189</v>
      </c>
      <c r="E1029" s="2" t="s">
        <v>3190</v>
      </c>
      <c r="F1029" s="2" t="s">
        <v>3191</v>
      </c>
      <c r="G1029" s="2">
        <v>1</v>
      </c>
      <c r="H1029" s="2">
        <v>0</v>
      </c>
      <c r="I1029" s="1">
        <v>0</v>
      </c>
      <c r="J1029" s="3" t="s">
        <v>19</v>
      </c>
      <c r="K1029" s="2" t="str">
        <f>J1029*15611.40</f>
        <v>0</v>
      </c>
      <c r="L1029" s="5"/>
    </row>
    <row r="1030" spans="1:12" outlineLevel="2">
      <c r="A1030" s="8" t="s">
        <v>3192</v>
      </c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5"/>
    </row>
    <row r="1031" spans="1:12" customHeight="1" ht="105" outlineLevel="4">
      <c r="A1031" s="1"/>
      <c r="B1031" s="1">
        <v>888635</v>
      </c>
      <c r="C1031" s="1" t="s">
        <v>3193</v>
      </c>
      <c r="D1031" s="1" t="s">
        <v>3194</v>
      </c>
      <c r="E1031" s="2" t="s">
        <v>3195</v>
      </c>
      <c r="F1031" s="2" t="s">
        <v>3196</v>
      </c>
      <c r="G1031" s="2">
        <v>1</v>
      </c>
      <c r="H1031" s="2">
        <v>0</v>
      </c>
      <c r="I1031" s="1">
        <v>0</v>
      </c>
      <c r="J1031" s="3" t="s">
        <v>19</v>
      </c>
      <c r="K1031" s="2" t="str">
        <f>J1031*9697.38</f>
        <v>0</v>
      </c>
      <c r="L1031" s="5"/>
    </row>
    <row r="1032" spans="1:12" customHeight="1" ht="105" outlineLevel="4">
      <c r="A1032" s="1"/>
      <c r="B1032" s="1">
        <v>888636</v>
      </c>
      <c r="C1032" s="1" t="s">
        <v>3197</v>
      </c>
      <c r="D1032" s="1" t="s">
        <v>3198</v>
      </c>
      <c r="E1032" s="2" t="s">
        <v>3199</v>
      </c>
      <c r="F1032" s="2" t="s">
        <v>3200</v>
      </c>
      <c r="G1032" s="2">
        <v>1</v>
      </c>
      <c r="H1032" s="2">
        <v>0</v>
      </c>
      <c r="I1032" s="1">
        <v>0</v>
      </c>
      <c r="J1032" s="3" t="s">
        <v>19</v>
      </c>
      <c r="K1032" s="2" t="str">
        <f>J1032*13946.93</f>
        <v>0</v>
      </c>
      <c r="L1032" s="5"/>
    </row>
    <row r="1033" spans="1:12" customHeight="1" ht="105" outlineLevel="4">
      <c r="A1033" s="1"/>
      <c r="B1033" s="1">
        <v>888637</v>
      </c>
      <c r="C1033" s="1" t="s">
        <v>3201</v>
      </c>
      <c r="D1033" s="1" t="s">
        <v>3202</v>
      </c>
      <c r="E1033" s="2" t="s">
        <v>3203</v>
      </c>
      <c r="F1033" s="2" t="s">
        <v>3204</v>
      </c>
      <c r="G1033" s="2">
        <v>2</v>
      </c>
      <c r="H1033" s="2">
        <v>0</v>
      </c>
      <c r="I1033" s="1">
        <v>0</v>
      </c>
      <c r="J1033" s="3" t="s">
        <v>19</v>
      </c>
      <c r="K1033" s="2" t="str">
        <f>J1033*16235.07</f>
        <v>0</v>
      </c>
      <c r="L1033" s="5"/>
    </row>
    <row r="1034" spans="1:12" outlineLevel="2">
      <c r="A1034" s="8" t="s">
        <v>3205</v>
      </c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5"/>
    </row>
    <row r="1035" spans="1:12" customHeight="1" ht="105" outlineLevel="4">
      <c r="A1035" s="1"/>
      <c r="B1035" s="1">
        <v>956570</v>
      </c>
      <c r="C1035" s="1" t="s">
        <v>3206</v>
      </c>
      <c r="D1035" s="1" t="s">
        <v>3207</v>
      </c>
      <c r="E1035" s="2" t="s">
        <v>3208</v>
      </c>
      <c r="F1035" s="2" t="s">
        <v>3209</v>
      </c>
      <c r="G1035" s="2">
        <v>1</v>
      </c>
      <c r="H1035" s="2">
        <v>0</v>
      </c>
      <c r="I1035" s="1">
        <v>0</v>
      </c>
      <c r="J1035" s="3" t="s">
        <v>19</v>
      </c>
      <c r="K1035" s="2" t="str">
        <f>J1035*11116.57</f>
        <v>0</v>
      </c>
      <c r="L1035" s="5"/>
    </row>
    <row r="1036" spans="1:12" customHeight="1" ht="105" outlineLevel="4">
      <c r="A1036" s="1"/>
      <c r="B1036" s="1">
        <v>956571</v>
      </c>
      <c r="C1036" s="1" t="s">
        <v>3210</v>
      </c>
      <c r="D1036" s="1" t="s">
        <v>3211</v>
      </c>
      <c r="E1036" s="2" t="s">
        <v>3212</v>
      </c>
      <c r="F1036" s="2" t="s">
        <v>3213</v>
      </c>
      <c r="G1036" s="2">
        <v>1</v>
      </c>
      <c r="H1036" s="2">
        <v>0</v>
      </c>
      <c r="I1036" s="1">
        <v>0</v>
      </c>
      <c r="J1036" s="3" t="s">
        <v>19</v>
      </c>
      <c r="K1036" s="2" t="str">
        <f>J1036*13271.06</f>
        <v>0</v>
      </c>
      <c r="L1036" s="5"/>
    </row>
    <row r="1037" spans="1:12" customHeight="1" ht="105" outlineLevel="4">
      <c r="A1037" s="1"/>
      <c r="B1037" s="1">
        <v>956572</v>
      </c>
      <c r="C1037" s="1" t="s">
        <v>3214</v>
      </c>
      <c r="D1037" s="1" t="s">
        <v>3215</v>
      </c>
      <c r="E1037" s="2" t="s">
        <v>3216</v>
      </c>
      <c r="F1037" s="2" t="s">
        <v>3217</v>
      </c>
      <c r="G1037" s="2">
        <v>1</v>
      </c>
      <c r="H1037" s="2">
        <v>0</v>
      </c>
      <c r="I1037" s="1">
        <v>0</v>
      </c>
      <c r="J1037" s="3" t="s">
        <v>19</v>
      </c>
      <c r="K1037" s="2" t="str">
        <f>J1037*15135.29</f>
        <v>0</v>
      </c>
      <c r="L1037" s="5"/>
    </row>
    <row r="1038" spans="1:12" outlineLevel="2">
      <c r="A1038" s="8" t="s">
        <v>3218</v>
      </c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5"/>
    </row>
    <row r="1039" spans="1:12" outlineLevel="3">
      <c r="A1039" s="9" t="s">
        <v>3219</v>
      </c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5"/>
    </row>
    <row r="1040" spans="1:12" outlineLevel="5">
      <c r="A1040" s="1"/>
      <c r="B1040" s="1">
        <v>958832</v>
      </c>
      <c r="C1040" s="1" t="s">
        <v>3220</v>
      </c>
      <c r="D1040" s="1">
        <v>66572</v>
      </c>
      <c r="E1040" s="2" t="s">
        <v>3221</v>
      </c>
      <c r="F1040" s="2" t="s">
        <v>3222</v>
      </c>
      <c r="G1040" s="2">
        <v>0</v>
      </c>
      <c r="H1040" s="2">
        <v>0</v>
      </c>
      <c r="I1040" s="1">
        <v>0</v>
      </c>
      <c r="J1040" s="3" t="s">
        <v>19</v>
      </c>
      <c r="K1040" s="2" t="str">
        <f>J1040*14153.00</f>
        <v>0</v>
      </c>
      <c r="L1040" s="5"/>
    </row>
    <row r="1041" spans="1:12" outlineLevel="5">
      <c r="A1041" s="1"/>
      <c r="B1041" s="1">
        <v>958833</v>
      </c>
      <c r="C1041" s="1" t="s">
        <v>3223</v>
      </c>
      <c r="D1041" s="1">
        <v>60403</v>
      </c>
      <c r="E1041" s="2" t="s">
        <v>3224</v>
      </c>
      <c r="F1041" s="2" t="s">
        <v>3225</v>
      </c>
      <c r="G1041" s="2">
        <v>0</v>
      </c>
      <c r="H1041" s="2">
        <v>0</v>
      </c>
      <c r="I1041" s="1">
        <v>0</v>
      </c>
      <c r="J1041" s="3" t="s">
        <v>19</v>
      </c>
      <c r="K1041" s="2" t="str">
        <f>J1041*15725.00</f>
        <v>0</v>
      </c>
      <c r="L1041" s="5"/>
    </row>
    <row r="1042" spans="1:12" outlineLevel="5">
      <c r="A1042" s="1"/>
      <c r="B1042" s="1">
        <v>958834</v>
      </c>
      <c r="C1042" s="1" t="s">
        <v>3226</v>
      </c>
      <c r="D1042" s="1">
        <v>89569</v>
      </c>
      <c r="E1042" s="2" t="s">
        <v>3227</v>
      </c>
      <c r="F1042" s="2" t="s">
        <v>3228</v>
      </c>
      <c r="G1042" s="2">
        <v>0</v>
      </c>
      <c r="H1042" s="2">
        <v>0</v>
      </c>
      <c r="I1042" s="1">
        <v>0</v>
      </c>
      <c r="J1042" s="3" t="s">
        <v>19</v>
      </c>
      <c r="K1042" s="2" t="str">
        <f>J1042*22644.00</f>
        <v>0</v>
      </c>
      <c r="L1042" s="5"/>
    </row>
    <row r="1043" spans="1:12" outlineLevel="5">
      <c r="A1043" s="1"/>
      <c r="B1043" s="1">
        <v>958835</v>
      </c>
      <c r="C1043" s="1" t="s">
        <v>3229</v>
      </c>
      <c r="D1043" s="1">
        <v>62916</v>
      </c>
      <c r="E1043" s="2" t="s">
        <v>3230</v>
      </c>
      <c r="F1043" s="2" t="s">
        <v>3231</v>
      </c>
      <c r="G1043" s="2">
        <v>0</v>
      </c>
      <c r="H1043" s="2">
        <v>0</v>
      </c>
      <c r="I1043" s="1">
        <v>0</v>
      </c>
      <c r="J1043" s="3" t="s">
        <v>19</v>
      </c>
      <c r="K1043" s="2" t="str">
        <f>J1043*18084.00</f>
        <v>0</v>
      </c>
      <c r="L1043" s="5"/>
    </row>
    <row r="1044" spans="1:12" outlineLevel="5">
      <c r="A1044" s="1"/>
      <c r="B1044" s="1">
        <v>958836</v>
      </c>
      <c r="C1044" s="1" t="s">
        <v>3232</v>
      </c>
      <c r="D1044" s="1">
        <v>30924</v>
      </c>
      <c r="E1044" s="2" t="s">
        <v>3233</v>
      </c>
      <c r="F1044" s="2" t="s">
        <v>3234</v>
      </c>
      <c r="G1044" s="2">
        <v>0</v>
      </c>
      <c r="H1044" s="2">
        <v>0</v>
      </c>
      <c r="I1044" s="1">
        <v>0</v>
      </c>
      <c r="J1044" s="3" t="s">
        <v>19</v>
      </c>
      <c r="K1044" s="2" t="str">
        <f>J1044*17769.00</f>
        <v>0</v>
      </c>
      <c r="L1044" s="5"/>
    </row>
    <row r="1045" spans="1:12" outlineLevel="5">
      <c r="A1045" s="1"/>
      <c r="B1045" s="1">
        <v>958837</v>
      </c>
      <c r="C1045" s="1" t="s">
        <v>3235</v>
      </c>
      <c r="D1045" s="1">
        <v>55972</v>
      </c>
      <c r="E1045" s="2" t="s">
        <v>3236</v>
      </c>
      <c r="F1045" s="2" t="s">
        <v>3237</v>
      </c>
      <c r="G1045" s="2">
        <v>0</v>
      </c>
      <c r="H1045" s="2">
        <v>0</v>
      </c>
      <c r="I1045" s="1">
        <v>0</v>
      </c>
      <c r="J1045" s="3" t="s">
        <v>19</v>
      </c>
      <c r="K1045" s="2" t="str">
        <f>J1045*16511.00</f>
        <v>0</v>
      </c>
      <c r="L1045" s="5"/>
    </row>
    <row r="1046" spans="1:12" outlineLevel="3">
      <c r="A1046" s="9" t="s">
        <v>3238</v>
      </c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5"/>
    </row>
    <row r="1047" spans="1:12" outlineLevel="5">
      <c r="A1047" s="1"/>
      <c r="B1047" s="1">
        <v>958838</v>
      </c>
      <c r="C1047" s="1" t="s">
        <v>3239</v>
      </c>
      <c r="D1047" s="1">
        <v>12740</v>
      </c>
      <c r="E1047" s="2" t="s">
        <v>3240</v>
      </c>
      <c r="F1047" s="2" t="s">
        <v>3241</v>
      </c>
      <c r="G1047" s="2">
        <v>0</v>
      </c>
      <c r="H1047" s="2">
        <v>0</v>
      </c>
      <c r="I1047" s="1">
        <v>0</v>
      </c>
      <c r="J1047" s="3" t="s">
        <v>19</v>
      </c>
      <c r="K1047" s="2" t="str">
        <f>J1047*176726.00</f>
        <v>0</v>
      </c>
      <c r="L1047" s="5"/>
    </row>
    <row r="1048" spans="1:12" outlineLevel="5">
      <c r="A1048" s="1"/>
      <c r="B1048" s="1">
        <v>958839</v>
      </c>
      <c r="C1048" s="1" t="s">
        <v>3242</v>
      </c>
      <c r="D1048" s="1">
        <v>79512</v>
      </c>
      <c r="E1048" s="2" t="s">
        <v>3243</v>
      </c>
      <c r="F1048" s="2" t="s">
        <v>3244</v>
      </c>
      <c r="G1048" s="2">
        <v>0</v>
      </c>
      <c r="H1048" s="2">
        <v>0</v>
      </c>
      <c r="I1048" s="1">
        <v>0</v>
      </c>
      <c r="J1048" s="3" t="s">
        <v>19</v>
      </c>
      <c r="K1048" s="2" t="str">
        <f>J1048*196183.00</f>
        <v>0</v>
      </c>
      <c r="L1048" s="5"/>
    </row>
    <row r="1049" spans="1:12" outlineLevel="5">
      <c r="A1049" s="1"/>
      <c r="B1049" s="1">
        <v>958840</v>
      </c>
      <c r="C1049" s="1" t="s">
        <v>3245</v>
      </c>
      <c r="D1049" s="1">
        <v>33638</v>
      </c>
      <c r="E1049" s="2" t="s">
        <v>3246</v>
      </c>
      <c r="F1049" s="2" t="s">
        <v>3247</v>
      </c>
      <c r="G1049" s="2">
        <v>0</v>
      </c>
      <c r="H1049" s="2">
        <v>0</v>
      </c>
      <c r="I1049" s="1">
        <v>0</v>
      </c>
      <c r="J1049" s="3" t="s">
        <v>19</v>
      </c>
      <c r="K1049" s="2" t="str">
        <f>J1049*50901.00</f>
        <v>0</v>
      </c>
      <c r="L1049" s="5"/>
    </row>
    <row r="1050" spans="1:12" outlineLevel="5">
      <c r="A1050" s="1"/>
      <c r="B1050" s="1">
        <v>958841</v>
      </c>
      <c r="C1050" s="1" t="s">
        <v>3248</v>
      </c>
      <c r="D1050" s="1">
        <v>61040</v>
      </c>
      <c r="E1050" s="2" t="s">
        <v>3249</v>
      </c>
      <c r="F1050" s="2" t="s">
        <v>3250</v>
      </c>
      <c r="G1050" s="2">
        <v>0</v>
      </c>
      <c r="H1050" s="2">
        <v>0</v>
      </c>
      <c r="I1050" s="1">
        <v>0</v>
      </c>
      <c r="J1050" s="3" t="s">
        <v>19</v>
      </c>
      <c r="K1050" s="2" t="str">
        <f>J1050*72148.00</f>
        <v>0</v>
      </c>
      <c r="L1050" s="5"/>
    </row>
    <row r="1051" spans="1:12" outlineLevel="5">
      <c r="A1051" s="1"/>
      <c r="B1051" s="1">
        <v>958842</v>
      </c>
      <c r="C1051" s="1" t="s">
        <v>3251</v>
      </c>
      <c r="D1051" s="1">
        <v>15191</v>
      </c>
      <c r="E1051" s="2" t="s">
        <v>3252</v>
      </c>
      <c r="F1051" s="2" t="s">
        <v>3253</v>
      </c>
      <c r="G1051" s="2">
        <v>0</v>
      </c>
      <c r="H1051" s="2">
        <v>0</v>
      </c>
      <c r="I1051" s="1">
        <v>0</v>
      </c>
      <c r="J1051" s="3" t="s">
        <v>19</v>
      </c>
      <c r="K1051" s="2" t="str">
        <f>J1051*128888.00</f>
        <v>0</v>
      </c>
      <c r="L1051" s="5"/>
    </row>
    <row r="1052" spans="1:12" outlineLevel="5">
      <c r="A1052" s="1"/>
      <c r="B1052" s="1">
        <v>958843</v>
      </c>
      <c r="C1052" s="1" t="s">
        <v>3254</v>
      </c>
      <c r="D1052" s="1">
        <v>63264</v>
      </c>
      <c r="E1052" s="2" t="s">
        <v>3255</v>
      </c>
      <c r="F1052" s="2" t="s">
        <v>3256</v>
      </c>
      <c r="G1052" s="2">
        <v>0</v>
      </c>
      <c r="H1052" s="2">
        <v>0</v>
      </c>
      <c r="I1052" s="1">
        <v>0</v>
      </c>
      <c r="J1052" s="3" t="s">
        <v>19</v>
      </c>
      <c r="K1052" s="2" t="str">
        <f>J1052*216519.00</f>
        <v>0</v>
      </c>
      <c r="L1052" s="5"/>
    </row>
    <row r="1053" spans="1:12" outlineLevel="5">
      <c r="A1053" s="1"/>
      <c r="B1053" s="1">
        <v>958844</v>
      </c>
      <c r="C1053" s="1" t="s">
        <v>3257</v>
      </c>
      <c r="D1053" s="1">
        <v>41898</v>
      </c>
      <c r="E1053" s="2" t="s">
        <v>3258</v>
      </c>
      <c r="F1053" s="2" t="s">
        <v>3259</v>
      </c>
      <c r="G1053" s="2">
        <v>0</v>
      </c>
      <c r="H1053" s="2">
        <v>0</v>
      </c>
      <c r="I1053" s="1">
        <v>0</v>
      </c>
      <c r="J1053" s="3" t="s">
        <v>19</v>
      </c>
      <c r="K1053" s="2" t="str">
        <f>J1053*116903.00</f>
        <v>0</v>
      </c>
      <c r="L1053" s="5"/>
    </row>
    <row r="1054" spans="1:12" outlineLevel="5">
      <c r="A1054" s="1"/>
      <c r="B1054" s="1">
        <v>958845</v>
      </c>
      <c r="C1054" s="1" t="s">
        <v>3260</v>
      </c>
      <c r="D1054" s="1">
        <v>34044</v>
      </c>
      <c r="E1054" s="2" t="s">
        <v>3261</v>
      </c>
      <c r="F1054" s="2" t="s">
        <v>3262</v>
      </c>
      <c r="G1054" s="2">
        <v>0</v>
      </c>
      <c r="H1054" s="2">
        <v>0</v>
      </c>
      <c r="I1054" s="1">
        <v>0</v>
      </c>
      <c r="J1054" s="3" t="s">
        <v>19</v>
      </c>
      <c r="K1054" s="2" t="str">
        <f>J1054*83883.00</f>
        <v>0</v>
      </c>
      <c r="L1054" s="5"/>
    </row>
    <row r="1055" spans="1:12" outlineLevel="5">
      <c r="A1055" s="1"/>
      <c r="B1055" s="1">
        <v>958846</v>
      </c>
      <c r="C1055" s="1" t="s">
        <v>3263</v>
      </c>
      <c r="D1055" s="1">
        <v>63906</v>
      </c>
      <c r="E1055" s="2" t="s">
        <v>3264</v>
      </c>
      <c r="F1055" s="2" t="s">
        <v>3265</v>
      </c>
      <c r="G1055" s="2">
        <v>0</v>
      </c>
      <c r="H1055" s="2">
        <v>0</v>
      </c>
      <c r="I1055" s="1">
        <v>0</v>
      </c>
      <c r="J1055" s="3" t="s">
        <v>19</v>
      </c>
      <c r="K1055" s="2" t="str">
        <f>J1055*108883.00</f>
        <v>0</v>
      </c>
      <c r="L1055" s="5"/>
    </row>
    <row r="1056" spans="1:12" outlineLevel="5">
      <c r="A1056" s="1"/>
      <c r="B1056" s="1">
        <v>958847</v>
      </c>
      <c r="C1056" s="1" t="s">
        <v>3266</v>
      </c>
      <c r="D1056" s="1">
        <v>57522</v>
      </c>
      <c r="E1056" s="2" t="s">
        <v>3267</v>
      </c>
      <c r="F1056" s="2" t="s">
        <v>3268</v>
      </c>
      <c r="G1056" s="2">
        <v>0</v>
      </c>
      <c r="H1056" s="2">
        <v>0</v>
      </c>
      <c r="I1056" s="1">
        <v>0</v>
      </c>
      <c r="J1056" s="3" t="s">
        <v>19</v>
      </c>
      <c r="K1056" s="2" t="str">
        <f>J1056*76487.00</f>
        <v>0</v>
      </c>
      <c r="L1056" s="5"/>
    </row>
    <row r="1057" spans="1:12" outlineLevel="5">
      <c r="A1057" s="1"/>
      <c r="B1057" s="1">
        <v>958848</v>
      </c>
      <c r="C1057" s="1" t="s">
        <v>3269</v>
      </c>
      <c r="D1057" s="1">
        <v>77883</v>
      </c>
      <c r="E1057" s="2" t="s">
        <v>3270</v>
      </c>
      <c r="F1057" s="2" t="s">
        <v>3271</v>
      </c>
      <c r="G1057" s="2">
        <v>0</v>
      </c>
      <c r="H1057" s="2">
        <v>0</v>
      </c>
      <c r="I1057" s="1">
        <v>0</v>
      </c>
      <c r="J1057" s="3" t="s">
        <v>19</v>
      </c>
      <c r="K1057" s="2" t="str">
        <f>J1057*22938.00</f>
        <v>0</v>
      </c>
      <c r="L1057" s="5"/>
    </row>
    <row r="1058" spans="1:12" outlineLevel="5">
      <c r="A1058" s="1"/>
      <c r="B1058" s="1">
        <v>958849</v>
      </c>
      <c r="C1058" s="1" t="s">
        <v>3272</v>
      </c>
      <c r="D1058" s="1">
        <v>66301</v>
      </c>
      <c r="E1058" s="2" t="s">
        <v>3273</v>
      </c>
      <c r="F1058" s="2" t="s">
        <v>3274</v>
      </c>
      <c r="G1058" s="2">
        <v>0</v>
      </c>
      <c r="H1058" s="2">
        <v>0</v>
      </c>
      <c r="I1058" s="1">
        <v>0</v>
      </c>
      <c r="J1058" s="3" t="s">
        <v>19</v>
      </c>
      <c r="K1058" s="2" t="str">
        <f>J1058*30283.00</f>
        <v>0</v>
      </c>
      <c r="L1058" s="5"/>
    </row>
    <row r="1059" spans="1:12" outlineLevel="5">
      <c r="A1059" s="1"/>
      <c r="B1059" s="1">
        <v>958850</v>
      </c>
      <c r="C1059" s="1" t="s">
        <v>3275</v>
      </c>
      <c r="D1059" s="1">
        <v>47882</v>
      </c>
      <c r="E1059" s="2" t="s">
        <v>3276</v>
      </c>
      <c r="F1059" s="2" t="s">
        <v>3277</v>
      </c>
      <c r="G1059" s="2">
        <v>0</v>
      </c>
      <c r="H1059" s="2">
        <v>0</v>
      </c>
      <c r="I1059" s="1">
        <v>0</v>
      </c>
      <c r="J1059" s="3" t="s">
        <v>19</v>
      </c>
      <c r="K1059" s="2" t="str">
        <f>J1059*34512.00</f>
        <v>0</v>
      </c>
      <c r="L1059" s="5"/>
    </row>
    <row r="1060" spans="1:12" outlineLevel="5">
      <c r="A1060" s="1"/>
      <c r="B1060" s="1">
        <v>958851</v>
      </c>
      <c r="C1060" s="1" t="s">
        <v>3278</v>
      </c>
      <c r="D1060" s="1">
        <v>95147</v>
      </c>
      <c r="E1060" s="2" t="s">
        <v>3279</v>
      </c>
      <c r="F1060" s="2" t="s">
        <v>3280</v>
      </c>
      <c r="G1060" s="2">
        <v>0</v>
      </c>
      <c r="H1060" s="2">
        <v>0</v>
      </c>
      <c r="I1060" s="1">
        <v>0</v>
      </c>
      <c r="J1060" s="3" t="s">
        <v>19</v>
      </c>
      <c r="K1060" s="2" t="str">
        <f>J1060*46707.00</f>
        <v>0</v>
      </c>
      <c r="L1060" s="5"/>
    </row>
    <row r="1061" spans="1:12" outlineLevel="5">
      <c r="A1061" s="1"/>
      <c r="B1061" s="1">
        <v>958852</v>
      </c>
      <c r="C1061" s="1" t="s">
        <v>3281</v>
      </c>
      <c r="D1061" s="1">
        <v>61084</v>
      </c>
      <c r="E1061" s="2" t="s">
        <v>3282</v>
      </c>
      <c r="F1061" s="2" t="s">
        <v>3283</v>
      </c>
      <c r="G1061" s="2">
        <v>0</v>
      </c>
      <c r="H1061" s="2">
        <v>0</v>
      </c>
      <c r="I1061" s="1">
        <v>0</v>
      </c>
      <c r="J1061" s="3" t="s">
        <v>19</v>
      </c>
      <c r="K1061" s="2" t="str">
        <f>J1061*52310.00</f>
        <v>0</v>
      </c>
      <c r="L1061" s="5"/>
    </row>
    <row r="1062" spans="1:12" outlineLevel="5">
      <c r="A1062" s="1"/>
      <c r="B1062" s="1">
        <v>958853</v>
      </c>
      <c r="C1062" s="1" t="s">
        <v>3284</v>
      </c>
      <c r="D1062" s="1">
        <v>90981</v>
      </c>
      <c r="E1062" s="2" t="s">
        <v>3285</v>
      </c>
      <c r="F1062" s="2" t="s">
        <v>3286</v>
      </c>
      <c r="G1062" s="2">
        <v>0</v>
      </c>
      <c r="H1062" s="2">
        <v>0</v>
      </c>
      <c r="I1062" s="1">
        <v>0</v>
      </c>
      <c r="J1062" s="3" t="s">
        <v>19</v>
      </c>
      <c r="K1062" s="2" t="str">
        <f>J1062*69239.00</f>
        <v>0</v>
      </c>
      <c r="L1062" s="5"/>
    </row>
    <row r="1063" spans="1:12" outlineLevel="5">
      <c r="A1063" s="1"/>
      <c r="B1063" s="1">
        <v>958854</v>
      </c>
      <c r="C1063" s="1" t="s">
        <v>3287</v>
      </c>
      <c r="D1063" s="1">
        <v>56371</v>
      </c>
      <c r="E1063" s="2" t="s">
        <v>3288</v>
      </c>
      <c r="F1063" s="2" t="s">
        <v>3289</v>
      </c>
      <c r="G1063" s="2">
        <v>0</v>
      </c>
      <c r="H1063" s="2">
        <v>0</v>
      </c>
      <c r="I1063" s="1">
        <v>0</v>
      </c>
      <c r="J1063" s="3" t="s">
        <v>19</v>
      </c>
      <c r="K1063" s="2" t="str">
        <f>J1063*24905.00</f>
        <v>0</v>
      </c>
      <c r="L1063" s="5"/>
    </row>
    <row r="1064" spans="1:12" outlineLevel="5">
      <c r="A1064" s="1"/>
      <c r="B1064" s="1">
        <v>958855</v>
      </c>
      <c r="C1064" s="1" t="s">
        <v>3290</v>
      </c>
      <c r="D1064" s="1">
        <v>79562</v>
      </c>
      <c r="E1064" s="2" t="s">
        <v>3291</v>
      </c>
      <c r="F1064" s="2" t="s">
        <v>3292</v>
      </c>
      <c r="G1064" s="2">
        <v>0</v>
      </c>
      <c r="H1064" s="2">
        <v>0</v>
      </c>
      <c r="I1064" s="1">
        <v>0</v>
      </c>
      <c r="J1064" s="3" t="s">
        <v>19</v>
      </c>
      <c r="K1064" s="2" t="str">
        <f>J1064*26595.00</f>
        <v>0</v>
      </c>
      <c r="L1064" s="5"/>
    </row>
    <row r="1065" spans="1:12" outlineLevel="5">
      <c r="A1065" s="1"/>
      <c r="B1065" s="1">
        <v>958856</v>
      </c>
      <c r="C1065" s="1" t="s">
        <v>3293</v>
      </c>
      <c r="D1065" s="1">
        <v>25935</v>
      </c>
      <c r="E1065" s="2" t="s">
        <v>3294</v>
      </c>
      <c r="F1065" s="2" t="s">
        <v>3295</v>
      </c>
      <c r="G1065" s="2">
        <v>0</v>
      </c>
      <c r="H1065" s="2">
        <v>0</v>
      </c>
      <c r="I1065" s="1">
        <v>0</v>
      </c>
      <c r="J1065" s="3" t="s">
        <v>19</v>
      </c>
      <c r="K1065" s="2" t="str">
        <f>J1065*29919.00</f>
        <v>0</v>
      </c>
      <c r="L1065" s="5"/>
    </row>
    <row r="1066" spans="1:12" outlineLevel="5">
      <c r="A1066" s="1"/>
      <c r="B1066" s="1">
        <v>958857</v>
      </c>
      <c r="C1066" s="1" t="s">
        <v>3296</v>
      </c>
      <c r="D1066" s="1">
        <v>16617</v>
      </c>
      <c r="E1066" s="2" t="s">
        <v>3297</v>
      </c>
      <c r="F1066" s="2" t="s">
        <v>3298</v>
      </c>
      <c r="G1066" s="2">
        <v>0</v>
      </c>
      <c r="H1066" s="2">
        <v>0</v>
      </c>
      <c r="I1066" s="1">
        <v>0</v>
      </c>
      <c r="J1066" s="3" t="s">
        <v>19</v>
      </c>
      <c r="K1066" s="2" t="str">
        <f>J1066*35203.00</f>
        <v>0</v>
      </c>
      <c r="L1066" s="5"/>
    </row>
    <row r="1067" spans="1:12" outlineLevel="5">
      <c r="A1067" s="1"/>
      <c r="B1067" s="1">
        <v>958858</v>
      </c>
      <c r="C1067" s="1" t="s">
        <v>3299</v>
      </c>
      <c r="D1067" s="1">
        <v>49224</v>
      </c>
      <c r="E1067" s="2" t="s">
        <v>3300</v>
      </c>
      <c r="F1067" s="2" t="s">
        <v>3301</v>
      </c>
      <c r="G1067" s="2">
        <v>0</v>
      </c>
      <c r="H1067" s="2">
        <v>0</v>
      </c>
      <c r="I1067" s="1">
        <v>0</v>
      </c>
      <c r="J1067" s="3" t="s">
        <v>19</v>
      </c>
      <c r="K1067" s="2" t="str">
        <f>J1067*36134.00</f>
        <v>0</v>
      </c>
      <c r="L1067" s="5"/>
    </row>
    <row r="1068" spans="1:12" outlineLevel="5">
      <c r="A1068" s="1"/>
      <c r="B1068" s="1">
        <v>958859</v>
      </c>
      <c r="C1068" s="1" t="s">
        <v>3302</v>
      </c>
      <c r="D1068" s="1">
        <v>48543</v>
      </c>
      <c r="E1068" s="2" t="s">
        <v>3303</v>
      </c>
      <c r="F1068" s="2" t="s">
        <v>3304</v>
      </c>
      <c r="G1068" s="2">
        <v>0</v>
      </c>
      <c r="H1068" s="2">
        <v>0</v>
      </c>
      <c r="I1068" s="1">
        <v>0</v>
      </c>
      <c r="J1068" s="3" t="s">
        <v>19</v>
      </c>
      <c r="K1068" s="2" t="str">
        <f>J1068*91796.00</f>
        <v>0</v>
      </c>
      <c r="L1068" s="5"/>
    </row>
    <row r="1069" spans="1:12" outlineLevel="5">
      <c r="A1069" s="1"/>
      <c r="B1069" s="1">
        <v>958860</v>
      </c>
      <c r="C1069" s="1" t="s">
        <v>3305</v>
      </c>
      <c r="D1069" s="1">
        <v>73478</v>
      </c>
      <c r="E1069" s="2" t="s">
        <v>3306</v>
      </c>
      <c r="F1069" s="2" t="s">
        <v>3307</v>
      </c>
      <c r="G1069" s="2">
        <v>0</v>
      </c>
      <c r="H1069" s="2">
        <v>0</v>
      </c>
      <c r="I1069" s="1">
        <v>0</v>
      </c>
      <c r="J1069" s="3" t="s">
        <v>19</v>
      </c>
      <c r="K1069" s="2" t="str">
        <f>J1069*47236.00</f>
        <v>0</v>
      </c>
      <c r="L1069" s="5"/>
    </row>
    <row r="1070" spans="1:12" outlineLevel="5">
      <c r="A1070" s="1"/>
      <c r="B1070" s="1">
        <v>958861</v>
      </c>
      <c r="C1070" s="1" t="s">
        <v>3308</v>
      </c>
      <c r="D1070" s="1">
        <v>53898</v>
      </c>
      <c r="E1070" s="2" t="s">
        <v>3309</v>
      </c>
      <c r="F1070" s="2" t="s">
        <v>3304</v>
      </c>
      <c r="G1070" s="2">
        <v>0</v>
      </c>
      <c r="H1070" s="2">
        <v>0</v>
      </c>
      <c r="I1070" s="1">
        <v>0</v>
      </c>
      <c r="J1070" s="3" t="s">
        <v>19</v>
      </c>
      <c r="K1070" s="2" t="str">
        <f>J1070*91796.00</f>
        <v>0</v>
      </c>
      <c r="L1070" s="5"/>
    </row>
    <row r="1071" spans="1:12" outlineLevel="5">
      <c r="A1071" s="1"/>
      <c r="B1071" s="1">
        <v>958862</v>
      </c>
      <c r="C1071" s="1" t="s">
        <v>3310</v>
      </c>
      <c r="D1071" s="1">
        <v>95736</v>
      </c>
      <c r="E1071" s="2" t="s">
        <v>3311</v>
      </c>
      <c r="F1071" s="2" t="s">
        <v>3312</v>
      </c>
      <c r="G1071" s="2">
        <v>0</v>
      </c>
      <c r="H1071" s="2">
        <v>0</v>
      </c>
      <c r="I1071" s="1">
        <v>0</v>
      </c>
      <c r="J1071" s="3" t="s">
        <v>19</v>
      </c>
      <c r="K1071" s="2" t="str">
        <f>J1071*41435.00</f>
        <v>0</v>
      </c>
      <c r="L1071" s="5"/>
    </row>
    <row r="1072" spans="1:12" outlineLevel="5">
      <c r="A1072" s="1"/>
      <c r="B1072" s="1">
        <v>958863</v>
      </c>
      <c r="C1072" s="1" t="s">
        <v>3313</v>
      </c>
      <c r="D1072" s="1">
        <v>72170</v>
      </c>
      <c r="E1072" s="2" t="s">
        <v>3314</v>
      </c>
      <c r="F1072" s="2" t="s">
        <v>3315</v>
      </c>
      <c r="G1072" s="2">
        <v>0</v>
      </c>
      <c r="H1072" s="2">
        <v>0</v>
      </c>
      <c r="I1072" s="1">
        <v>0</v>
      </c>
      <c r="J1072" s="3" t="s">
        <v>19</v>
      </c>
      <c r="K1072" s="2" t="str">
        <f>J1072*51647.00</f>
        <v>0</v>
      </c>
      <c r="L1072" s="5"/>
    </row>
    <row r="1073" spans="1:12" outlineLevel="5">
      <c r="A1073" s="1"/>
      <c r="B1073" s="1">
        <v>958864</v>
      </c>
      <c r="C1073" s="1" t="s">
        <v>3316</v>
      </c>
      <c r="D1073" s="1">
        <v>20457</v>
      </c>
      <c r="E1073" s="2" t="s">
        <v>3317</v>
      </c>
      <c r="F1073" s="2" t="s">
        <v>3318</v>
      </c>
      <c r="G1073" s="2">
        <v>0</v>
      </c>
      <c r="H1073" s="2">
        <v>0</v>
      </c>
      <c r="I1073" s="1">
        <v>0</v>
      </c>
      <c r="J1073" s="3" t="s">
        <v>19</v>
      </c>
      <c r="K1073" s="2" t="str">
        <f>J1073*71010.00</f>
        <v>0</v>
      </c>
      <c r="L1073" s="5"/>
    </row>
    <row r="1074" spans="1:12" outlineLevel="5">
      <c r="A1074" s="1"/>
      <c r="B1074" s="1">
        <v>958865</v>
      </c>
      <c r="C1074" s="1" t="s">
        <v>3319</v>
      </c>
      <c r="D1074" s="1">
        <v>10736</v>
      </c>
      <c r="E1074" s="2" t="s">
        <v>3320</v>
      </c>
      <c r="F1074" s="2" t="s">
        <v>3321</v>
      </c>
      <c r="G1074" s="2">
        <v>0</v>
      </c>
      <c r="H1074" s="2">
        <v>0</v>
      </c>
      <c r="I1074" s="1">
        <v>0</v>
      </c>
      <c r="J1074" s="3" t="s">
        <v>19</v>
      </c>
      <c r="K1074" s="2" t="str">
        <f>J1074*36583.00</f>
        <v>0</v>
      </c>
      <c r="L1074" s="5"/>
    </row>
    <row r="1075" spans="1:12" outlineLevel="5">
      <c r="A1075" s="1"/>
      <c r="B1075" s="1">
        <v>958866</v>
      </c>
      <c r="C1075" s="1" t="s">
        <v>3322</v>
      </c>
      <c r="D1075" s="1">
        <v>11869</v>
      </c>
      <c r="E1075" s="2" t="s">
        <v>3323</v>
      </c>
      <c r="F1075" s="2" t="s">
        <v>3324</v>
      </c>
      <c r="G1075" s="2">
        <v>0</v>
      </c>
      <c r="H1075" s="2">
        <v>0</v>
      </c>
      <c r="I1075" s="1">
        <v>0</v>
      </c>
      <c r="J1075" s="3" t="s">
        <v>19</v>
      </c>
      <c r="K1075" s="2" t="str">
        <f>J1075*54687.00</f>
        <v>0</v>
      </c>
      <c r="L1075" s="5"/>
    </row>
    <row r="1076" spans="1:12" outlineLevel="5">
      <c r="A1076" s="1"/>
      <c r="B1076" s="1">
        <v>958867</v>
      </c>
      <c r="C1076" s="1" t="s">
        <v>3325</v>
      </c>
      <c r="D1076" s="1">
        <v>59348</v>
      </c>
      <c r="E1076" s="2" t="s">
        <v>3326</v>
      </c>
      <c r="F1076" s="2" t="s">
        <v>3327</v>
      </c>
      <c r="G1076" s="2">
        <v>0</v>
      </c>
      <c r="H1076" s="2">
        <v>0</v>
      </c>
      <c r="I1076" s="1">
        <v>0</v>
      </c>
      <c r="J1076" s="3" t="s">
        <v>19</v>
      </c>
      <c r="K1076" s="2" t="str">
        <f>J1076*35704.00</f>
        <v>0</v>
      </c>
      <c r="L1076" s="5"/>
    </row>
    <row r="1077" spans="1:12" outlineLevel="5">
      <c r="A1077" s="1"/>
      <c r="B1077" s="1">
        <v>958868</v>
      </c>
      <c r="C1077" s="1" t="s">
        <v>3328</v>
      </c>
      <c r="D1077" s="1">
        <v>49285</v>
      </c>
      <c r="E1077" s="2" t="s">
        <v>3329</v>
      </c>
      <c r="F1077" s="2" t="s">
        <v>3330</v>
      </c>
      <c r="G1077" s="2">
        <v>0</v>
      </c>
      <c r="H1077" s="2">
        <v>0</v>
      </c>
      <c r="I1077" s="1">
        <v>0</v>
      </c>
      <c r="J1077" s="3" t="s">
        <v>19</v>
      </c>
      <c r="K1077" s="2" t="str">
        <f>J1077*92834.00</f>
        <v>0</v>
      </c>
      <c r="L1077" s="5"/>
    </row>
    <row r="1078" spans="1:12" outlineLevel="5">
      <c r="A1078" s="1"/>
      <c r="B1078" s="1">
        <v>958869</v>
      </c>
      <c r="C1078" s="1" t="s">
        <v>3331</v>
      </c>
      <c r="D1078" s="1">
        <v>96749</v>
      </c>
      <c r="E1078" s="2" t="s">
        <v>3332</v>
      </c>
      <c r="F1078" s="2" t="s">
        <v>3333</v>
      </c>
      <c r="G1078" s="2">
        <v>0</v>
      </c>
      <c r="H1078" s="2">
        <v>0</v>
      </c>
      <c r="I1078" s="1">
        <v>0</v>
      </c>
      <c r="J1078" s="3" t="s">
        <v>19</v>
      </c>
      <c r="K1078" s="2" t="str">
        <f>J1078*82911.00</f>
        <v>0</v>
      </c>
      <c r="L1078" s="5"/>
    </row>
    <row r="1079" spans="1:12" outlineLevel="5">
      <c r="A1079" s="1"/>
      <c r="B1079" s="1">
        <v>958870</v>
      </c>
      <c r="C1079" s="1" t="s">
        <v>3334</v>
      </c>
      <c r="D1079" s="1">
        <v>35355</v>
      </c>
      <c r="E1079" s="2" t="s">
        <v>3335</v>
      </c>
      <c r="F1079" s="2" t="s">
        <v>3336</v>
      </c>
      <c r="G1079" s="2">
        <v>0</v>
      </c>
      <c r="H1079" s="2">
        <v>0</v>
      </c>
      <c r="I1079" s="1">
        <v>0</v>
      </c>
      <c r="J1079" s="3" t="s">
        <v>19</v>
      </c>
      <c r="K1079" s="2" t="str">
        <f>J1079*55983.00</f>
        <v>0</v>
      </c>
      <c r="L1079" s="5"/>
    </row>
    <row r="1080" spans="1:12" outlineLevel="5">
      <c r="A1080" s="1"/>
      <c r="B1080" s="1">
        <v>958871</v>
      </c>
      <c r="C1080" s="1" t="s">
        <v>3337</v>
      </c>
      <c r="D1080" s="1">
        <v>67044</v>
      </c>
      <c r="E1080" s="2" t="s">
        <v>3338</v>
      </c>
      <c r="F1080" s="2" t="s">
        <v>3339</v>
      </c>
      <c r="G1080" s="2">
        <v>0</v>
      </c>
      <c r="H1080" s="2">
        <v>0</v>
      </c>
      <c r="I1080" s="1">
        <v>0</v>
      </c>
      <c r="J1080" s="3" t="s">
        <v>19</v>
      </c>
      <c r="K1080" s="2" t="str">
        <f>J1080*107429.00</f>
        <v>0</v>
      </c>
      <c r="L1080" s="5"/>
    </row>
    <row r="1081" spans="1:12" outlineLevel="1">
      <c r="A1081" s="7" t="s">
        <v>3340</v>
      </c>
      <c r="B1081" s="7"/>
      <c r="C1081" s="7"/>
      <c r="D1081" s="7"/>
      <c r="E1081" s="7"/>
      <c r="F1081" s="7"/>
      <c r="G1081" s="7"/>
      <c r="H1081" s="7"/>
      <c r="I1081" s="7"/>
      <c r="J1081" s="7"/>
      <c r="K1081" s="7"/>
      <c r="L1081" s="5"/>
    </row>
    <row r="1082" spans="1:12" outlineLevel="2">
      <c r="A1082" s="8" t="s">
        <v>3341</v>
      </c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5"/>
    </row>
    <row r="1083" spans="1:12" customHeight="1" ht="105" outlineLevel="4">
      <c r="A1083" s="1"/>
      <c r="B1083" s="1">
        <v>822234</v>
      </c>
      <c r="C1083" s="1" t="s">
        <v>3342</v>
      </c>
      <c r="D1083" s="1" t="s">
        <v>3343</v>
      </c>
      <c r="E1083" s="2" t="s">
        <v>3344</v>
      </c>
      <c r="F1083" s="2" t="s">
        <v>3345</v>
      </c>
      <c r="G1083" s="2">
        <v>6</v>
      </c>
      <c r="H1083" s="2" t="s">
        <v>18</v>
      </c>
      <c r="I1083" s="1">
        <v>0</v>
      </c>
      <c r="J1083" s="3" t="s">
        <v>19</v>
      </c>
      <c r="K1083" s="2" t="str">
        <f>J1083*5712.00</f>
        <v>0</v>
      </c>
      <c r="L1083" s="5"/>
    </row>
    <row r="1084" spans="1:12" customHeight="1" ht="105" outlineLevel="4">
      <c r="A1084" s="1"/>
      <c r="B1084" s="1">
        <v>822235</v>
      </c>
      <c r="C1084" s="1" t="s">
        <v>3346</v>
      </c>
      <c r="D1084" s="1" t="s">
        <v>3347</v>
      </c>
      <c r="E1084" s="2" t="s">
        <v>3348</v>
      </c>
      <c r="F1084" s="2" t="s">
        <v>3349</v>
      </c>
      <c r="G1084" s="2">
        <v>0</v>
      </c>
      <c r="H1084" s="2" t="s">
        <v>36</v>
      </c>
      <c r="I1084" s="1">
        <v>0</v>
      </c>
      <c r="J1084" s="3" t="s">
        <v>19</v>
      </c>
      <c r="K1084" s="2" t="str">
        <f>J1084*10374.00</f>
        <v>0</v>
      </c>
      <c r="L1084" s="5"/>
    </row>
    <row r="1085" spans="1:12" outlineLevel="2">
      <c r="A1085" s="8" t="s">
        <v>3350</v>
      </c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5"/>
    </row>
    <row r="1086" spans="1:12" customHeight="1" ht="105" outlineLevel="4">
      <c r="A1086" s="1"/>
      <c r="B1086" s="1">
        <v>829334</v>
      </c>
      <c r="C1086" s="1" t="s">
        <v>3351</v>
      </c>
      <c r="D1086" s="1" t="s">
        <v>3352</v>
      </c>
      <c r="E1086" s="2" t="s">
        <v>3353</v>
      </c>
      <c r="F1086" s="2" t="s">
        <v>3354</v>
      </c>
      <c r="G1086" s="2">
        <v>1</v>
      </c>
      <c r="H1086" s="2">
        <v>0</v>
      </c>
      <c r="I1086" s="1">
        <v>0</v>
      </c>
      <c r="J1086" s="3" t="s">
        <v>19</v>
      </c>
      <c r="K1086" s="2" t="str">
        <f>J1086*10447.29</f>
        <v>0</v>
      </c>
      <c r="L1086" s="5"/>
    </row>
    <row r="1087" spans="1:12" customHeight="1" ht="105" outlineLevel="4">
      <c r="A1087" s="1"/>
      <c r="B1087" s="1">
        <v>829335</v>
      </c>
      <c r="C1087" s="1" t="s">
        <v>3355</v>
      </c>
      <c r="D1087" s="1" t="s">
        <v>3356</v>
      </c>
      <c r="E1087" s="2" t="s">
        <v>3357</v>
      </c>
      <c r="F1087" s="2" t="s">
        <v>3358</v>
      </c>
      <c r="G1087" s="2">
        <v>0</v>
      </c>
      <c r="H1087" s="2">
        <v>0</v>
      </c>
      <c r="I1087" s="1">
        <v>0</v>
      </c>
      <c r="J1087" s="3" t="s">
        <v>19</v>
      </c>
      <c r="K1087" s="2" t="str">
        <f>J1087*3119.34</f>
        <v>0</v>
      </c>
      <c r="L1087" s="5"/>
    </row>
    <row r="1088" spans="1:12" customHeight="1" ht="105" outlineLevel="4">
      <c r="A1088" s="1"/>
      <c r="B1088" s="1">
        <v>837114</v>
      </c>
      <c r="C1088" s="1" t="s">
        <v>3359</v>
      </c>
      <c r="D1088" s="1" t="s">
        <v>3360</v>
      </c>
      <c r="E1088" s="2" t="s">
        <v>3361</v>
      </c>
      <c r="F1088" s="2" t="s">
        <v>3362</v>
      </c>
      <c r="G1088" s="2">
        <v>4</v>
      </c>
      <c r="H1088" s="2">
        <v>0</v>
      </c>
      <c r="I1088" s="1">
        <v>0</v>
      </c>
      <c r="J1088" s="3" t="s">
        <v>19</v>
      </c>
      <c r="K1088" s="2" t="str">
        <f>J1088*7136.85</f>
        <v>0</v>
      </c>
      <c r="L1088" s="5"/>
    </row>
    <row r="1089" spans="1:12" customHeight="1" ht="105" outlineLevel="4">
      <c r="A1089" s="1"/>
      <c r="B1089" s="1">
        <v>885125</v>
      </c>
      <c r="C1089" s="1" t="s">
        <v>3363</v>
      </c>
      <c r="D1089" s="1" t="s">
        <v>3364</v>
      </c>
      <c r="E1089" s="2" t="s">
        <v>3365</v>
      </c>
      <c r="F1089" s="2" t="s">
        <v>3366</v>
      </c>
      <c r="G1089" s="2">
        <v>3</v>
      </c>
      <c r="H1089" s="2">
        <v>0</v>
      </c>
      <c r="I1089" s="1">
        <v>0</v>
      </c>
      <c r="J1089" s="3" t="s">
        <v>19</v>
      </c>
      <c r="K1089" s="2" t="str">
        <f>J1089*8875.86</f>
        <v>0</v>
      </c>
      <c r="L1089" s="5"/>
    </row>
    <row r="1090" spans="1:12" customHeight="1" ht="105" outlineLevel="4">
      <c r="A1090" s="1"/>
      <c r="B1090" s="1">
        <v>853643</v>
      </c>
      <c r="C1090" s="1" t="s">
        <v>3367</v>
      </c>
      <c r="D1090" s="1" t="s">
        <v>3368</v>
      </c>
      <c r="E1090" s="2" t="s">
        <v>3369</v>
      </c>
      <c r="F1090" s="2" t="s">
        <v>3370</v>
      </c>
      <c r="G1090" s="2">
        <v>1</v>
      </c>
      <c r="H1090" s="2">
        <v>0</v>
      </c>
      <c r="I1090" s="1">
        <v>0</v>
      </c>
      <c r="J1090" s="3" t="s">
        <v>19</v>
      </c>
      <c r="K1090" s="2" t="str">
        <f>J1090*5139.12</f>
        <v>0</v>
      </c>
      <c r="L1090" s="5"/>
    </row>
    <row r="1091" spans="1:12" outlineLevel="2">
      <c r="A1091" s="8" t="s">
        <v>3371</v>
      </c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5"/>
    </row>
    <row r="1092" spans="1:12" customHeight="1" ht="105" outlineLevel="4">
      <c r="A1092" s="1"/>
      <c r="B1092" s="1">
        <v>956635</v>
      </c>
      <c r="C1092" s="1" t="s">
        <v>3372</v>
      </c>
      <c r="D1092" s="1" t="s">
        <v>3373</v>
      </c>
      <c r="E1092" s="2" t="s">
        <v>3374</v>
      </c>
      <c r="F1092" s="2" t="s">
        <v>3375</v>
      </c>
      <c r="G1092" s="2">
        <v>8</v>
      </c>
      <c r="H1092" s="2">
        <v>0</v>
      </c>
      <c r="I1092" s="1">
        <v>0</v>
      </c>
      <c r="J1092" s="3" t="s">
        <v>19</v>
      </c>
      <c r="K1092" s="2" t="str">
        <f>J1092*8521.77</f>
        <v>0</v>
      </c>
      <c r="L1092" s="5"/>
    </row>
    <row r="1093" spans="1:12" outlineLevel="2">
      <c r="A1093" s="8" t="s">
        <v>3376</v>
      </c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5"/>
    </row>
    <row r="1094" spans="1:12" outlineLevel="4">
      <c r="A1094" s="1"/>
      <c r="B1094" s="1">
        <v>958681</v>
      </c>
      <c r="C1094" s="1" t="s">
        <v>3377</v>
      </c>
      <c r="D1094" s="1">
        <v>68103</v>
      </c>
      <c r="E1094" s="2" t="s">
        <v>3378</v>
      </c>
      <c r="F1094" s="2" t="s">
        <v>3379</v>
      </c>
      <c r="G1094" s="2">
        <v>0</v>
      </c>
      <c r="H1094" s="2">
        <v>0</v>
      </c>
      <c r="I1094" s="1">
        <v>0</v>
      </c>
      <c r="J1094" s="3" t="s">
        <v>19</v>
      </c>
      <c r="K1094" s="2" t="str">
        <f>J1094*6475.00</f>
        <v>0</v>
      </c>
      <c r="L1094" s="5"/>
    </row>
    <row r="1095" spans="1:12" outlineLevel="4">
      <c r="A1095" s="1"/>
      <c r="B1095" s="1">
        <v>958682</v>
      </c>
      <c r="C1095" s="1" t="s">
        <v>3380</v>
      </c>
      <c r="D1095" s="1">
        <v>81435</v>
      </c>
      <c r="E1095" s="2" t="s">
        <v>3381</v>
      </c>
      <c r="F1095" s="2" t="s">
        <v>3382</v>
      </c>
      <c r="G1095" s="2">
        <v>0</v>
      </c>
      <c r="H1095" s="2">
        <v>0</v>
      </c>
      <c r="I1095" s="1">
        <v>0</v>
      </c>
      <c r="J1095" s="3" t="s">
        <v>19</v>
      </c>
      <c r="K1095" s="2" t="str">
        <f>J1095*8880.00</f>
        <v>0</v>
      </c>
      <c r="L1095" s="5"/>
    </row>
    <row r="1096" spans="1:12" outlineLevel="4">
      <c r="A1096" s="1"/>
      <c r="B1096" s="1">
        <v>958683</v>
      </c>
      <c r="C1096" s="1" t="s">
        <v>3383</v>
      </c>
      <c r="D1096" s="1">
        <v>21725</v>
      </c>
      <c r="E1096" s="2" t="s">
        <v>3384</v>
      </c>
      <c r="F1096" s="2" t="s">
        <v>3382</v>
      </c>
      <c r="G1096" s="2">
        <v>0</v>
      </c>
      <c r="H1096" s="2">
        <v>0</v>
      </c>
      <c r="I1096" s="1">
        <v>0</v>
      </c>
      <c r="J1096" s="3" t="s">
        <v>19</v>
      </c>
      <c r="K1096" s="2" t="str">
        <f>J1096*8880.00</f>
        <v>0</v>
      </c>
      <c r="L1096" s="5"/>
    </row>
    <row r="1097" spans="1:12" outlineLevel="4">
      <c r="A1097" s="1"/>
      <c r="B1097" s="1">
        <v>958684</v>
      </c>
      <c r="C1097" s="1" t="s">
        <v>3385</v>
      </c>
      <c r="D1097" s="1">
        <v>66193</v>
      </c>
      <c r="E1097" s="2" t="s">
        <v>3386</v>
      </c>
      <c r="F1097" s="2" t="s">
        <v>3387</v>
      </c>
      <c r="G1097" s="2">
        <v>0</v>
      </c>
      <c r="H1097" s="2">
        <v>0</v>
      </c>
      <c r="I1097" s="1">
        <v>0</v>
      </c>
      <c r="J1097" s="3" t="s">
        <v>19</v>
      </c>
      <c r="K1097" s="2" t="str">
        <f>J1097*7215.00</f>
        <v>0</v>
      </c>
      <c r="L1097" s="5"/>
    </row>
    <row r="1098" spans="1:12" outlineLevel="4">
      <c r="A1098" s="1"/>
      <c r="B1098" s="1">
        <v>958709</v>
      </c>
      <c r="C1098" s="1" t="s">
        <v>3388</v>
      </c>
      <c r="D1098" s="1">
        <v>20023</v>
      </c>
      <c r="E1098" s="2" t="s">
        <v>3389</v>
      </c>
      <c r="F1098" s="2" t="s">
        <v>3390</v>
      </c>
      <c r="G1098" s="2">
        <v>0</v>
      </c>
      <c r="H1098" s="2">
        <v>0</v>
      </c>
      <c r="I1098" s="1">
        <v>0</v>
      </c>
      <c r="J1098" s="3" t="s">
        <v>19</v>
      </c>
      <c r="K1098" s="2" t="str">
        <f>J1098*11431.00</f>
        <v>0</v>
      </c>
      <c r="L1098" s="5"/>
    </row>
    <row r="1099" spans="1:12" outlineLevel="4">
      <c r="A1099" s="1"/>
      <c r="B1099" s="1">
        <v>958710</v>
      </c>
      <c r="C1099" s="1" t="s">
        <v>3391</v>
      </c>
      <c r="D1099" s="1">
        <v>50260</v>
      </c>
      <c r="E1099" s="2" t="s">
        <v>3392</v>
      </c>
      <c r="F1099" s="2" t="s">
        <v>3390</v>
      </c>
      <c r="G1099" s="2">
        <v>0</v>
      </c>
      <c r="H1099" s="2">
        <v>0</v>
      </c>
      <c r="I1099" s="1">
        <v>0</v>
      </c>
      <c r="J1099" s="3" t="s">
        <v>19</v>
      </c>
      <c r="K1099" s="2" t="str">
        <f>J1099*11431.00</f>
        <v>0</v>
      </c>
      <c r="L1099" s="5"/>
    </row>
    <row r="1100" spans="1:12" outlineLevel="4">
      <c r="A1100" s="1"/>
      <c r="B1100" s="1">
        <v>958711</v>
      </c>
      <c r="C1100" s="1" t="s">
        <v>3393</v>
      </c>
      <c r="D1100" s="1">
        <v>18902</v>
      </c>
      <c r="E1100" s="2" t="s">
        <v>3394</v>
      </c>
      <c r="F1100" s="2" t="s">
        <v>3395</v>
      </c>
      <c r="G1100" s="2">
        <v>0</v>
      </c>
      <c r="H1100" s="2">
        <v>0</v>
      </c>
      <c r="I1100" s="1">
        <v>0</v>
      </c>
      <c r="J1100" s="3" t="s">
        <v>19</v>
      </c>
      <c r="K1100" s="2" t="str">
        <f>J1100*12778.00</f>
        <v>0</v>
      </c>
      <c r="L1100" s="5"/>
    </row>
    <row r="1101" spans="1:12" outlineLevel="4">
      <c r="A1101" s="1"/>
      <c r="B1101" s="1">
        <v>958712</v>
      </c>
      <c r="C1101" s="1" t="s">
        <v>3396</v>
      </c>
      <c r="D1101" s="1">
        <v>48140</v>
      </c>
      <c r="E1101" s="2" t="s">
        <v>3397</v>
      </c>
      <c r="F1101" s="2" t="s">
        <v>3395</v>
      </c>
      <c r="G1101" s="2">
        <v>0</v>
      </c>
      <c r="H1101" s="2">
        <v>0</v>
      </c>
      <c r="I1101" s="1">
        <v>0</v>
      </c>
      <c r="J1101" s="3" t="s">
        <v>19</v>
      </c>
      <c r="K1101" s="2" t="str">
        <f>J1101*12778.00</f>
        <v>0</v>
      </c>
      <c r="L1101" s="5"/>
    </row>
    <row r="1102" spans="1:12" outlineLevel="1">
      <c r="A1102" s="7" t="s">
        <v>3398</v>
      </c>
      <c r="B1102" s="7"/>
      <c r="C1102" s="7"/>
      <c r="D1102" s="7"/>
      <c r="E1102" s="7"/>
      <c r="F1102" s="7"/>
      <c r="G1102" s="7"/>
      <c r="H1102" s="7"/>
      <c r="I1102" s="7"/>
      <c r="J1102" s="7"/>
      <c r="K1102" s="7"/>
      <c r="L1102" s="5"/>
    </row>
    <row r="1103" spans="1:12" outlineLevel="2">
      <c r="A1103" s="8" t="s">
        <v>3399</v>
      </c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5"/>
    </row>
    <row r="1104" spans="1:12" customHeight="1" ht="105" outlineLevel="4">
      <c r="A1104" s="1"/>
      <c r="B1104" s="1">
        <v>956827</v>
      </c>
      <c r="C1104" s="1" t="s">
        <v>3400</v>
      </c>
      <c r="D1104" s="1"/>
      <c r="E1104" s="2" t="s">
        <v>3401</v>
      </c>
      <c r="F1104" s="2" t="s">
        <v>3402</v>
      </c>
      <c r="G1104" s="2" t="s">
        <v>23</v>
      </c>
      <c r="H1104" s="2">
        <v>0</v>
      </c>
      <c r="I1104" s="1">
        <v>0</v>
      </c>
      <c r="J1104" s="3" t="s">
        <v>3403</v>
      </c>
      <c r="K1104" s="2" t="str">
        <f>J1104*221.78</f>
        <v>0</v>
      </c>
      <c r="L1104" s="5"/>
    </row>
    <row r="1105" spans="1:12" customHeight="1" ht="105" outlineLevel="4">
      <c r="A1105" s="1"/>
      <c r="B1105" s="1">
        <v>884636</v>
      </c>
      <c r="C1105" s="1" t="s">
        <v>3404</v>
      </c>
      <c r="D1105" s="1" t="s">
        <v>3405</v>
      </c>
      <c r="E1105" s="2" t="s">
        <v>3406</v>
      </c>
      <c r="F1105" s="2" t="s">
        <v>3407</v>
      </c>
      <c r="G1105" s="2" t="s">
        <v>23</v>
      </c>
      <c r="H1105" s="2">
        <v>0</v>
      </c>
      <c r="I1105" s="1">
        <v>0</v>
      </c>
      <c r="J1105" s="3" t="s">
        <v>19</v>
      </c>
      <c r="K1105" s="2" t="str">
        <f>J1105*905.52</f>
        <v>0</v>
      </c>
      <c r="L1105" s="5"/>
    </row>
    <row r="1106" spans="1:12" customHeight="1" ht="105" outlineLevel="4">
      <c r="A1106" s="1"/>
      <c r="B1106" s="1">
        <v>873443</v>
      </c>
      <c r="C1106" s="1" t="s">
        <v>3408</v>
      </c>
      <c r="D1106" s="1" t="s">
        <v>3409</v>
      </c>
      <c r="E1106" s="2" t="s">
        <v>3410</v>
      </c>
      <c r="F1106" s="2" t="s">
        <v>3411</v>
      </c>
      <c r="G1106" s="2">
        <v>0</v>
      </c>
      <c r="H1106" s="2">
        <v>0</v>
      </c>
      <c r="I1106" s="1">
        <v>0</v>
      </c>
      <c r="J1106" s="3" t="s">
        <v>19</v>
      </c>
      <c r="K1106" s="2" t="str">
        <f>J1106*114.25</f>
        <v>0</v>
      </c>
      <c r="L1106" s="5"/>
    </row>
    <row r="1107" spans="1:12" outlineLevel="2">
      <c r="A1107" s="8" t="s">
        <v>3412</v>
      </c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5"/>
    </row>
    <row r="1108" spans="1:12" outlineLevel="4">
      <c r="A1108" s="1"/>
      <c r="B1108" s="1">
        <v>959215</v>
      </c>
      <c r="C1108" s="1" t="s">
        <v>3413</v>
      </c>
      <c r="D1108" s="1">
        <v>72298</v>
      </c>
      <c r="E1108" s="2" t="s">
        <v>3414</v>
      </c>
      <c r="F1108" s="2" t="s">
        <v>3415</v>
      </c>
      <c r="G1108" s="2">
        <v>0</v>
      </c>
      <c r="H1108" s="2">
        <v>0</v>
      </c>
      <c r="I1108" s="1">
        <v>0</v>
      </c>
      <c r="J1108" s="3" t="s">
        <v>19</v>
      </c>
      <c r="K1108" s="2" t="str">
        <f>J1108*65322.00</f>
        <v>0</v>
      </c>
      <c r="L1108" s="5"/>
    </row>
    <row r="1109" spans="1:12" outlineLevel="4">
      <c r="A1109" s="1"/>
      <c r="B1109" s="1">
        <v>959216</v>
      </c>
      <c r="C1109" s="1" t="s">
        <v>3416</v>
      </c>
      <c r="D1109" s="1">
        <v>96919</v>
      </c>
      <c r="E1109" s="2" t="s">
        <v>3417</v>
      </c>
      <c r="F1109" s="2" t="s">
        <v>3418</v>
      </c>
      <c r="G1109" s="2">
        <v>0</v>
      </c>
      <c r="H1109" s="2">
        <v>0</v>
      </c>
      <c r="I1109" s="1">
        <v>0</v>
      </c>
      <c r="J1109" s="3" t="s">
        <v>19</v>
      </c>
      <c r="K1109" s="2" t="str">
        <f>J1109*27403.00</f>
        <v>0</v>
      </c>
      <c r="L1109" s="5"/>
    </row>
    <row r="1110" spans="1:12" outlineLevel="4">
      <c r="A1110" s="1"/>
      <c r="B1110" s="1">
        <v>959217</v>
      </c>
      <c r="C1110" s="1" t="s">
        <v>3419</v>
      </c>
      <c r="D1110" s="1">
        <v>27854</v>
      </c>
      <c r="E1110" s="2" t="s">
        <v>3420</v>
      </c>
      <c r="F1110" s="2" t="s">
        <v>3421</v>
      </c>
      <c r="G1110" s="2">
        <v>0</v>
      </c>
      <c r="H1110" s="2">
        <v>0</v>
      </c>
      <c r="I1110" s="1">
        <v>0</v>
      </c>
      <c r="J1110" s="3" t="s">
        <v>19</v>
      </c>
      <c r="K1110" s="2" t="str">
        <f>J1110*58855.00</f>
        <v>0</v>
      </c>
      <c r="L1110" s="5"/>
    </row>
    <row r="1111" spans="1:12" outlineLevel="4">
      <c r="A1111" s="1"/>
      <c r="B1111" s="1">
        <v>959218</v>
      </c>
      <c r="C1111" s="1" t="s">
        <v>3422</v>
      </c>
      <c r="D1111" s="1">
        <v>17871</v>
      </c>
      <c r="E1111" s="2" t="s">
        <v>3423</v>
      </c>
      <c r="F1111" s="2" t="s">
        <v>3424</v>
      </c>
      <c r="G1111" s="2">
        <v>0</v>
      </c>
      <c r="H1111" s="2">
        <v>0</v>
      </c>
      <c r="I1111" s="1">
        <v>0</v>
      </c>
      <c r="J1111" s="3" t="s">
        <v>19</v>
      </c>
      <c r="K1111" s="2" t="str">
        <f>J1111*26184.00</f>
        <v>0</v>
      </c>
      <c r="L1111" s="5"/>
    </row>
    <row r="1112" spans="1:12" outlineLevel="4">
      <c r="A1112" s="1"/>
      <c r="B1112" s="1">
        <v>959219</v>
      </c>
      <c r="C1112" s="1" t="s">
        <v>3425</v>
      </c>
      <c r="D1112" s="1">
        <v>44063</v>
      </c>
      <c r="E1112" s="2" t="s">
        <v>3426</v>
      </c>
      <c r="F1112" s="2" t="s">
        <v>3427</v>
      </c>
      <c r="G1112" s="2">
        <v>0</v>
      </c>
      <c r="H1112" s="2">
        <v>0</v>
      </c>
      <c r="I1112" s="1">
        <v>0</v>
      </c>
      <c r="J1112" s="3" t="s">
        <v>19</v>
      </c>
      <c r="K1112" s="2" t="str">
        <f>J1112*34678.00</f>
        <v>0</v>
      </c>
      <c r="L1112" s="5"/>
    </row>
    <row r="1113" spans="1:12" outlineLevel="4">
      <c r="A1113" s="1"/>
      <c r="B1113" s="1">
        <v>959220</v>
      </c>
      <c r="C1113" s="1" t="s">
        <v>3428</v>
      </c>
      <c r="D1113" s="1">
        <v>21529</v>
      </c>
      <c r="E1113" s="2" t="s">
        <v>3429</v>
      </c>
      <c r="F1113" s="2" t="s">
        <v>3430</v>
      </c>
      <c r="G1113" s="2">
        <v>0</v>
      </c>
      <c r="H1113" s="2">
        <v>0</v>
      </c>
      <c r="I1113" s="1">
        <v>0</v>
      </c>
      <c r="J1113" s="3" t="s">
        <v>19</v>
      </c>
      <c r="K1113" s="2" t="str">
        <f>J1113*17339.00</f>
        <v>0</v>
      </c>
      <c r="L1113" s="5"/>
    </row>
    <row r="1114" spans="1:12" outlineLevel="4">
      <c r="A1114" s="1"/>
      <c r="B1114" s="1">
        <v>959221</v>
      </c>
      <c r="C1114" s="1" t="s">
        <v>3431</v>
      </c>
      <c r="D1114" s="1">
        <v>22698</v>
      </c>
      <c r="E1114" s="2" t="s">
        <v>3432</v>
      </c>
      <c r="F1114" s="2" t="s">
        <v>3433</v>
      </c>
      <c r="G1114" s="2">
        <v>0</v>
      </c>
      <c r="H1114" s="2">
        <v>0</v>
      </c>
      <c r="I1114" s="1">
        <v>0</v>
      </c>
      <c r="J1114" s="3" t="s">
        <v>19</v>
      </c>
      <c r="K1114" s="2" t="str">
        <f>J1114*11362.00</f>
        <v>0</v>
      </c>
      <c r="L1114" s="5"/>
    </row>
    <row r="1115" spans="1:12" outlineLevel="4">
      <c r="A1115" s="1"/>
      <c r="B1115" s="1">
        <v>959222</v>
      </c>
      <c r="C1115" s="1" t="s">
        <v>3434</v>
      </c>
      <c r="D1115" s="1">
        <v>52549</v>
      </c>
      <c r="E1115" s="2" t="s">
        <v>3435</v>
      </c>
      <c r="F1115" s="2" t="s">
        <v>3436</v>
      </c>
      <c r="G1115" s="2">
        <v>0</v>
      </c>
      <c r="H1115" s="2">
        <v>0</v>
      </c>
      <c r="I1115" s="1">
        <v>0</v>
      </c>
      <c r="J1115" s="3" t="s">
        <v>19</v>
      </c>
      <c r="K1115" s="2" t="str">
        <f>J1115*18139.00</f>
        <v>0</v>
      </c>
      <c r="L1115" s="5"/>
    </row>
    <row r="1116" spans="1:12" outlineLevel="4">
      <c r="A1116" s="1"/>
      <c r="B1116" s="1">
        <v>959223</v>
      </c>
      <c r="C1116" s="1" t="s">
        <v>3437</v>
      </c>
      <c r="D1116" s="1">
        <v>21379</v>
      </c>
      <c r="E1116" s="2" t="s">
        <v>3438</v>
      </c>
      <c r="F1116" s="2" t="s">
        <v>3439</v>
      </c>
      <c r="G1116" s="2">
        <v>0</v>
      </c>
      <c r="H1116" s="2">
        <v>0</v>
      </c>
      <c r="I1116" s="1">
        <v>0</v>
      </c>
      <c r="J1116" s="3" t="s">
        <v>19</v>
      </c>
      <c r="K1116" s="2" t="str">
        <f>J1116*28328.00</f>
        <v>0</v>
      </c>
      <c r="L1116" s="5"/>
    </row>
    <row r="1117" spans="1:12" outlineLevel="4">
      <c r="A1117" s="1"/>
      <c r="B1117" s="1">
        <v>959224</v>
      </c>
      <c r="C1117" s="1" t="s">
        <v>3440</v>
      </c>
      <c r="D1117" s="1">
        <v>34850</v>
      </c>
      <c r="E1117" s="2" t="s">
        <v>3441</v>
      </c>
      <c r="F1117" s="2" t="s">
        <v>3442</v>
      </c>
      <c r="G1117" s="2">
        <v>0</v>
      </c>
      <c r="H1117" s="2">
        <v>0</v>
      </c>
      <c r="I1117" s="1">
        <v>0</v>
      </c>
      <c r="J1117" s="3" t="s">
        <v>19</v>
      </c>
      <c r="K1117" s="2" t="str">
        <f>J1117*10926.00</f>
        <v>0</v>
      </c>
      <c r="L1117" s="5"/>
    </row>
    <row r="1118" spans="1:12" outlineLevel="4">
      <c r="A1118" s="1"/>
      <c r="B1118" s="1">
        <v>959225</v>
      </c>
      <c r="C1118" s="1" t="s">
        <v>3443</v>
      </c>
      <c r="D1118" s="1">
        <v>44955</v>
      </c>
      <c r="E1118" s="2" t="s">
        <v>3444</v>
      </c>
      <c r="F1118" s="2" t="s">
        <v>3445</v>
      </c>
      <c r="G1118" s="2">
        <v>0</v>
      </c>
      <c r="H1118" s="2">
        <v>0</v>
      </c>
      <c r="I1118" s="1">
        <v>0</v>
      </c>
      <c r="J1118" s="3" t="s">
        <v>19</v>
      </c>
      <c r="K1118" s="2" t="str">
        <f>J1118*40469.00</f>
        <v>0</v>
      </c>
      <c r="L1118" s="5"/>
    </row>
    <row r="1119" spans="1:12" outlineLevel="4">
      <c r="A1119" s="1"/>
      <c r="B1119" s="1">
        <v>959226</v>
      </c>
      <c r="C1119" s="1" t="s">
        <v>3446</v>
      </c>
      <c r="D1119" s="1">
        <v>44869</v>
      </c>
      <c r="E1119" s="2" t="s">
        <v>3447</v>
      </c>
      <c r="F1119" s="2" t="s">
        <v>3448</v>
      </c>
      <c r="G1119" s="2">
        <v>0</v>
      </c>
      <c r="H1119" s="2">
        <v>0</v>
      </c>
      <c r="I1119" s="1">
        <v>0</v>
      </c>
      <c r="J1119" s="3" t="s">
        <v>19</v>
      </c>
      <c r="K1119" s="2" t="str">
        <f>J1119*17073.00</f>
        <v>0</v>
      </c>
      <c r="L1119" s="5"/>
    </row>
    <row r="1120" spans="1:12" outlineLevel="4">
      <c r="A1120" s="1"/>
      <c r="B1120" s="1">
        <v>959227</v>
      </c>
      <c r="C1120" s="1" t="s">
        <v>3449</v>
      </c>
      <c r="D1120" s="1">
        <v>64147</v>
      </c>
      <c r="E1120" s="2" t="s">
        <v>3450</v>
      </c>
      <c r="F1120" s="2" t="s">
        <v>3451</v>
      </c>
      <c r="G1120" s="2">
        <v>0</v>
      </c>
      <c r="H1120" s="2">
        <v>0</v>
      </c>
      <c r="I1120" s="1">
        <v>0</v>
      </c>
      <c r="J1120" s="3" t="s">
        <v>19</v>
      </c>
      <c r="K1120" s="2" t="str">
        <f>J1120*63594.00</f>
        <v>0</v>
      </c>
      <c r="L1120" s="5"/>
    </row>
    <row r="1121" spans="1:12" outlineLevel="4">
      <c r="A1121" s="1"/>
      <c r="B1121" s="1">
        <v>959228</v>
      </c>
      <c r="C1121" s="1" t="s">
        <v>3452</v>
      </c>
      <c r="D1121" s="1">
        <v>41446</v>
      </c>
      <c r="E1121" s="2" t="s">
        <v>3453</v>
      </c>
      <c r="F1121" s="2" t="s">
        <v>3454</v>
      </c>
      <c r="G1121" s="2">
        <v>0</v>
      </c>
      <c r="H1121" s="2">
        <v>0</v>
      </c>
      <c r="I1121" s="1">
        <v>0</v>
      </c>
      <c r="J1121" s="3" t="s">
        <v>19</v>
      </c>
      <c r="K1121" s="2" t="str">
        <f>J1121*31797.00</f>
        <v>0</v>
      </c>
      <c r="L1121" s="5"/>
    </row>
    <row r="1122" spans="1:12" outlineLevel="4">
      <c r="A1122" s="1"/>
      <c r="B1122" s="1">
        <v>959229</v>
      </c>
      <c r="C1122" s="1" t="s">
        <v>3455</v>
      </c>
      <c r="D1122" s="1">
        <v>10771</v>
      </c>
      <c r="E1122" s="2" t="s">
        <v>3456</v>
      </c>
      <c r="F1122" s="2" t="s">
        <v>3457</v>
      </c>
      <c r="G1122" s="2">
        <v>0</v>
      </c>
      <c r="H1122" s="2">
        <v>0</v>
      </c>
      <c r="I1122" s="1">
        <v>0</v>
      </c>
      <c r="J1122" s="3" t="s">
        <v>19</v>
      </c>
      <c r="K1122" s="2" t="str">
        <f>J1122*37231.00</f>
        <v>0</v>
      </c>
      <c r="L1122" s="5"/>
    </row>
    <row r="1123" spans="1:12" outlineLevel="4">
      <c r="A1123" s="1"/>
      <c r="B1123" s="1">
        <v>959230</v>
      </c>
      <c r="C1123" s="1" t="s">
        <v>3458</v>
      </c>
      <c r="D1123" s="1">
        <v>94191</v>
      </c>
      <c r="E1123" s="2" t="s">
        <v>3459</v>
      </c>
      <c r="F1123" s="2" t="s">
        <v>3460</v>
      </c>
      <c r="G1123" s="2">
        <v>0</v>
      </c>
      <c r="H1123" s="2">
        <v>0</v>
      </c>
      <c r="I1123" s="1">
        <v>0</v>
      </c>
      <c r="J1123" s="3" t="s">
        <v>19</v>
      </c>
      <c r="K1123" s="2" t="str">
        <f>J1123*18616.00</f>
        <v>0</v>
      </c>
      <c r="L1123" s="5"/>
    </row>
    <row r="1124" spans="1:12" outlineLevel="4">
      <c r="A1124" s="1"/>
      <c r="B1124" s="1">
        <v>959231</v>
      </c>
      <c r="C1124" s="1" t="s">
        <v>3461</v>
      </c>
      <c r="D1124" s="1">
        <v>72371</v>
      </c>
      <c r="E1124" s="2" t="s">
        <v>3462</v>
      </c>
      <c r="F1124" s="2" t="s">
        <v>3463</v>
      </c>
      <c r="G1124" s="2">
        <v>0</v>
      </c>
      <c r="H1124" s="2">
        <v>0</v>
      </c>
      <c r="I1124" s="1">
        <v>0</v>
      </c>
      <c r="J1124" s="3" t="s">
        <v>19</v>
      </c>
      <c r="K1124" s="2" t="str">
        <f>J1124*57350.00</f>
        <v>0</v>
      </c>
      <c r="L1124" s="5"/>
    </row>
    <row r="1125" spans="1:12" outlineLevel="4">
      <c r="A1125" s="1"/>
      <c r="B1125" s="1">
        <v>959232</v>
      </c>
      <c r="C1125" s="1" t="s">
        <v>3464</v>
      </c>
      <c r="D1125" s="1">
        <v>63355</v>
      </c>
      <c r="E1125" s="2" t="s">
        <v>3465</v>
      </c>
      <c r="F1125" s="2" t="s">
        <v>3466</v>
      </c>
      <c r="G1125" s="2">
        <v>0</v>
      </c>
      <c r="H1125" s="2">
        <v>0</v>
      </c>
      <c r="I1125" s="1">
        <v>0</v>
      </c>
      <c r="J1125" s="3" t="s">
        <v>19</v>
      </c>
      <c r="K1125" s="2" t="str">
        <f>J1125*21853.00</f>
        <v>0</v>
      </c>
      <c r="L1125" s="5"/>
    </row>
    <row r="1126" spans="1:12" outlineLevel="4">
      <c r="A1126" s="1"/>
      <c r="B1126" s="1">
        <v>959233</v>
      </c>
      <c r="C1126" s="1" t="s">
        <v>3467</v>
      </c>
      <c r="D1126" s="1">
        <v>47458</v>
      </c>
      <c r="E1126" s="2" t="s">
        <v>3468</v>
      </c>
      <c r="F1126" s="2" t="s">
        <v>3469</v>
      </c>
      <c r="G1126" s="2">
        <v>0</v>
      </c>
      <c r="H1126" s="2">
        <v>0</v>
      </c>
      <c r="I1126" s="1">
        <v>0</v>
      </c>
      <c r="J1126" s="3" t="s">
        <v>19</v>
      </c>
      <c r="K1126" s="2" t="str">
        <f>J1126*34872.00</f>
        <v>0</v>
      </c>
      <c r="L1126" s="5"/>
    </row>
    <row r="1127" spans="1:12" outlineLevel="4">
      <c r="A1127" s="1"/>
      <c r="B1127" s="1">
        <v>959234</v>
      </c>
      <c r="C1127" s="1" t="s">
        <v>3470</v>
      </c>
      <c r="D1127" s="1">
        <v>52397</v>
      </c>
      <c r="E1127" s="2" t="s">
        <v>3471</v>
      </c>
      <c r="F1127" s="2" t="s">
        <v>3472</v>
      </c>
      <c r="G1127" s="2">
        <v>0</v>
      </c>
      <c r="H1127" s="2">
        <v>0</v>
      </c>
      <c r="I1127" s="1">
        <v>0</v>
      </c>
      <c r="J1127" s="3" t="s">
        <v>19</v>
      </c>
      <c r="K1127" s="2" t="str">
        <f>J1127*17436.00</f>
        <v>0</v>
      </c>
      <c r="L1127" s="5"/>
    </row>
    <row r="1128" spans="1:12" outlineLevel="4">
      <c r="A1128" s="1"/>
      <c r="B1128" s="1">
        <v>959235</v>
      </c>
      <c r="C1128" s="1" t="s">
        <v>3473</v>
      </c>
      <c r="D1128" s="1">
        <v>89383</v>
      </c>
      <c r="E1128" s="2" t="s">
        <v>3474</v>
      </c>
      <c r="F1128" s="2" t="s">
        <v>3475</v>
      </c>
      <c r="G1128" s="2">
        <v>0</v>
      </c>
      <c r="H1128" s="2">
        <v>0</v>
      </c>
      <c r="I1128" s="1">
        <v>0</v>
      </c>
      <c r="J1128" s="3" t="s">
        <v>19</v>
      </c>
      <c r="K1128" s="2" t="str">
        <f>J1128*50186.00</f>
        <v>0</v>
      </c>
      <c r="L1128" s="5"/>
    </row>
    <row r="1129" spans="1:12" outlineLevel="4">
      <c r="A1129" s="1"/>
      <c r="B1129" s="1">
        <v>959236</v>
      </c>
      <c r="C1129" s="1" t="s">
        <v>3476</v>
      </c>
      <c r="D1129" s="1">
        <v>13380</v>
      </c>
      <c r="E1129" s="2" t="s">
        <v>3477</v>
      </c>
      <c r="F1129" s="2" t="s">
        <v>3457</v>
      </c>
      <c r="G1129" s="2">
        <v>0</v>
      </c>
      <c r="H1129" s="2">
        <v>0</v>
      </c>
      <c r="I1129" s="1">
        <v>0</v>
      </c>
      <c r="J1129" s="3" t="s">
        <v>19</v>
      </c>
      <c r="K1129" s="2" t="str">
        <f>J1129*37231.00</f>
        <v>0</v>
      </c>
      <c r="L1129" s="5"/>
    </row>
    <row r="1130" spans="1:12" outlineLevel="4">
      <c r="A1130" s="1"/>
      <c r="B1130" s="1">
        <v>959237</v>
      </c>
      <c r="C1130" s="1" t="s">
        <v>3478</v>
      </c>
      <c r="D1130" s="1">
        <v>61363</v>
      </c>
      <c r="E1130" s="2" t="s">
        <v>3479</v>
      </c>
      <c r="F1130" s="2" t="s">
        <v>3460</v>
      </c>
      <c r="G1130" s="2">
        <v>0</v>
      </c>
      <c r="H1130" s="2">
        <v>0</v>
      </c>
      <c r="I1130" s="1">
        <v>0</v>
      </c>
      <c r="J1130" s="3" t="s">
        <v>19</v>
      </c>
      <c r="K1130" s="2" t="str">
        <f>J1130*18616.00</f>
        <v>0</v>
      </c>
      <c r="L1130" s="5"/>
    </row>
    <row r="1131" spans="1:12" outlineLevel="4">
      <c r="A1131" s="1"/>
      <c r="B1131" s="1">
        <v>959238</v>
      </c>
      <c r="C1131" s="1" t="s">
        <v>3480</v>
      </c>
      <c r="D1131" s="1">
        <v>26068</v>
      </c>
      <c r="E1131" s="2" t="s">
        <v>3481</v>
      </c>
      <c r="F1131" s="2" t="s">
        <v>3463</v>
      </c>
      <c r="G1131" s="2">
        <v>0</v>
      </c>
      <c r="H1131" s="2">
        <v>0</v>
      </c>
      <c r="I1131" s="1">
        <v>0</v>
      </c>
      <c r="J1131" s="3" t="s">
        <v>19</v>
      </c>
      <c r="K1131" s="2" t="str">
        <f>J1131*57350.00</f>
        <v>0</v>
      </c>
      <c r="L1131" s="5"/>
    </row>
    <row r="1132" spans="1:12" outlineLevel="2">
      <c r="A1132" s="8" t="s">
        <v>3482</v>
      </c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5"/>
    </row>
    <row r="1133" spans="1:12" outlineLevel="4">
      <c r="A1133" s="1"/>
      <c r="B1133" s="1">
        <v>959239</v>
      </c>
      <c r="C1133" s="1" t="s">
        <v>3483</v>
      </c>
      <c r="D1133" s="1">
        <v>68977</v>
      </c>
      <c r="E1133" s="2" t="s">
        <v>3484</v>
      </c>
      <c r="F1133" s="2" t="s">
        <v>3485</v>
      </c>
      <c r="G1133" s="2">
        <v>0</v>
      </c>
      <c r="H1133" s="2">
        <v>0</v>
      </c>
      <c r="I1133" s="1">
        <v>0</v>
      </c>
      <c r="J1133" s="3" t="s">
        <v>19</v>
      </c>
      <c r="K1133" s="2" t="str">
        <f>J1133*23.70</f>
        <v>0</v>
      </c>
      <c r="L1133" s="5"/>
    </row>
    <row r="1134" spans="1:12" outlineLevel="4">
      <c r="A1134" s="1"/>
      <c r="B1134" s="1">
        <v>959240</v>
      </c>
      <c r="C1134" s="1" t="s">
        <v>3486</v>
      </c>
      <c r="D1134" s="1">
        <v>39023</v>
      </c>
      <c r="E1134" s="2" t="s">
        <v>3487</v>
      </c>
      <c r="F1134" s="2" t="s">
        <v>3488</v>
      </c>
      <c r="G1134" s="2">
        <v>0</v>
      </c>
      <c r="H1134" s="2">
        <v>0</v>
      </c>
      <c r="I1134" s="1">
        <v>0</v>
      </c>
      <c r="J1134" s="3" t="s">
        <v>19</v>
      </c>
      <c r="K1134" s="2" t="str">
        <f>J1134*25.30</f>
        <v>0</v>
      </c>
      <c r="L1134" s="5"/>
    </row>
    <row r="1135" spans="1:12" outlineLevel="4">
      <c r="A1135" s="1"/>
      <c r="B1135" s="1">
        <v>959241</v>
      </c>
      <c r="C1135" s="1" t="s">
        <v>3489</v>
      </c>
      <c r="D1135" s="1">
        <v>19935</v>
      </c>
      <c r="E1135" s="2" t="s">
        <v>3490</v>
      </c>
      <c r="F1135" s="2" t="s">
        <v>3491</v>
      </c>
      <c r="G1135" s="2">
        <v>0</v>
      </c>
      <c r="H1135" s="2">
        <v>0</v>
      </c>
      <c r="I1135" s="1">
        <v>0</v>
      </c>
      <c r="J1135" s="3" t="s">
        <v>19</v>
      </c>
      <c r="K1135" s="2" t="str">
        <f>J1135*63.40</f>
        <v>0</v>
      </c>
      <c r="L1135" s="5"/>
    </row>
    <row r="1136" spans="1:12" outlineLevel="4">
      <c r="A1136" s="1"/>
      <c r="B1136" s="1">
        <v>959242</v>
      </c>
      <c r="C1136" s="1" t="s">
        <v>3492</v>
      </c>
      <c r="D1136" s="1">
        <v>31852</v>
      </c>
      <c r="E1136" s="2" t="s">
        <v>3493</v>
      </c>
      <c r="F1136" s="2" t="s">
        <v>3494</v>
      </c>
      <c r="G1136" s="2">
        <v>0</v>
      </c>
      <c r="H1136" s="2">
        <v>0</v>
      </c>
      <c r="I1136" s="1">
        <v>0</v>
      </c>
      <c r="J1136" s="3" t="s">
        <v>19</v>
      </c>
      <c r="K1136" s="2" t="str">
        <f>J1136*20.50</f>
        <v>0</v>
      </c>
      <c r="L1136" s="5"/>
    </row>
    <row r="1137" spans="1:12" outlineLevel="4">
      <c r="A1137" s="1"/>
      <c r="B1137" s="1">
        <v>959243</v>
      </c>
      <c r="C1137" s="1" t="s">
        <v>3495</v>
      </c>
      <c r="D1137" s="1">
        <v>35028</v>
      </c>
      <c r="E1137" s="2" t="s">
        <v>3496</v>
      </c>
      <c r="F1137" s="2" t="s">
        <v>3497</v>
      </c>
      <c r="G1137" s="2">
        <v>0</v>
      </c>
      <c r="H1137" s="2">
        <v>0</v>
      </c>
      <c r="I1137" s="1">
        <v>0</v>
      </c>
      <c r="J1137" s="3" t="s">
        <v>19</v>
      </c>
      <c r="K1137" s="2" t="str">
        <f>J1137*3255.00</f>
        <v>0</v>
      </c>
      <c r="L1137" s="5"/>
    </row>
    <row r="1138" spans="1:12" outlineLevel="4">
      <c r="A1138" s="1"/>
      <c r="B1138" s="1">
        <v>959244</v>
      </c>
      <c r="C1138" s="1" t="s">
        <v>3498</v>
      </c>
      <c r="D1138" s="1">
        <v>14682</v>
      </c>
      <c r="E1138" s="2" t="s">
        <v>3499</v>
      </c>
      <c r="F1138" s="2" t="s">
        <v>3500</v>
      </c>
      <c r="G1138" s="2">
        <v>0</v>
      </c>
      <c r="H1138" s="2">
        <v>0</v>
      </c>
      <c r="I1138" s="1">
        <v>0</v>
      </c>
      <c r="J1138" s="3" t="s">
        <v>19</v>
      </c>
      <c r="K1138" s="2" t="str">
        <f>J1138*7922.00</f>
        <v>0</v>
      </c>
      <c r="L1138" s="5"/>
    </row>
    <row r="1139" spans="1:12" outlineLevel="4">
      <c r="A1139" s="1"/>
      <c r="B1139" s="1">
        <v>959245</v>
      </c>
      <c r="C1139" s="1" t="s">
        <v>3501</v>
      </c>
      <c r="D1139" s="1">
        <v>75618</v>
      </c>
      <c r="E1139" s="2" t="s">
        <v>3502</v>
      </c>
      <c r="F1139" s="2" t="s">
        <v>3503</v>
      </c>
      <c r="G1139" s="2">
        <v>0</v>
      </c>
      <c r="H1139" s="2">
        <v>0</v>
      </c>
      <c r="I1139" s="1">
        <v>0</v>
      </c>
      <c r="J1139" s="3" t="s">
        <v>19</v>
      </c>
      <c r="K1139" s="2" t="str">
        <f>J1139*13370.00</f>
        <v>0</v>
      </c>
      <c r="L1139" s="5"/>
    </row>
    <row r="1140" spans="1:12" outlineLevel="4">
      <c r="A1140" s="1"/>
      <c r="B1140" s="1">
        <v>959246</v>
      </c>
      <c r="C1140" s="1" t="s">
        <v>3504</v>
      </c>
      <c r="D1140" s="1">
        <v>22988</v>
      </c>
      <c r="E1140" s="2" t="s">
        <v>3505</v>
      </c>
      <c r="F1140" s="2" t="s">
        <v>3506</v>
      </c>
      <c r="G1140" s="2">
        <v>0</v>
      </c>
      <c r="H1140" s="2">
        <v>0</v>
      </c>
      <c r="I1140" s="1">
        <v>0</v>
      </c>
      <c r="J1140" s="3" t="s">
        <v>19</v>
      </c>
      <c r="K1140" s="2" t="str">
        <f>J1140*39411.00</f>
        <v>0</v>
      </c>
      <c r="L1140" s="5"/>
    </row>
    <row r="1141" spans="1:12" outlineLevel="1">
      <c r="A1141" s="7" t="s">
        <v>3507</v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  <c r="L1141" s="5"/>
    </row>
    <row r="1142" spans="1:12" outlineLevel="2">
      <c r="A1142" s="8" t="s">
        <v>3508</v>
      </c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5"/>
    </row>
    <row r="1143" spans="1:12" customHeight="1" ht="105" outlineLevel="4">
      <c r="A1143" s="1"/>
      <c r="B1143" s="1">
        <v>888492</v>
      </c>
      <c r="C1143" s="1" t="s">
        <v>3509</v>
      </c>
      <c r="D1143" s="1" t="s">
        <v>3510</v>
      </c>
      <c r="E1143" s="2" t="s">
        <v>3511</v>
      </c>
      <c r="F1143" s="2" t="s">
        <v>3512</v>
      </c>
      <c r="G1143" s="2">
        <v>0</v>
      </c>
      <c r="H1143" s="2">
        <v>0</v>
      </c>
      <c r="I1143" s="1">
        <v>0</v>
      </c>
      <c r="J1143" s="3" t="s">
        <v>19</v>
      </c>
      <c r="K1143" s="2" t="str">
        <f>J1143*17184.30</f>
        <v>0</v>
      </c>
      <c r="L1143" s="5"/>
    </row>
    <row r="1144" spans="1:12" customHeight="1" ht="105" outlineLevel="4">
      <c r="A1144" s="1"/>
      <c r="B1144" s="1">
        <v>888493</v>
      </c>
      <c r="C1144" s="1" t="s">
        <v>3513</v>
      </c>
      <c r="D1144" s="1" t="s">
        <v>3514</v>
      </c>
      <c r="E1144" s="2" t="s">
        <v>3515</v>
      </c>
      <c r="F1144" s="2" t="s">
        <v>3516</v>
      </c>
      <c r="G1144" s="2">
        <v>1</v>
      </c>
      <c r="H1144" s="2">
        <v>0</v>
      </c>
      <c r="I1144" s="1">
        <v>0</v>
      </c>
      <c r="J1144" s="3" t="s">
        <v>19</v>
      </c>
      <c r="K1144" s="2" t="str">
        <f>J1144*17626.77</f>
        <v>0</v>
      </c>
      <c r="L1144" s="5"/>
    </row>
    <row r="1145" spans="1:12" customHeight="1" ht="105" outlineLevel="4">
      <c r="A1145" s="1"/>
      <c r="B1145" s="1">
        <v>888494</v>
      </c>
      <c r="C1145" s="1" t="s">
        <v>3517</v>
      </c>
      <c r="D1145" s="1" t="s">
        <v>3518</v>
      </c>
      <c r="E1145" s="2" t="s">
        <v>3519</v>
      </c>
      <c r="F1145" s="2" t="s">
        <v>3520</v>
      </c>
      <c r="G1145" s="2">
        <v>1</v>
      </c>
      <c r="H1145" s="2">
        <v>0</v>
      </c>
      <c r="I1145" s="1">
        <v>0</v>
      </c>
      <c r="J1145" s="3" t="s">
        <v>19</v>
      </c>
      <c r="K1145" s="2" t="str">
        <f>J1145*13981.17</f>
        <v>0</v>
      </c>
      <c r="L1145" s="5"/>
    </row>
    <row r="1146" spans="1:12" outlineLevel="2">
      <c r="A1146" s="8" t="s">
        <v>3521</v>
      </c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5"/>
    </row>
    <row r="1147" spans="1:12" customHeight="1" ht="105" outlineLevel="4">
      <c r="A1147" s="1"/>
      <c r="B1147" s="1">
        <v>956583</v>
      </c>
      <c r="C1147" s="1" t="s">
        <v>3522</v>
      </c>
      <c r="D1147" s="1" t="s">
        <v>3523</v>
      </c>
      <c r="E1147" s="2" t="s">
        <v>3524</v>
      </c>
      <c r="F1147" s="2" t="s">
        <v>1854</v>
      </c>
      <c r="G1147" s="2">
        <v>5</v>
      </c>
      <c r="H1147" s="2">
        <v>0</v>
      </c>
      <c r="I1147" s="1">
        <v>0</v>
      </c>
      <c r="J1147" s="3" t="s">
        <v>19</v>
      </c>
      <c r="K1147" s="2" t="str">
        <f>J1147*21017.66</f>
        <v>0</v>
      </c>
      <c r="L1147" s="5"/>
    </row>
    <row r="1148" spans="1:12" outlineLevel="1">
      <c r="A1148" s="7" t="s">
        <v>3525</v>
      </c>
      <c r="B1148" s="7"/>
      <c r="C1148" s="7"/>
      <c r="D1148" s="7"/>
      <c r="E1148" s="7"/>
      <c r="F1148" s="7"/>
      <c r="G1148" s="7"/>
      <c r="H1148" s="7"/>
      <c r="I1148" s="7"/>
      <c r="J1148" s="7"/>
      <c r="K1148" s="7"/>
      <c r="L1148" s="5"/>
    </row>
    <row r="1149" spans="1:12" outlineLevel="2">
      <c r="A1149" s="8" t="s">
        <v>3526</v>
      </c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5"/>
    </row>
    <row r="1150" spans="1:12" outlineLevel="4">
      <c r="A1150" s="1"/>
      <c r="B1150" s="1">
        <v>958872</v>
      </c>
      <c r="C1150" s="1" t="s">
        <v>3527</v>
      </c>
      <c r="D1150" s="1">
        <v>17998</v>
      </c>
      <c r="E1150" s="2" t="s">
        <v>3528</v>
      </c>
      <c r="F1150" s="2" t="s">
        <v>3529</v>
      </c>
      <c r="G1150" s="2">
        <v>0</v>
      </c>
      <c r="H1150" s="2">
        <v>0</v>
      </c>
      <c r="I1150" s="1">
        <v>0</v>
      </c>
      <c r="J1150" s="3" t="s">
        <v>19</v>
      </c>
      <c r="K1150" s="2" t="str">
        <f>J1150*17245.00</f>
        <v>0</v>
      </c>
      <c r="L1150" s="5"/>
    </row>
    <row r="1151" spans="1:12" outlineLevel="4">
      <c r="A1151" s="1"/>
      <c r="B1151" s="1">
        <v>958873</v>
      </c>
      <c r="C1151" s="1" t="s">
        <v>3530</v>
      </c>
      <c r="D1151" s="1">
        <v>80788</v>
      </c>
      <c r="E1151" s="2" t="s">
        <v>3531</v>
      </c>
      <c r="F1151" s="2" t="s">
        <v>3532</v>
      </c>
      <c r="G1151" s="2">
        <v>0</v>
      </c>
      <c r="H1151" s="2">
        <v>0</v>
      </c>
      <c r="I1151" s="1">
        <v>0</v>
      </c>
      <c r="J1151" s="3" t="s">
        <v>19</v>
      </c>
      <c r="K1151" s="2" t="str">
        <f>J1151*24332.00</f>
        <v>0</v>
      </c>
      <c r="L1151" s="5"/>
    </row>
    <row r="1152" spans="1:12" outlineLevel="4">
      <c r="A1152" s="1"/>
      <c r="B1152" s="1">
        <v>958874</v>
      </c>
      <c r="C1152" s="1" t="s">
        <v>3533</v>
      </c>
      <c r="D1152" s="1">
        <v>70866</v>
      </c>
      <c r="E1152" s="2" t="s">
        <v>3534</v>
      </c>
      <c r="F1152" s="2" t="s">
        <v>3535</v>
      </c>
      <c r="G1152" s="2">
        <v>0</v>
      </c>
      <c r="H1152" s="2">
        <v>0</v>
      </c>
      <c r="I1152" s="1">
        <v>0</v>
      </c>
      <c r="J1152" s="3" t="s">
        <v>19</v>
      </c>
      <c r="K1152" s="2" t="str">
        <f>J1152*11089.00</f>
        <v>0</v>
      </c>
      <c r="L1152" s="5"/>
    </row>
    <row r="1153" spans="1:12" outlineLevel="4">
      <c r="A1153" s="1"/>
      <c r="B1153" s="1">
        <v>958875</v>
      </c>
      <c r="C1153" s="1" t="s">
        <v>3536</v>
      </c>
      <c r="D1153" s="1">
        <v>91009</v>
      </c>
      <c r="E1153" s="2" t="s">
        <v>3537</v>
      </c>
      <c r="F1153" s="2" t="s">
        <v>3538</v>
      </c>
      <c r="G1153" s="2">
        <v>0</v>
      </c>
      <c r="H1153" s="2">
        <v>0</v>
      </c>
      <c r="I1153" s="1">
        <v>0</v>
      </c>
      <c r="J1153" s="3" t="s">
        <v>19</v>
      </c>
      <c r="K1153" s="2" t="str">
        <f>J1153*11665.00</f>
        <v>0</v>
      </c>
      <c r="L1153" s="5"/>
    </row>
    <row r="1154" spans="1:12" outlineLevel="4">
      <c r="A1154" s="1"/>
      <c r="B1154" s="1">
        <v>958876</v>
      </c>
      <c r="C1154" s="1" t="s">
        <v>3539</v>
      </c>
      <c r="D1154" s="1">
        <v>43309</v>
      </c>
      <c r="E1154" s="2" t="s">
        <v>3540</v>
      </c>
      <c r="F1154" s="2" t="s">
        <v>3541</v>
      </c>
      <c r="G1154" s="2">
        <v>0</v>
      </c>
      <c r="H1154" s="2">
        <v>0</v>
      </c>
      <c r="I1154" s="1">
        <v>0</v>
      </c>
      <c r="J1154" s="3" t="s">
        <v>19</v>
      </c>
      <c r="K1154" s="2" t="str">
        <f>J1154*13736.00</f>
        <v>0</v>
      </c>
      <c r="L1154" s="5"/>
    </row>
    <row r="1155" spans="1:12" outlineLevel="4">
      <c r="A1155" s="1"/>
      <c r="B1155" s="1">
        <v>958877</v>
      </c>
      <c r="C1155" s="1" t="s">
        <v>3542</v>
      </c>
      <c r="D1155" s="1">
        <v>66305</v>
      </c>
      <c r="E1155" s="2" t="s">
        <v>3543</v>
      </c>
      <c r="F1155" s="2" t="s">
        <v>3544</v>
      </c>
      <c r="G1155" s="2">
        <v>0</v>
      </c>
      <c r="H1155" s="2">
        <v>0</v>
      </c>
      <c r="I1155" s="1">
        <v>0</v>
      </c>
      <c r="J1155" s="3" t="s">
        <v>19</v>
      </c>
      <c r="K1155" s="2" t="str">
        <f>J1155*15342.00</f>
        <v>0</v>
      </c>
      <c r="L1155" s="5"/>
    </row>
    <row r="1156" spans="1:12" outlineLevel="4">
      <c r="A1156" s="1"/>
      <c r="B1156" s="1">
        <v>958878</v>
      </c>
      <c r="C1156" s="1" t="s">
        <v>3545</v>
      </c>
      <c r="D1156" s="1">
        <v>12153</v>
      </c>
      <c r="E1156" s="2" t="s">
        <v>3546</v>
      </c>
      <c r="F1156" s="2" t="s">
        <v>3547</v>
      </c>
      <c r="G1156" s="2">
        <v>0</v>
      </c>
      <c r="H1156" s="2">
        <v>0</v>
      </c>
      <c r="I1156" s="1">
        <v>0</v>
      </c>
      <c r="J1156" s="3" t="s">
        <v>19</v>
      </c>
      <c r="K1156" s="2" t="str">
        <f>J1156*16320.00</f>
        <v>0</v>
      </c>
      <c r="L1156" s="5"/>
    </row>
    <row r="1157" spans="1:12" outlineLevel="4">
      <c r="A1157" s="1"/>
      <c r="B1157" s="1">
        <v>958879</v>
      </c>
      <c r="C1157" s="1" t="s">
        <v>3548</v>
      </c>
      <c r="D1157" s="1">
        <v>86556</v>
      </c>
      <c r="E1157" s="2" t="s">
        <v>3549</v>
      </c>
      <c r="F1157" s="2" t="s">
        <v>3550</v>
      </c>
      <c r="G1157" s="2">
        <v>0</v>
      </c>
      <c r="H1157" s="2">
        <v>0</v>
      </c>
      <c r="I1157" s="1">
        <v>0</v>
      </c>
      <c r="J1157" s="3" t="s">
        <v>19</v>
      </c>
      <c r="K1157" s="2" t="str">
        <f>J1157*59200.00</f>
        <v>0</v>
      </c>
      <c r="L1157" s="5"/>
    </row>
    <row r="1158" spans="1:12" outlineLevel="4">
      <c r="A1158" s="1"/>
      <c r="B1158" s="1">
        <v>958880</v>
      </c>
      <c r="C1158" s="1" t="s">
        <v>3551</v>
      </c>
      <c r="D1158" s="1">
        <v>60045</v>
      </c>
      <c r="E1158" s="2" t="s">
        <v>3552</v>
      </c>
      <c r="F1158" s="2" t="s">
        <v>3553</v>
      </c>
      <c r="G1158" s="2">
        <v>0</v>
      </c>
      <c r="H1158" s="2">
        <v>0</v>
      </c>
      <c r="I1158" s="1">
        <v>0</v>
      </c>
      <c r="J1158" s="3" t="s">
        <v>19</v>
      </c>
      <c r="K1158" s="2" t="str">
        <f>J1158*69749.00</f>
        <v>0</v>
      </c>
      <c r="L1158" s="5"/>
    </row>
    <row r="1159" spans="1:12" outlineLevel="4">
      <c r="A1159" s="1"/>
      <c r="B1159" s="1">
        <v>958881</v>
      </c>
      <c r="C1159" s="1" t="s">
        <v>3554</v>
      </c>
      <c r="D1159" s="1">
        <v>65299</v>
      </c>
      <c r="E1159" s="2" t="s">
        <v>3555</v>
      </c>
      <c r="F1159" s="2" t="s">
        <v>3556</v>
      </c>
      <c r="G1159" s="2">
        <v>0</v>
      </c>
      <c r="H1159" s="2">
        <v>0</v>
      </c>
      <c r="I1159" s="1">
        <v>0</v>
      </c>
      <c r="J1159" s="3" t="s">
        <v>19</v>
      </c>
      <c r="K1159" s="2" t="str">
        <f>J1159*24228.00</f>
        <v>0</v>
      </c>
      <c r="L1159" s="5"/>
    </row>
    <row r="1160" spans="1:12" outlineLevel="4">
      <c r="A1160" s="1"/>
      <c r="B1160" s="1">
        <v>958882</v>
      </c>
      <c r="C1160" s="1" t="s">
        <v>3557</v>
      </c>
      <c r="D1160" s="1">
        <v>92821</v>
      </c>
      <c r="E1160" s="2" t="s">
        <v>3558</v>
      </c>
      <c r="F1160" s="2" t="s">
        <v>3559</v>
      </c>
      <c r="G1160" s="2">
        <v>0</v>
      </c>
      <c r="H1160" s="2">
        <v>0</v>
      </c>
      <c r="I1160" s="1">
        <v>0</v>
      </c>
      <c r="J1160" s="3" t="s">
        <v>19</v>
      </c>
      <c r="K1160" s="2" t="str">
        <f>J1160*30966.00</f>
        <v>0</v>
      </c>
      <c r="L1160" s="5"/>
    </row>
    <row r="1161" spans="1:12" outlineLevel="4">
      <c r="A1161" s="1"/>
      <c r="B1161" s="1">
        <v>958883</v>
      </c>
      <c r="C1161" s="1" t="s">
        <v>3560</v>
      </c>
      <c r="D1161" s="1">
        <v>17136</v>
      </c>
      <c r="E1161" s="2" t="s">
        <v>3561</v>
      </c>
      <c r="F1161" s="2" t="s">
        <v>3562</v>
      </c>
      <c r="G1161" s="2">
        <v>0</v>
      </c>
      <c r="H1161" s="2">
        <v>0</v>
      </c>
      <c r="I1161" s="1">
        <v>0</v>
      </c>
      <c r="J1161" s="3" t="s">
        <v>19</v>
      </c>
      <c r="K1161" s="2" t="str">
        <f>J1161*29174.00</f>
        <v>0</v>
      </c>
      <c r="L1161" s="5"/>
    </row>
    <row r="1162" spans="1:12" outlineLevel="4">
      <c r="A1162" s="1"/>
      <c r="B1162" s="1">
        <v>958884</v>
      </c>
      <c r="C1162" s="1" t="s">
        <v>3563</v>
      </c>
      <c r="D1162" s="1">
        <v>34633</v>
      </c>
      <c r="E1162" s="2" t="s">
        <v>3564</v>
      </c>
      <c r="F1162" s="2" t="s">
        <v>3565</v>
      </c>
      <c r="G1162" s="2">
        <v>0</v>
      </c>
      <c r="H1162" s="2">
        <v>0</v>
      </c>
      <c r="I1162" s="1">
        <v>0</v>
      </c>
      <c r="J1162" s="3" t="s">
        <v>19</v>
      </c>
      <c r="K1162" s="2" t="str">
        <f>J1162*32619.00</f>
        <v>0</v>
      </c>
      <c r="L1162" s="5"/>
    </row>
    <row r="1163" spans="1:12" outlineLevel="4">
      <c r="A1163" s="1"/>
      <c r="B1163" s="1">
        <v>958885</v>
      </c>
      <c r="C1163" s="1" t="s">
        <v>3566</v>
      </c>
      <c r="D1163" s="1">
        <v>25180</v>
      </c>
      <c r="E1163" s="2" t="s">
        <v>3567</v>
      </c>
      <c r="F1163" s="2" t="s">
        <v>3568</v>
      </c>
      <c r="G1163" s="2">
        <v>0</v>
      </c>
      <c r="H1163" s="2">
        <v>0</v>
      </c>
      <c r="I1163" s="1">
        <v>0</v>
      </c>
      <c r="J1163" s="3" t="s">
        <v>19</v>
      </c>
      <c r="K1163" s="2" t="str">
        <f>J1163*84738.00</f>
        <v>0</v>
      </c>
      <c r="L1163" s="5"/>
    </row>
    <row r="1164" spans="1:12" outlineLevel="4">
      <c r="A1164" s="1"/>
      <c r="B1164" s="1">
        <v>958886</v>
      </c>
      <c r="C1164" s="1" t="s">
        <v>3569</v>
      </c>
      <c r="D1164" s="1">
        <v>61017</v>
      </c>
      <c r="E1164" s="2" t="s">
        <v>3570</v>
      </c>
      <c r="F1164" s="2" t="s">
        <v>3571</v>
      </c>
      <c r="G1164" s="2">
        <v>0</v>
      </c>
      <c r="H1164" s="2">
        <v>0</v>
      </c>
      <c r="I1164" s="1">
        <v>0</v>
      </c>
      <c r="J1164" s="3" t="s">
        <v>19</v>
      </c>
      <c r="K1164" s="2" t="str">
        <f>J1164*32511.00</f>
        <v>0</v>
      </c>
      <c r="L1164" s="5"/>
    </row>
    <row r="1165" spans="1:12" outlineLevel="4">
      <c r="A1165" s="1"/>
      <c r="B1165" s="1">
        <v>958887</v>
      </c>
      <c r="C1165" s="1" t="s">
        <v>3572</v>
      </c>
      <c r="D1165" s="1">
        <v>66281</v>
      </c>
      <c r="E1165" s="2" t="s">
        <v>3573</v>
      </c>
      <c r="F1165" s="2" t="s">
        <v>3574</v>
      </c>
      <c r="G1165" s="2">
        <v>0</v>
      </c>
      <c r="H1165" s="2">
        <v>0</v>
      </c>
      <c r="I1165" s="1">
        <v>0</v>
      </c>
      <c r="J1165" s="3" t="s">
        <v>19</v>
      </c>
      <c r="K1165" s="2" t="str">
        <f>J1165*46116.00</f>
        <v>0</v>
      </c>
      <c r="L1165" s="5"/>
    </row>
    <row r="1166" spans="1:12" outlineLevel="4">
      <c r="A1166" s="1"/>
      <c r="B1166" s="1">
        <v>958888</v>
      </c>
      <c r="C1166" s="1" t="s">
        <v>3575</v>
      </c>
      <c r="D1166" s="1">
        <v>14347</v>
      </c>
      <c r="E1166" s="2" t="s">
        <v>3576</v>
      </c>
      <c r="F1166" s="2" t="s">
        <v>3577</v>
      </c>
      <c r="G1166" s="2">
        <v>0</v>
      </c>
      <c r="H1166" s="2">
        <v>0</v>
      </c>
      <c r="I1166" s="1">
        <v>0</v>
      </c>
      <c r="J1166" s="3" t="s">
        <v>19</v>
      </c>
      <c r="K1166" s="2" t="str">
        <f>J1166*49341.00</f>
        <v>0</v>
      </c>
      <c r="L1166" s="5"/>
    </row>
    <row r="1167" spans="1:12" outlineLevel="4">
      <c r="A1167" s="1"/>
      <c r="B1167" s="1">
        <v>958889</v>
      </c>
      <c r="C1167" s="1" t="s">
        <v>3578</v>
      </c>
      <c r="D1167" s="1">
        <v>19382</v>
      </c>
      <c r="E1167" s="2" t="s">
        <v>3579</v>
      </c>
      <c r="F1167" s="2" t="s">
        <v>3580</v>
      </c>
      <c r="G1167" s="2">
        <v>0</v>
      </c>
      <c r="H1167" s="2">
        <v>0</v>
      </c>
      <c r="I1167" s="1">
        <v>0</v>
      </c>
      <c r="J1167" s="3" t="s">
        <v>19</v>
      </c>
      <c r="K1167" s="2" t="str">
        <f>J1167*54888.00</f>
        <v>0</v>
      </c>
      <c r="L1167" s="5"/>
    </row>
    <row r="1168" spans="1:12" outlineLevel="4">
      <c r="A1168" s="1"/>
      <c r="B1168" s="1">
        <v>958890</v>
      </c>
      <c r="C1168" s="1" t="s">
        <v>3581</v>
      </c>
      <c r="D1168" s="1">
        <v>45371</v>
      </c>
      <c r="E1168" s="2" t="s">
        <v>3582</v>
      </c>
      <c r="F1168" s="2" t="s">
        <v>3583</v>
      </c>
      <c r="G1168" s="2">
        <v>0</v>
      </c>
      <c r="H1168" s="2">
        <v>0</v>
      </c>
      <c r="I1168" s="1">
        <v>0</v>
      </c>
      <c r="J1168" s="3" t="s">
        <v>19</v>
      </c>
      <c r="K1168" s="2" t="str">
        <f>J1168*15995.00</f>
        <v>0</v>
      </c>
      <c r="L1168" s="5"/>
    </row>
    <row r="1169" spans="1:12" outlineLevel="4">
      <c r="A1169" s="1"/>
      <c r="B1169" s="1">
        <v>958891</v>
      </c>
      <c r="C1169" s="1" t="s">
        <v>3584</v>
      </c>
      <c r="D1169" s="1">
        <v>37780</v>
      </c>
      <c r="E1169" s="2" t="s">
        <v>3585</v>
      </c>
      <c r="F1169" s="2" t="s">
        <v>3586</v>
      </c>
      <c r="G1169" s="2">
        <v>0</v>
      </c>
      <c r="H1169" s="2">
        <v>0</v>
      </c>
      <c r="I1169" s="1">
        <v>0</v>
      </c>
      <c r="J1169" s="3" t="s">
        <v>19</v>
      </c>
      <c r="K1169" s="2" t="str">
        <f>J1169*21239.00</f>
        <v>0</v>
      </c>
      <c r="L1169" s="5"/>
    </row>
    <row r="1170" spans="1:12" outlineLevel="4">
      <c r="A1170" s="1"/>
      <c r="B1170" s="1">
        <v>958892</v>
      </c>
      <c r="C1170" s="1" t="s">
        <v>3587</v>
      </c>
      <c r="D1170" s="1">
        <v>56454</v>
      </c>
      <c r="E1170" s="2" t="s">
        <v>3588</v>
      </c>
      <c r="F1170" s="2" t="s">
        <v>3589</v>
      </c>
      <c r="G1170" s="2">
        <v>0</v>
      </c>
      <c r="H1170" s="2">
        <v>0</v>
      </c>
      <c r="I1170" s="1">
        <v>0</v>
      </c>
      <c r="J1170" s="3" t="s">
        <v>19</v>
      </c>
      <c r="K1170" s="2" t="str">
        <f>J1170*15604.00</f>
        <v>0</v>
      </c>
      <c r="L1170" s="5"/>
    </row>
    <row r="1171" spans="1:12" outlineLevel="4">
      <c r="A1171" s="1"/>
      <c r="B1171" s="1">
        <v>958893</v>
      </c>
      <c r="C1171" s="1" t="s">
        <v>3590</v>
      </c>
      <c r="D1171" s="1">
        <v>54192</v>
      </c>
      <c r="E1171" s="2" t="s">
        <v>3591</v>
      </c>
      <c r="F1171" s="2" t="s">
        <v>3592</v>
      </c>
      <c r="G1171" s="2">
        <v>0</v>
      </c>
      <c r="H1171" s="2">
        <v>0</v>
      </c>
      <c r="I1171" s="1">
        <v>0</v>
      </c>
      <c r="J1171" s="3" t="s">
        <v>19</v>
      </c>
      <c r="K1171" s="2" t="str">
        <f>J1171*15388.00</f>
        <v>0</v>
      </c>
      <c r="L1171" s="5"/>
    </row>
    <row r="1172" spans="1:12" outlineLevel="4">
      <c r="A1172" s="1"/>
      <c r="B1172" s="1">
        <v>958894</v>
      </c>
      <c r="C1172" s="1" t="s">
        <v>3593</v>
      </c>
      <c r="D1172" s="1">
        <v>40525</v>
      </c>
      <c r="E1172" s="2" t="s">
        <v>3594</v>
      </c>
      <c r="F1172" s="2" t="s">
        <v>3595</v>
      </c>
      <c r="G1172" s="2">
        <v>0</v>
      </c>
      <c r="H1172" s="2">
        <v>0</v>
      </c>
      <c r="I1172" s="1">
        <v>0</v>
      </c>
      <c r="J1172" s="3" t="s">
        <v>19</v>
      </c>
      <c r="K1172" s="2" t="str">
        <f>J1172*17642.00</f>
        <v>0</v>
      </c>
      <c r="L1172" s="5"/>
    </row>
    <row r="1173" spans="1:12" outlineLevel="4">
      <c r="A1173" s="1"/>
      <c r="B1173" s="1">
        <v>958895</v>
      </c>
      <c r="C1173" s="1" t="s">
        <v>3596</v>
      </c>
      <c r="D1173" s="1">
        <v>56058</v>
      </c>
      <c r="E1173" s="2" t="s">
        <v>3597</v>
      </c>
      <c r="F1173" s="2" t="s">
        <v>3598</v>
      </c>
      <c r="G1173" s="2">
        <v>0</v>
      </c>
      <c r="H1173" s="2">
        <v>0</v>
      </c>
      <c r="I1173" s="1">
        <v>0</v>
      </c>
      <c r="J1173" s="3" t="s">
        <v>19</v>
      </c>
      <c r="K1173" s="2" t="str">
        <f>J1173*27961.00</f>
        <v>0</v>
      </c>
      <c r="L1173" s="5"/>
    </row>
    <row r="1174" spans="1:12" outlineLevel="4">
      <c r="A1174" s="1"/>
      <c r="B1174" s="1">
        <v>958896</v>
      </c>
      <c r="C1174" s="1" t="s">
        <v>3599</v>
      </c>
      <c r="D1174" s="1">
        <v>74318</v>
      </c>
      <c r="E1174" s="2" t="s">
        <v>3600</v>
      </c>
      <c r="F1174" s="2" t="s">
        <v>3601</v>
      </c>
      <c r="G1174" s="2">
        <v>0</v>
      </c>
      <c r="H1174" s="2">
        <v>0</v>
      </c>
      <c r="I1174" s="1">
        <v>0</v>
      </c>
      <c r="J1174" s="3" t="s">
        <v>19</v>
      </c>
      <c r="K1174" s="2" t="str">
        <f>J1174*30691.00</f>
        <v>0</v>
      </c>
      <c r="L1174" s="5"/>
    </row>
    <row r="1175" spans="1:12" outlineLevel="4">
      <c r="A1175" s="1"/>
      <c r="B1175" s="1">
        <v>958897</v>
      </c>
      <c r="C1175" s="1" t="s">
        <v>3602</v>
      </c>
      <c r="D1175" s="1">
        <v>91275</v>
      </c>
      <c r="E1175" s="2" t="s">
        <v>3603</v>
      </c>
      <c r="F1175" s="2" t="s">
        <v>3604</v>
      </c>
      <c r="G1175" s="2">
        <v>0</v>
      </c>
      <c r="H1175" s="2">
        <v>0</v>
      </c>
      <c r="I1175" s="1">
        <v>0</v>
      </c>
      <c r="J1175" s="3" t="s">
        <v>19</v>
      </c>
      <c r="K1175" s="2" t="str">
        <f>J1175*38264.00</f>
        <v>0</v>
      </c>
      <c r="L1175" s="5"/>
    </row>
    <row r="1176" spans="1:12" outlineLevel="4">
      <c r="A1176" s="1"/>
      <c r="B1176" s="1">
        <v>958898</v>
      </c>
      <c r="C1176" s="1" t="s">
        <v>3605</v>
      </c>
      <c r="D1176" s="1">
        <v>82258</v>
      </c>
      <c r="E1176" s="2" t="s">
        <v>3606</v>
      </c>
      <c r="F1176" s="2" t="s">
        <v>3607</v>
      </c>
      <c r="G1176" s="2">
        <v>0</v>
      </c>
      <c r="H1176" s="2">
        <v>0</v>
      </c>
      <c r="I1176" s="1">
        <v>0</v>
      </c>
      <c r="J1176" s="3" t="s">
        <v>19</v>
      </c>
      <c r="K1176" s="2" t="str">
        <f>J1176*41775.00</f>
        <v>0</v>
      </c>
      <c r="L1176" s="5"/>
    </row>
    <row r="1177" spans="1:12" outlineLevel="4">
      <c r="A1177" s="1"/>
      <c r="B1177" s="1">
        <v>958899</v>
      </c>
      <c r="C1177" s="1" t="s">
        <v>3608</v>
      </c>
      <c r="D1177" s="1">
        <v>84615</v>
      </c>
      <c r="E1177" s="2" t="s">
        <v>3609</v>
      </c>
      <c r="F1177" s="2" t="s">
        <v>3610</v>
      </c>
      <c r="G1177" s="2">
        <v>0</v>
      </c>
      <c r="H1177" s="2">
        <v>0</v>
      </c>
      <c r="I1177" s="1">
        <v>0</v>
      </c>
      <c r="J1177" s="3" t="s">
        <v>19</v>
      </c>
      <c r="K1177" s="2" t="str">
        <f>J1177*45504.00</f>
        <v>0</v>
      </c>
      <c r="L1177" s="5"/>
    </row>
    <row r="1178" spans="1:12" outlineLevel="2">
      <c r="A1178" s="8" t="s">
        <v>3611</v>
      </c>
      <c r="B1178" s="8"/>
      <c r="C1178" s="8"/>
      <c r="D1178" s="8"/>
      <c r="E1178" s="8"/>
      <c r="F1178" s="8"/>
      <c r="G1178" s="8"/>
      <c r="H1178" s="8"/>
      <c r="I1178" s="8"/>
      <c r="J1178" s="8"/>
      <c r="K1178" s="8"/>
      <c r="L1178" s="5"/>
    </row>
    <row r="1179" spans="1:12" outlineLevel="4">
      <c r="A1179" s="1"/>
      <c r="B1179" s="1">
        <v>958900</v>
      </c>
      <c r="C1179" s="1" t="s">
        <v>3612</v>
      </c>
      <c r="D1179" s="1">
        <v>82891</v>
      </c>
      <c r="E1179" s="2" t="s">
        <v>3613</v>
      </c>
      <c r="F1179" s="2" t="s">
        <v>3614</v>
      </c>
      <c r="G1179" s="2">
        <v>0</v>
      </c>
      <c r="H1179" s="2">
        <v>0</v>
      </c>
      <c r="I1179" s="1">
        <v>0</v>
      </c>
      <c r="J1179" s="3" t="s">
        <v>19</v>
      </c>
      <c r="K1179" s="2" t="str">
        <f>J1179*41647.00</f>
        <v>0</v>
      </c>
      <c r="L1179" s="5"/>
    </row>
    <row r="1180" spans="1:12" outlineLevel="4">
      <c r="A1180" s="1"/>
      <c r="B1180" s="1">
        <v>958901</v>
      </c>
      <c r="C1180" s="1" t="s">
        <v>3615</v>
      </c>
      <c r="D1180" s="1">
        <v>23819</v>
      </c>
      <c r="E1180" s="2" t="s">
        <v>3616</v>
      </c>
      <c r="F1180" s="2" t="s">
        <v>3617</v>
      </c>
      <c r="G1180" s="2">
        <v>0</v>
      </c>
      <c r="H1180" s="2">
        <v>0</v>
      </c>
      <c r="I1180" s="1">
        <v>0</v>
      </c>
      <c r="J1180" s="3" t="s">
        <v>19</v>
      </c>
      <c r="K1180" s="2" t="str">
        <f>J1180*10260.00</f>
        <v>0</v>
      </c>
      <c r="L1180" s="5"/>
    </row>
    <row r="1181" spans="1:12" outlineLevel="4">
      <c r="A1181" s="1"/>
      <c r="B1181" s="1">
        <v>958902</v>
      </c>
      <c r="C1181" s="1" t="s">
        <v>3618</v>
      </c>
      <c r="D1181" s="1">
        <v>80299</v>
      </c>
      <c r="E1181" s="2" t="s">
        <v>3619</v>
      </c>
      <c r="F1181" s="2" t="s">
        <v>3620</v>
      </c>
      <c r="G1181" s="2">
        <v>0</v>
      </c>
      <c r="H1181" s="2">
        <v>0</v>
      </c>
      <c r="I1181" s="1">
        <v>0</v>
      </c>
      <c r="J1181" s="3" t="s">
        <v>19</v>
      </c>
      <c r="K1181" s="2" t="str">
        <f>J1181*14939.00</f>
        <v>0</v>
      </c>
      <c r="L1181" s="5"/>
    </row>
    <row r="1182" spans="1:12" outlineLevel="4">
      <c r="A1182" s="1"/>
      <c r="B1182" s="1">
        <v>958903</v>
      </c>
      <c r="C1182" s="1" t="s">
        <v>3621</v>
      </c>
      <c r="D1182" s="1">
        <v>41840</v>
      </c>
      <c r="E1182" s="2" t="s">
        <v>3622</v>
      </c>
      <c r="F1182" s="2" t="s">
        <v>3623</v>
      </c>
      <c r="G1182" s="2">
        <v>0</v>
      </c>
      <c r="H1182" s="2">
        <v>0</v>
      </c>
      <c r="I1182" s="1">
        <v>0</v>
      </c>
      <c r="J1182" s="3" t="s">
        <v>19</v>
      </c>
      <c r="K1182" s="2" t="str">
        <f>J1182*17844.00</f>
        <v>0</v>
      </c>
      <c r="L1182" s="5"/>
    </row>
    <row r="1183" spans="1:12" outlineLevel="4">
      <c r="A1183" s="1"/>
      <c r="B1183" s="1">
        <v>958904</v>
      </c>
      <c r="C1183" s="1" t="s">
        <v>3624</v>
      </c>
      <c r="D1183" s="1">
        <v>70314</v>
      </c>
      <c r="E1183" s="2" t="s">
        <v>3625</v>
      </c>
      <c r="F1183" s="2" t="s">
        <v>3626</v>
      </c>
      <c r="G1183" s="2">
        <v>0</v>
      </c>
      <c r="H1183" s="2">
        <v>0</v>
      </c>
      <c r="I1183" s="1">
        <v>0</v>
      </c>
      <c r="J1183" s="3" t="s">
        <v>19</v>
      </c>
      <c r="K1183" s="2" t="str">
        <f>J1183*25587.00</f>
        <v>0</v>
      </c>
      <c r="L1183" s="5"/>
    </row>
    <row r="1184" spans="1:12" outlineLevel="2">
      <c r="A1184" s="8" t="s">
        <v>3627</v>
      </c>
      <c r="B1184" s="8"/>
      <c r="C1184" s="8"/>
      <c r="D1184" s="8"/>
      <c r="E1184" s="8"/>
      <c r="F1184" s="8"/>
      <c r="G1184" s="8"/>
      <c r="H1184" s="8"/>
      <c r="I1184" s="8"/>
      <c r="J1184" s="8"/>
      <c r="K1184" s="8"/>
      <c r="L1184" s="5"/>
    </row>
    <row r="1185" spans="1:12" outlineLevel="4">
      <c r="A1185" s="1"/>
      <c r="B1185" s="1">
        <v>958905</v>
      </c>
      <c r="C1185" s="1" t="s">
        <v>3628</v>
      </c>
      <c r="D1185" s="1">
        <v>51541</v>
      </c>
      <c r="E1185" s="2" t="s">
        <v>3629</v>
      </c>
      <c r="F1185" s="2" t="s">
        <v>3630</v>
      </c>
      <c r="G1185" s="2">
        <v>0</v>
      </c>
      <c r="H1185" s="2">
        <v>0</v>
      </c>
      <c r="I1185" s="1">
        <v>0</v>
      </c>
      <c r="J1185" s="3" t="s">
        <v>19</v>
      </c>
      <c r="K1185" s="2" t="str">
        <f>J1185*24626.00</f>
        <v>0</v>
      </c>
      <c r="L1185" s="5"/>
    </row>
    <row r="1186" spans="1:12" outlineLevel="4">
      <c r="A1186" s="1"/>
      <c r="B1186" s="1">
        <v>958906</v>
      </c>
      <c r="C1186" s="1" t="s">
        <v>3631</v>
      </c>
      <c r="D1186" s="1">
        <v>77071</v>
      </c>
      <c r="E1186" s="2" t="s">
        <v>3632</v>
      </c>
      <c r="F1186" s="2" t="s">
        <v>3633</v>
      </c>
      <c r="G1186" s="2">
        <v>0</v>
      </c>
      <c r="H1186" s="2">
        <v>0</v>
      </c>
      <c r="I1186" s="1">
        <v>0</v>
      </c>
      <c r="J1186" s="3" t="s">
        <v>19</v>
      </c>
      <c r="K1186" s="2" t="str">
        <f>J1186*30258.00</f>
        <v>0</v>
      </c>
      <c r="L1186" s="5"/>
    </row>
    <row r="1187" spans="1:12" outlineLevel="4">
      <c r="A1187" s="1"/>
      <c r="B1187" s="1">
        <v>958907</v>
      </c>
      <c r="C1187" s="1" t="s">
        <v>3634</v>
      </c>
      <c r="D1187" s="1">
        <v>47174</v>
      </c>
      <c r="E1187" s="2" t="s">
        <v>3635</v>
      </c>
      <c r="F1187" s="2" t="s">
        <v>3636</v>
      </c>
      <c r="G1187" s="2">
        <v>0</v>
      </c>
      <c r="H1187" s="2">
        <v>0</v>
      </c>
      <c r="I1187" s="1">
        <v>0</v>
      </c>
      <c r="J1187" s="3" t="s">
        <v>19</v>
      </c>
      <c r="K1187" s="2" t="str">
        <f>J1187*33591.00</f>
        <v>0</v>
      </c>
      <c r="L1187" s="5"/>
    </row>
    <row r="1188" spans="1:12" outlineLevel="4">
      <c r="A1188" s="1"/>
      <c r="B1188" s="1">
        <v>958908</v>
      </c>
      <c r="C1188" s="1" t="s">
        <v>3637</v>
      </c>
      <c r="D1188" s="1">
        <v>14005</v>
      </c>
      <c r="E1188" s="2" t="s">
        <v>3638</v>
      </c>
      <c r="F1188" s="2" t="s">
        <v>3639</v>
      </c>
      <c r="G1188" s="2">
        <v>0</v>
      </c>
      <c r="H1188" s="2">
        <v>0</v>
      </c>
      <c r="I1188" s="1">
        <v>0</v>
      </c>
      <c r="J1188" s="3" t="s">
        <v>19</v>
      </c>
      <c r="K1188" s="2" t="str">
        <f>J1188*34208.00</f>
        <v>0</v>
      </c>
      <c r="L1188" s="5"/>
    </row>
    <row r="1189" spans="1:12" outlineLevel="4">
      <c r="A1189" s="1"/>
      <c r="B1189" s="1">
        <v>958909</v>
      </c>
      <c r="C1189" s="1" t="s">
        <v>3640</v>
      </c>
      <c r="D1189" s="1">
        <v>92118</v>
      </c>
      <c r="E1189" s="2" t="s">
        <v>3641</v>
      </c>
      <c r="F1189" s="2" t="s">
        <v>3642</v>
      </c>
      <c r="G1189" s="2">
        <v>0</v>
      </c>
      <c r="H1189" s="2">
        <v>0</v>
      </c>
      <c r="I1189" s="1">
        <v>0</v>
      </c>
      <c r="J1189" s="3" t="s">
        <v>19</v>
      </c>
      <c r="K1189" s="2" t="str">
        <f>J1189*41437.00</f>
        <v>0</v>
      </c>
      <c r="L1189" s="5"/>
    </row>
    <row r="1190" spans="1:12" outlineLevel="4">
      <c r="A1190" s="1"/>
      <c r="B1190" s="1">
        <v>958910</v>
      </c>
      <c r="C1190" s="1" t="s">
        <v>3643</v>
      </c>
      <c r="D1190" s="1">
        <v>54836</v>
      </c>
      <c r="E1190" s="2" t="s">
        <v>3644</v>
      </c>
      <c r="F1190" s="2" t="s">
        <v>3645</v>
      </c>
      <c r="G1190" s="2">
        <v>0</v>
      </c>
      <c r="H1190" s="2">
        <v>0</v>
      </c>
      <c r="I1190" s="1">
        <v>0</v>
      </c>
      <c r="J1190" s="3" t="s">
        <v>19</v>
      </c>
      <c r="K1190" s="2" t="str">
        <f>J1190*47127.00</f>
        <v>0</v>
      </c>
      <c r="L1190" s="5"/>
    </row>
    <row r="1191" spans="1:12" outlineLevel="4">
      <c r="A1191" s="1"/>
      <c r="B1191" s="1">
        <v>958911</v>
      </c>
      <c r="C1191" s="1" t="s">
        <v>3646</v>
      </c>
      <c r="D1191" s="1">
        <v>77880</v>
      </c>
      <c r="E1191" s="2" t="s">
        <v>3647</v>
      </c>
      <c r="F1191" s="2" t="s">
        <v>3648</v>
      </c>
      <c r="G1191" s="2">
        <v>0</v>
      </c>
      <c r="H1191" s="2">
        <v>0</v>
      </c>
      <c r="I1191" s="1">
        <v>0</v>
      </c>
      <c r="J1191" s="3" t="s">
        <v>19</v>
      </c>
      <c r="K1191" s="2" t="str">
        <f>J1191*53986.00</f>
        <v>0</v>
      </c>
      <c r="L1191" s="5"/>
    </row>
    <row r="1192" spans="1:12" outlineLevel="4">
      <c r="A1192" s="1"/>
      <c r="B1192" s="1">
        <v>958912</v>
      </c>
      <c r="C1192" s="1" t="s">
        <v>3649</v>
      </c>
      <c r="D1192" s="1">
        <v>64119</v>
      </c>
      <c r="E1192" s="2" t="s">
        <v>3650</v>
      </c>
      <c r="F1192" s="2" t="s">
        <v>3651</v>
      </c>
      <c r="G1192" s="2">
        <v>0</v>
      </c>
      <c r="H1192" s="2">
        <v>0</v>
      </c>
      <c r="I1192" s="1">
        <v>0</v>
      </c>
      <c r="J1192" s="3" t="s">
        <v>19</v>
      </c>
      <c r="K1192" s="2" t="str">
        <f>J1192*17592.00</f>
        <v>0</v>
      </c>
      <c r="L1192" s="5"/>
    </row>
    <row r="1193" spans="1:12" outlineLevel="4">
      <c r="A1193" s="1"/>
      <c r="B1193" s="1">
        <v>958913</v>
      </c>
      <c r="C1193" s="1" t="s">
        <v>3652</v>
      </c>
      <c r="D1193" s="1">
        <v>35617</v>
      </c>
      <c r="E1193" s="2" t="s">
        <v>3653</v>
      </c>
      <c r="F1193" s="2" t="s">
        <v>3654</v>
      </c>
      <c r="G1193" s="2">
        <v>0</v>
      </c>
      <c r="H1193" s="2">
        <v>0</v>
      </c>
      <c r="I1193" s="1">
        <v>0</v>
      </c>
      <c r="J1193" s="3" t="s">
        <v>19</v>
      </c>
      <c r="K1193" s="2" t="str">
        <f>J1193*19872.00</f>
        <v>0</v>
      </c>
      <c r="L1193" s="5"/>
    </row>
    <row r="1194" spans="1:12" outlineLevel="4">
      <c r="A1194" s="1"/>
      <c r="B1194" s="1">
        <v>958914</v>
      </c>
      <c r="C1194" s="1" t="s">
        <v>3655</v>
      </c>
      <c r="D1194" s="1">
        <v>62373</v>
      </c>
      <c r="E1194" s="2" t="s">
        <v>3656</v>
      </c>
      <c r="F1194" s="2" t="s">
        <v>3657</v>
      </c>
      <c r="G1194" s="2">
        <v>0</v>
      </c>
      <c r="H1194" s="2">
        <v>0</v>
      </c>
      <c r="I1194" s="1">
        <v>0</v>
      </c>
      <c r="J1194" s="3" t="s">
        <v>19</v>
      </c>
      <c r="K1194" s="2" t="str">
        <f>J1194*21335.00</f>
        <v>0</v>
      </c>
      <c r="L1194" s="5"/>
    </row>
    <row r="1195" spans="1:12" outlineLevel="4">
      <c r="A1195" s="1"/>
      <c r="B1195" s="1">
        <v>958915</v>
      </c>
      <c r="C1195" s="1" t="s">
        <v>3658</v>
      </c>
      <c r="D1195" s="1">
        <v>17793</v>
      </c>
      <c r="E1195" s="2" t="s">
        <v>3659</v>
      </c>
      <c r="F1195" s="2" t="s">
        <v>3660</v>
      </c>
      <c r="G1195" s="2">
        <v>0</v>
      </c>
      <c r="H1195" s="2">
        <v>0</v>
      </c>
      <c r="I1195" s="1">
        <v>0</v>
      </c>
      <c r="J1195" s="3" t="s">
        <v>19</v>
      </c>
      <c r="K1195" s="2" t="str">
        <f>J1195*28331.00</f>
        <v>0</v>
      </c>
      <c r="L1195" s="5"/>
    </row>
    <row r="1196" spans="1:12" outlineLevel="4">
      <c r="A1196" s="1"/>
      <c r="B1196" s="1">
        <v>958916</v>
      </c>
      <c r="C1196" s="1" t="s">
        <v>3661</v>
      </c>
      <c r="D1196" s="1">
        <v>95075</v>
      </c>
      <c r="E1196" s="2" t="s">
        <v>3662</v>
      </c>
      <c r="F1196" s="2" t="s">
        <v>3663</v>
      </c>
      <c r="G1196" s="2">
        <v>0</v>
      </c>
      <c r="H1196" s="2">
        <v>0</v>
      </c>
      <c r="I1196" s="1">
        <v>0</v>
      </c>
      <c r="J1196" s="3" t="s">
        <v>19</v>
      </c>
      <c r="K1196" s="2" t="str">
        <f>J1196*32522.00</f>
        <v>0</v>
      </c>
      <c r="L1196" s="5"/>
    </row>
    <row r="1197" spans="1:12" outlineLevel="4">
      <c r="A1197" s="1"/>
      <c r="B1197" s="1">
        <v>958917</v>
      </c>
      <c r="C1197" s="1" t="s">
        <v>3664</v>
      </c>
      <c r="D1197" s="1">
        <v>11468</v>
      </c>
      <c r="E1197" s="2" t="s">
        <v>3665</v>
      </c>
      <c r="F1197" s="2" t="s">
        <v>1096</v>
      </c>
      <c r="G1197" s="2">
        <v>0</v>
      </c>
      <c r="H1197" s="2">
        <v>0</v>
      </c>
      <c r="I1197" s="1">
        <v>0</v>
      </c>
      <c r="J1197" s="3" t="s">
        <v>19</v>
      </c>
      <c r="K1197" s="2" t="str">
        <f>J1197*37514.00</f>
        <v>0</v>
      </c>
      <c r="L1197" s="5"/>
    </row>
    <row r="1198" spans="1:12" outlineLevel="4">
      <c r="A1198" s="1"/>
      <c r="B1198" s="1">
        <v>958918</v>
      </c>
      <c r="C1198" s="1" t="s">
        <v>3666</v>
      </c>
      <c r="D1198" s="1">
        <v>63419</v>
      </c>
      <c r="E1198" s="2" t="s">
        <v>3667</v>
      </c>
      <c r="F1198" s="2" t="s">
        <v>3668</v>
      </c>
      <c r="G1198" s="2">
        <v>0</v>
      </c>
      <c r="H1198" s="2">
        <v>0</v>
      </c>
      <c r="I1198" s="1">
        <v>0</v>
      </c>
      <c r="J1198" s="3" t="s">
        <v>19</v>
      </c>
      <c r="K1198" s="2" t="str">
        <f>J1198*43204.00</f>
        <v>0</v>
      </c>
      <c r="L1198" s="5"/>
    </row>
    <row r="1199" spans="1:12" outlineLevel="4">
      <c r="A1199" s="1"/>
      <c r="B1199" s="1">
        <v>958919</v>
      </c>
      <c r="C1199" s="1" t="s">
        <v>3669</v>
      </c>
      <c r="D1199" s="1">
        <v>63555</v>
      </c>
      <c r="E1199" s="2" t="s">
        <v>3670</v>
      </c>
      <c r="F1199" s="2" t="s">
        <v>3671</v>
      </c>
      <c r="G1199" s="2">
        <v>0</v>
      </c>
      <c r="H1199" s="2">
        <v>0</v>
      </c>
      <c r="I1199" s="1">
        <v>0</v>
      </c>
      <c r="J1199" s="3" t="s">
        <v>19</v>
      </c>
      <c r="K1199" s="2" t="str">
        <f>J1199*49293.00</f>
        <v>0</v>
      </c>
      <c r="L1199" s="5"/>
    </row>
    <row r="1200" spans="1:12" outlineLevel="1">
      <c r="A1200" s="7" t="s">
        <v>3672</v>
      </c>
      <c r="B1200" s="7"/>
      <c r="C1200" s="7"/>
      <c r="D1200" s="7"/>
      <c r="E1200" s="7"/>
      <c r="F1200" s="7"/>
      <c r="G1200" s="7"/>
      <c r="H1200" s="7"/>
      <c r="I1200" s="7"/>
      <c r="J1200" s="7"/>
      <c r="K1200" s="7"/>
      <c r="L1200" s="5"/>
    </row>
    <row r="1201" spans="1:12" outlineLevel="2">
      <c r="A1201" s="8" t="s">
        <v>3673</v>
      </c>
      <c r="B1201" s="8"/>
      <c r="C1201" s="8"/>
      <c r="D1201" s="8"/>
      <c r="E1201" s="8"/>
      <c r="F1201" s="8"/>
      <c r="G1201" s="8"/>
      <c r="H1201" s="8"/>
      <c r="I1201" s="8"/>
      <c r="J1201" s="8"/>
      <c r="K1201" s="8"/>
      <c r="L1201" s="5"/>
    </row>
    <row r="1202" spans="1:12" customHeight="1" ht="105" outlineLevel="4">
      <c r="A1202" s="1"/>
      <c r="B1202" s="1">
        <v>958816</v>
      </c>
      <c r="C1202" s="1" t="s">
        <v>3674</v>
      </c>
      <c r="D1202" s="1">
        <v>32754</v>
      </c>
      <c r="E1202" s="2" t="s">
        <v>3675</v>
      </c>
      <c r="F1202" s="2" t="s">
        <v>3676</v>
      </c>
      <c r="G1202" s="2">
        <v>0</v>
      </c>
      <c r="H1202" s="2">
        <v>0</v>
      </c>
      <c r="I1202" s="1">
        <v>0</v>
      </c>
      <c r="J1202" s="3" t="s">
        <v>19</v>
      </c>
      <c r="K1202" s="2" t="str">
        <f>J1202*5656.00</f>
        <v>0</v>
      </c>
      <c r="L1202" s="5"/>
    </row>
    <row r="1203" spans="1:12" outlineLevel="4">
      <c r="A1203" s="1"/>
      <c r="B1203" s="1">
        <v>958817</v>
      </c>
      <c r="C1203" s="1" t="s">
        <v>3677</v>
      </c>
      <c r="D1203" s="1">
        <v>97829</v>
      </c>
      <c r="E1203" s="2" t="s">
        <v>3678</v>
      </c>
      <c r="F1203" s="2" t="s">
        <v>3679</v>
      </c>
      <c r="G1203" s="2">
        <v>0</v>
      </c>
      <c r="H1203" s="2">
        <v>0</v>
      </c>
      <c r="I1203" s="1">
        <v>0</v>
      </c>
      <c r="J1203" s="3" t="s">
        <v>19</v>
      </c>
      <c r="K1203" s="2" t="str">
        <f>J1203*7397.00</f>
        <v>0</v>
      </c>
      <c r="L1203" s="5"/>
    </row>
    <row r="1204" spans="1:12" outlineLevel="4">
      <c r="A1204" s="1"/>
      <c r="B1204" s="1">
        <v>958818</v>
      </c>
      <c r="C1204" s="1" t="s">
        <v>3680</v>
      </c>
      <c r="D1204" s="1">
        <v>61659</v>
      </c>
      <c r="E1204" s="2" t="s">
        <v>3681</v>
      </c>
      <c r="F1204" s="2" t="s">
        <v>3682</v>
      </c>
      <c r="G1204" s="2">
        <v>0</v>
      </c>
      <c r="H1204" s="2">
        <v>0</v>
      </c>
      <c r="I1204" s="1">
        <v>0</v>
      </c>
      <c r="J1204" s="3" t="s">
        <v>19</v>
      </c>
      <c r="K1204" s="2" t="str">
        <f>J1204*11649.00</f>
        <v>0</v>
      </c>
      <c r="L1204" s="5"/>
    </row>
    <row r="1205" spans="1:12" outlineLevel="4">
      <c r="A1205" s="1"/>
      <c r="B1205" s="1">
        <v>958819</v>
      </c>
      <c r="C1205" s="1" t="s">
        <v>3683</v>
      </c>
      <c r="D1205" s="1">
        <v>63948</v>
      </c>
      <c r="E1205" s="2" t="s">
        <v>3684</v>
      </c>
      <c r="F1205" s="2" t="s">
        <v>3685</v>
      </c>
      <c r="G1205" s="2">
        <v>0</v>
      </c>
      <c r="H1205" s="2">
        <v>0</v>
      </c>
      <c r="I1205" s="1">
        <v>0</v>
      </c>
      <c r="J1205" s="3" t="s">
        <v>19</v>
      </c>
      <c r="K1205" s="2" t="str">
        <f>J1205*25642.00</f>
        <v>0</v>
      </c>
      <c r="L1205" s="5"/>
    </row>
    <row r="1206" spans="1:12" outlineLevel="4">
      <c r="A1206" s="1"/>
      <c r="B1206" s="1">
        <v>958820</v>
      </c>
      <c r="C1206" s="1" t="s">
        <v>3686</v>
      </c>
      <c r="D1206" s="1">
        <v>90433</v>
      </c>
      <c r="E1206" s="2" t="s">
        <v>3687</v>
      </c>
      <c r="F1206" s="2" t="s">
        <v>3688</v>
      </c>
      <c r="G1206" s="2">
        <v>0</v>
      </c>
      <c r="H1206" s="2">
        <v>0</v>
      </c>
      <c r="I1206" s="1">
        <v>0</v>
      </c>
      <c r="J1206" s="3" t="s">
        <v>19</v>
      </c>
      <c r="K1206" s="2" t="str">
        <f>J1206*28649.00</f>
        <v>0</v>
      </c>
      <c r="L1206" s="5"/>
    </row>
    <row r="1207" spans="1:12" outlineLevel="4">
      <c r="A1207" s="1"/>
      <c r="B1207" s="1">
        <v>958821</v>
      </c>
      <c r="C1207" s="1" t="s">
        <v>3689</v>
      </c>
      <c r="D1207" s="1">
        <v>78115</v>
      </c>
      <c r="E1207" s="2" t="s">
        <v>3690</v>
      </c>
      <c r="F1207" s="2" t="s">
        <v>3691</v>
      </c>
      <c r="G1207" s="2">
        <v>0</v>
      </c>
      <c r="H1207" s="2">
        <v>0</v>
      </c>
      <c r="I1207" s="1">
        <v>0</v>
      </c>
      <c r="J1207" s="3" t="s">
        <v>19</v>
      </c>
      <c r="K1207" s="2" t="str">
        <f>J1207*38766.00</f>
        <v>0</v>
      </c>
      <c r="L1207" s="5"/>
    </row>
    <row r="1208" spans="1:12" outlineLevel="4">
      <c r="A1208" s="1"/>
      <c r="B1208" s="1">
        <v>958822</v>
      </c>
      <c r="C1208" s="1" t="s">
        <v>3692</v>
      </c>
      <c r="D1208" s="1">
        <v>94908</v>
      </c>
      <c r="E1208" s="2" t="s">
        <v>3693</v>
      </c>
      <c r="F1208" s="2" t="s">
        <v>3694</v>
      </c>
      <c r="G1208" s="2">
        <v>0</v>
      </c>
      <c r="H1208" s="2">
        <v>0</v>
      </c>
      <c r="I1208" s="1">
        <v>0</v>
      </c>
      <c r="J1208" s="3" t="s">
        <v>19</v>
      </c>
      <c r="K1208" s="2" t="str">
        <f>J1208*40346.00</f>
        <v>0</v>
      </c>
      <c r="L1208" s="5"/>
    </row>
    <row r="1209" spans="1:12" outlineLevel="4">
      <c r="A1209" s="1"/>
      <c r="B1209" s="1">
        <v>958823</v>
      </c>
      <c r="C1209" s="1" t="s">
        <v>3695</v>
      </c>
      <c r="D1209" s="1">
        <v>79473</v>
      </c>
      <c r="E1209" s="2" t="s">
        <v>3696</v>
      </c>
      <c r="F1209" s="2" t="s">
        <v>3697</v>
      </c>
      <c r="G1209" s="2">
        <v>0</v>
      </c>
      <c r="H1209" s="2">
        <v>0</v>
      </c>
      <c r="I1209" s="1">
        <v>0</v>
      </c>
      <c r="J1209" s="3" t="s">
        <v>19</v>
      </c>
      <c r="K1209" s="2" t="str">
        <f>J1209*23150.00</f>
        <v>0</v>
      </c>
      <c r="L1209" s="5"/>
    </row>
    <row r="1210" spans="1:12" outlineLevel="4">
      <c r="A1210" s="1"/>
      <c r="B1210" s="1">
        <v>958824</v>
      </c>
      <c r="C1210" s="1" t="s">
        <v>3698</v>
      </c>
      <c r="D1210" s="1">
        <v>93891</v>
      </c>
      <c r="E1210" s="2" t="s">
        <v>3699</v>
      </c>
      <c r="F1210" s="2" t="s">
        <v>3700</v>
      </c>
      <c r="G1210" s="2">
        <v>1</v>
      </c>
      <c r="H1210" s="2">
        <v>0</v>
      </c>
      <c r="I1210" s="1">
        <v>0</v>
      </c>
      <c r="J1210" s="3" t="s">
        <v>19</v>
      </c>
      <c r="K1210" s="2" t="str">
        <f>J1210*27763.00</f>
        <v>0</v>
      </c>
      <c r="L1210" s="5"/>
    </row>
    <row r="1211" spans="1:12" outlineLevel="4">
      <c r="A1211" s="1"/>
      <c r="B1211" s="1">
        <v>958825</v>
      </c>
      <c r="C1211" s="1" t="s">
        <v>3701</v>
      </c>
      <c r="D1211" s="1">
        <v>68143</v>
      </c>
      <c r="E1211" s="2" t="s">
        <v>3702</v>
      </c>
      <c r="F1211" s="2" t="s">
        <v>3703</v>
      </c>
      <c r="G1211" s="2">
        <v>0</v>
      </c>
      <c r="H1211" s="2">
        <v>0</v>
      </c>
      <c r="I1211" s="1">
        <v>0</v>
      </c>
      <c r="J1211" s="3" t="s">
        <v>19</v>
      </c>
      <c r="K1211" s="2" t="str">
        <f>J1211*87213.00</f>
        <v>0</v>
      </c>
      <c r="L1211" s="5"/>
    </row>
    <row r="1212" spans="1:12" outlineLevel="4">
      <c r="A1212" s="1"/>
      <c r="B1212" s="1">
        <v>958826</v>
      </c>
      <c r="C1212" s="1" t="s">
        <v>3704</v>
      </c>
      <c r="D1212" s="1">
        <v>60117</v>
      </c>
      <c r="E1212" s="2" t="s">
        <v>3705</v>
      </c>
      <c r="F1212" s="2" t="s">
        <v>3706</v>
      </c>
      <c r="G1212" s="2">
        <v>0</v>
      </c>
      <c r="H1212" s="2">
        <v>0</v>
      </c>
      <c r="I1212" s="1">
        <v>0</v>
      </c>
      <c r="J1212" s="3" t="s">
        <v>19</v>
      </c>
      <c r="K1212" s="2" t="str">
        <f>J1212*31144.00</f>
        <v>0</v>
      </c>
      <c r="L1212" s="5"/>
    </row>
    <row r="1213" spans="1:12" outlineLevel="4">
      <c r="A1213" s="1"/>
      <c r="B1213" s="1">
        <v>958827</v>
      </c>
      <c r="C1213" s="1" t="s">
        <v>3707</v>
      </c>
      <c r="D1213" s="1">
        <v>79588</v>
      </c>
      <c r="E1213" s="2" t="s">
        <v>3708</v>
      </c>
      <c r="F1213" s="2" t="s">
        <v>3709</v>
      </c>
      <c r="G1213" s="2">
        <v>0</v>
      </c>
      <c r="H1213" s="2">
        <v>0</v>
      </c>
      <c r="I1213" s="1">
        <v>0</v>
      </c>
      <c r="J1213" s="3" t="s">
        <v>19</v>
      </c>
      <c r="K1213" s="2" t="str">
        <f>J1213*38086.00</f>
        <v>0</v>
      </c>
      <c r="L1213" s="5"/>
    </row>
    <row r="1214" spans="1:12" outlineLevel="4">
      <c r="A1214" s="1"/>
      <c r="B1214" s="1">
        <v>958828</v>
      </c>
      <c r="C1214" s="1" t="s">
        <v>3710</v>
      </c>
      <c r="D1214" s="1">
        <v>49381</v>
      </c>
      <c r="E1214" s="2" t="s">
        <v>3711</v>
      </c>
      <c r="F1214" s="2" t="s">
        <v>3712</v>
      </c>
      <c r="G1214" s="2">
        <v>0</v>
      </c>
      <c r="H1214" s="2">
        <v>0</v>
      </c>
      <c r="I1214" s="1">
        <v>0</v>
      </c>
      <c r="J1214" s="3" t="s">
        <v>19</v>
      </c>
      <c r="K1214" s="2" t="str">
        <f>J1214*46364.00</f>
        <v>0</v>
      </c>
      <c r="L1214" s="5"/>
    </row>
    <row r="1215" spans="1:12" outlineLevel="4">
      <c r="A1215" s="1"/>
      <c r="B1215" s="1">
        <v>958829</v>
      </c>
      <c r="C1215" s="1" t="s">
        <v>3713</v>
      </c>
      <c r="D1215" s="1">
        <v>60179</v>
      </c>
      <c r="E1215" s="2" t="s">
        <v>3714</v>
      </c>
      <c r="F1215" s="2" t="s">
        <v>3715</v>
      </c>
      <c r="G1215" s="2">
        <v>0</v>
      </c>
      <c r="H1215" s="2">
        <v>0</v>
      </c>
      <c r="I1215" s="1">
        <v>0</v>
      </c>
      <c r="J1215" s="3" t="s">
        <v>19</v>
      </c>
      <c r="K1215" s="2" t="str">
        <f>J1215*54325.00</f>
        <v>0</v>
      </c>
      <c r="L1215" s="5"/>
    </row>
    <row r="1216" spans="1:12" outlineLevel="4">
      <c r="A1216" s="1"/>
      <c r="B1216" s="1">
        <v>958830</v>
      </c>
      <c r="C1216" s="1" t="s">
        <v>3716</v>
      </c>
      <c r="D1216" s="1">
        <v>86549</v>
      </c>
      <c r="E1216" s="2" t="s">
        <v>3717</v>
      </c>
      <c r="F1216" s="2" t="s">
        <v>3718</v>
      </c>
      <c r="G1216" s="2">
        <v>0</v>
      </c>
      <c r="H1216" s="2">
        <v>0</v>
      </c>
      <c r="I1216" s="1">
        <v>0</v>
      </c>
      <c r="J1216" s="3" t="s">
        <v>19</v>
      </c>
      <c r="K1216" s="2" t="str">
        <f>J1216*64941.00</f>
        <v>0</v>
      </c>
      <c r="L1216" s="5"/>
    </row>
    <row r="1217" spans="1:12" outlineLevel="4">
      <c r="A1217" s="1"/>
      <c r="B1217" s="1">
        <v>958831</v>
      </c>
      <c r="C1217" s="1" t="s">
        <v>3719</v>
      </c>
      <c r="D1217" s="1">
        <v>60959</v>
      </c>
      <c r="E1217" s="2" t="s">
        <v>3720</v>
      </c>
      <c r="F1217" s="2" t="s">
        <v>3721</v>
      </c>
      <c r="G1217" s="2">
        <v>0</v>
      </c>
      <c r="H1217" s="2">
        <v>0</v>
      </c>
      <c r="I1217" s="1">
        <v>0</v>
      </c>
      <c r="J1217" s="3" t="s">
        <v>19</v>
      </c>
      <c r="K1217" s="2" t="str">
        <f>J1217*78125.00</f>
        <v>0</v>
      </c>
      <c r="L1217" s="5"/>
    </row>
    <row r="1218" spans="1:12" outlineLevel="2">
      <c r="A1218" s="8" t="s">
        <v>3722</v>
      </c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5"/>
    </row>
    <row r="1219" spans="1:12" outlineLevel="4">
      <c r="A1219" s="1"/>
      <c r="B1219" s="1">
        <v>958802</v>
      </c>
      <c r="C1219" s="1" t="s">
        <v>3723</v>
      </c>
      <c r="D1219" s="1">
        <v>15735</v>
      </c>
      <c r="E1219" s="2" t="s">
        <v>3724</v>
      </c>
      <c r="F1219" s="2" t="s">
        <v>3725</v>
      </c>
      <c r="G1219" s="2">
        <v>0</v>
      </c>
      <c r="H1219" s="2">
        <v>0</v>
      </c>
      <c r="I1219" s="1">
        <v>0</v>
      </c>
      <c r="J1219" s="3" t="s">
        <v>19</v>
      </c>
      <c r="K1219" s="2" t="str">
        <f>J1219*85943.00</f>
        <v>0</v>
      </c>
      <c r="L1219" s="5"/>
    </row>
    <row r="1220" spans="1:12" outlineLevel="4">
      <c r="A1220" s="1"/>
      <c r="B1220" s="1">
        <v>958803</v>
      </c>
      <c r="C1220" s="1" t="s">
        <v>3726</v>
      </c>
      <c r="D1220" s="1">
        <v>69992</v>
      </c>
      <c r="E1220" s="2" t="s">
        <v>3727</v>
      </c>
      <c r="F1220" s="2" t="s">
        <v>3728</v>
      </c>
      <c r="G1220" s="2">
        <v>0</v>
      </c>
      <c r="H1220" s="2">
        <v>0</v>
      </c>
      <c r="I1220" s="1">
        <v>0</v>
      </c>
      <c r="J1220" s="3" t="s">
        <v>19</v>
      </c>
      <c r="K1220" s="2" t="str">
        <f>J1220*48937.00</f>
        <v>0</v>
      </c>
      <c r="L1220" s="5"/>
    </row>
    <row r="1221" spans="1:12" outlineLevel="4">
      <c r="A1221" s="1"/>
      <c r="B1221" s="1">
        <v>958804</v>
      </c>
      <c r="C1221" s="1" t="s">
        <v>3729</v>
      </c>
      <c r="D1221" s="1">
        <v>76193</v>
      </c>
      <c r="E1221" s="2" t="s">
        <v>3730</v>
      </c>
      <c r="F1221" s="2" t="s">
        <v>3731</v>
      </c>
      <c r="G1221" s="2">
        <v>0</v>
      </c>
      <c r="H1221" s="2">
        <v>0</v>
      </c>
      <c r="I1221" s="1">
        <v>0</v>
      </c>
      <c r="J1221" s="3" t="s">
        <v>19</v>
      </c>
      <c r="K1221" s="2" t="str">
        <f>J1221*54553.00</f>
        <v>0</v>
      </c>
      <c r="L1221" s="5"/>
    </row>
    <row r="1222" spans="1:12" outlineLevel="4">
      <c r="A1222" s="1"/>
      <c r="B1222" s="1">
        <v>958805</v>
      </c>
      <c r="C1222" s="1" t="s">
        <v>3732</v>
      </c>
      <c r="D1222" s="1">
        <v>93394</v>
      </c>
      <c r="E1222" s="2" t="s">
        <v>3733</v>
      </c>
      <c r="F1222" s="2" t="s">
        <v>3734</v>
      </c>
      <c r="G1222" s="2">
        <v>0</v>
      </c>
      <c r="H1222" s="2">
        <v>0</v>
      </c>
      <c r="I1222" s="1">
        <v>0</v>
      </c>
      <c r="J1222" s="3" t="s">
        <v>19</v>
      </c>
      <c r="K1222" s="2" t="str">
        <f>J1222*91375.00</f>
        <v>0</v>
      </c>
      <c r="L1222" s="5"/>
    </row>
    <row r="1223" spans="1:12" outlineLevel="4">
      <c r="A1223" s="1"/>
      <c r="B1223" s="1">
        <v>958806</v>
      </c>
      <c r="C1223" s="1" t="s">
        <v>3735</v>
      </c>
      <c r="D1223" s="1">
        <v>94972</v>
      </c>
      <c r="E1223" s="2" t="s">
        <v>3736</v>
      </c>
      <c r="F1223" s="2" t="s">
        <v>3737</v>
      </c>
      <c r="G1223" s="2">
        <v>0</v>
      </c>
      <c r="H1223" s="2">
        <v>0</v>
      </c>
      <c r="I1223" s="1">
        <v>0</v>
      </c>
      <c r="J1223" s="3" t="s">
        <v>19</v>
      </c>
      <c r="K1223" s="2" t="str">
        <f>J1223*55820.00</f>
        <v>0</v>
      </c>
      <c r="L1223" s="5"/>
    </row>
    <row r="1224" spans="1:12" outlineLevel="4">
      <c r="A1224" s="1"/>
      <c r="B1224" s="1">
        <v>958807</v>
      </c>
      <c r="C1224" s="1" t="s">
        <v>3738</v>
      </c>
      <c r="D1224" s="1">
        <v>69224</v>
      </c>
      <c r="E1224" s="2" t="s">
        <v>3739</v>
      </c>
      <c r="F1224" s="2" t="s">
        <v>3740</v>
      </c>
      <c r="G1224" s="2">
        <v>0</v>
      </c>
      <c r="H1224" s="2">
        <v>0</v>
      </c>
      <c r="I1224" s="1">
        <v>0</v>
      </c>
      <c r="J1224" s="3" t="s">
        <v>19</v>
      </c>
      <c r="K1224" s="2" t="str">
        <f>J1224*111365.00</f>
        <v>0</v>
      </c>
      <c r="L1224" s="5"/>
    </row>
    <row r="1225" spans="1:12" outlineLevel="4">
      <c r="A1225" s="1"/>
      <c r="B1225" s="1">
        <v>958808</v>
      </c>
      <c r="C1225" s="1" t="s">
        <v>3741</v>
      </c>
      <c r="D1225" s="1">
        <v>93149</v>
      </c>
      <c r="E1225" s="2" t="s">
        <v>3742</v>
      </c>
      <c r="F1225" s="2" t="s">
        <v>3743</v>
      </c>
      <c r="G1225" s="2">
        <v>0</v>
      </c>
      <c r="H1225" s="2">
        <v>0</v>
      </c>
      <c r="I1225" s="1">
        <v>0</v>
      </c>
      <c r="J1225" s="3" t="s">
        <v>19</v>
      </c>
      <c r="K1225" s="2" t="str">
        <f>J1225*158097.00</f>
        <v>0</v>
      </c>
      <c r="L1225" s="5"/>
    </row>
    <row r="1226" spans="1:12" outlineLevel="4">
      <c r="A1226" s="1"/>
      <c r="B1226" s="1">
        <v>958809</v>
      </c>
      <c r="C1226" s="1" t="s">
        <v>3744</v>
      </c>
      <c r="D1226" s="1">
        <v>81072</v>
      </c>
      <c r="E1226" s="2" t="s">
        <v>3745</v>
      </c>
      <c r="F1226" s="2" t="s">
        <v>3746</v>
      </c>
      <c r="G1226" s="2">
        <v>0</v>
      </c>
      <c r="H1226" s="2">
        <v>0</v>
      </c>
      <c r="I1226" s="1">
        <v>0</v>
      </c>
      <c r="J1226" s="3" t="s">
        <v>19</v>
      </c>
      <c r="K1226" s="2" t="str">
        <f>J1226*89694.00</f>
        <v>0</v>
      </c>
      <c r="L1226" s="5"/>
    </row>
    <row r="1227" spans="1:12" outlineLevel="4">
      <c r="A1227" s="1"/>
      <c r="B1227" s="1">
        <v>958810</v>
      </c>
      <c r="C1227" s="1" t="s">
        <v>3747</v>
      </c>
      <c r="D1227" s="1">
        <v>70683</v>
      </c>
      <c r="E1227" s="2" t="s">
        <v>3748</v>
      </c>
      <c r="F1227" s="2" t="s">
        <v>3749</v>
      </c>
      <c r="G1227" s="2">
        <v>0</v>
      </c>
      <c r="H1227" s="2">
        <v>0</v>
      </c>
      <c r="I1227" s="1">
        <v>0</v>
      </c>
      <c r="J1227" s="3" t="s">
        <v>19</v>
      </c>
      <c r="K1227" s="2" t="str">
        <f>J1227*117577.00</f>
        <v>0</v>
      </c>
      <c r="L1227" s="5"/>
    </row>
    <row r="1228" spans="1:12" outlineLevel="4">
      <c r="A1228" s="1"/>
      <c r="B1228" s="1">
        <v>958811</v>
      </c>
      <c r="C1228" s="1" t="s">
        <v>3750</v>
      </c>
      <c r="D1228" s="1">
        <v>75452</v>
      </c>
      <c r="E1228" s="2" t="s">
        <v>3751</v>
      </c>
      <c r="F1228" s="2" t="s">
        <v>3752</v>
      </c>
      <c r="G1228" s="2">
        <v>0</v>
      </c>
      <c r="H1228" s="2">
        <v>0</v>
      </c>
      <c r="I1228" s="1">
        <v>0</v>
      </c>
      <c r="J1228" s="3" t="s">
        <v>19</v>
      </c>
      <c r="K1228" s="2" t="str">
        <f>J1228*179643.00</f>
        <v>0</v>
      </c>
      <c r="L1228" s="5"/>
    </row>
    <row r="1229" spans="1:12" outlineLevel="4">
      <c r="A1229" s="1"/>
      <c r="B1229" s="1">
        <v>958812</v>
      </c>
      <c r="C1229" s="1" t="s">
        <v>3753</v>
      </c>
      <c r="D1229" s="1">
        <v>61781</v>
      </c>
      <c r="E1229" s="2" t="s">
        <v>3754</v>
      </c>
      <c r="F1229" s="2" t="s">
        <v>3755</v>
      </c>
      <c r="G1229" s="2">
        <v>0</v>
      </c>
      <c r="H1229" s="2">
        <v>0</v>
      </c>
      <c r="I1229" s="1">
        <v>0</v>
      </c>
      <c r="J1229" s="3" t="s">
        <v>19</v>
      </c>
      <c r="K1229" s="2" t="str">
        <f>J1229*166358.00</f>
        <v>0</v>
      </c>
      <c r="L1229" s="5"/>
    </row>
    <row r="1230" spans="1:12" outlineLevel="4">
      <c r="A1230" s="1"/>
      <c r="B1230" s="1">
        <v>958813</v>
      </c>
      <c r="C1230" s="1" t="s">
        <v>3756</v>
      </c>
      <c r="D1230" s="1">
        <v>86551</v>
      </c>
      <c r="E1230" s="2" t="s">
        <v>3757</v>
      </c>
      <c r="F1230" s="2" t="s">
        <v>3758</v>
      </c>
      <c r="G1230" s="2">
        <v>0</v>
      </c>
      <c r="H1230" s="2">
        <v>0</v>
      </c>
      <c r="I1230" s="1">
        <v>0</v>
      </c>
      <c r="J1230" s="3" t="s">
        <v>19</v>
      </c>
      <c r="K1230" s="2" t="str">
        <f>J1230*191103.00</f>
        <v>0</v>
      </c>
      <c r="L1230" s="5"/>
    </row>
    <row r="1231" spans="1:12" outlineLevel="4">
      <c r="A1231" s="1"/>
      <c r="B1231" s="1">
        <v>958814</v>
      </c>
      <c r="C1231" s="1" t="s">
        <v>3759</v>
      </c>
      <c r="D1231" s="1">
        <v>48149</v>
      </c>
      <c r="E1231" s="2" t="s">
        <v>3760</v>
      </c>
      <c r="F1231" s="2" t="s">
        <v>3761</v>
      </c>
      <c r="G1231" s="2">
        <v>0</v>
      </c>
      <c r="H1231" s="2">
        <v>0</v>
      </c>
      <c r="I1231" s="1">
        <v>0</v>
      </c>
      <c r="J1231" s="3" t="s">
        <v>19</v>
      </c>
      <c r="K1231" s="2" t="str">
        <f>J1231*53836.00</f>
        <v>0</v>
      </c>
      <c r="L1231" s="5"/>
    </row>
    <row r="1232" spans="1:12" outlineLevel="4">
      <c r="A1232" s="1"/>
      <c r="B1232" s="1">
        <v>958815</v>
      </c>
      <c r="C1232" s="1" t="s">
        <v>3762</v>
      </c>
      <c r="D1232" s="1">
        <v>25395</v>
      </c>
      <c r="E1232" s="2" t="s">
        <v>3763</v>
      </c>
      <c r="F1232" s="2" t="s">
        <v>3764</v>
      </c>
      <c r="G1232" s="2">
        <v>0</v>
      </c>
      <c r="H1232" s="2">
        <v>0</v>
      </c>
      <c r="I1232" s="1">
        <v>0</v>
      </c>
      <c r="J1232" s="3" t="s">
        <v>19</v>
      </c>
      <c r="K1232" s="2" t="str">
        <f>J1232*99988.00</f>
        <v>0</v>
      </c>
      <c r="L1232" s="5"/>
    </row>
    <row r="1233" spans="1:12" outlineLevel="1">
      <c r="A1233" s="7" t="s">
        <v>3765</v>
      </c>
      <c r="B1233" s="7"/>
      <c r="C1233" s="7"/>
      <c r="D1233" s="7"/>
      <c r="E1233" s="7"/>
      <c r="F1233" s="7"/>
      <c r="G1233" s="7"/>
      <c r="H1233" s="7"/>
      <c r="I1233" s="7"/>
      <c r="J1233" s="7"/>
      <c r="K1233" s="7"/>
      <c r="L1233" s="5"/>
    </row>
    <row r="1234" spans="1:12" outlineLevel="3">
      <c r="A1234" s="1"/>
      <c r="B1234" s="1">
        <v>959294</v>
      </c>
      <c r="C1234" s="1" t="s">
        <v>3766</v>
      </c>
      <c r="D1234" s="1">
        <v>27984</v>
      </c>
      <c r="E1234" s="2" t="s">
        <v>3767</v>
      </c>
      <c r="F1234" s="2" t="s">
        <v>3768</v>
      </c>
      <c r="G1234" s="2">
        <v>0</v>
      </c>
      <c r="H1234" s="2">
        <v>0</v>
      </c>
      <c r="I1234" s="1">
        <v>0</v>
      </c>
      <c r="J1234" s="3" t="s">
        <v>19</v>
      </c>
      <c r="K1234" s="2" t="str">
        <f>J1234*3760.00</f>
        <v>0</v>
      </c>
      <c r="L1234" s="5"/>
    </row>
    <row r="1235" spans="1:12" outlineLevel="3">
      <c r="A1235" s="1"/>
      <c r="B1235" s="1">
        <v>959295</v>
      </c>
      <c r="C1235" s="1" t="s">
        <v>3769</v>
      </c>
      <c r="D1235" s="1">
        <v>83856</v>
      </c>
      <c r="E1235" s="2" t="s">
        <v>3770</v>
      </c>
      <c r="F1235" s="2" t="s">
        <v>3771</v>
      </c>
      <c r="G1235" s="2">
        <v>0</v>
      </c>
      <c r="H1235" s="2">
        <v>0</v>
      </c>
      <c r="I1235" s="1">
        <v>0</v>
      </c>
      <c r="J1235" s="3" t="s">
        <v>19</v>
      </c>
      <c r="K1235" s="2" t="str">
        <f>J1235*4514.00</f>
        <v>0</v>
      </c>
      <c r="L1235" s="5"/>
    </row>
    <row r="1236" spans="1:12" outlineLevel="3">
      <c r="A1236" s="1"/>
      <c r="B1236" s="1">
        <v>959296</v>
      </c>
      <c r="C1236" s="1" t="s">
        <v>3772</v>
      </c>
      <c r="D1236" s="1">
        <v>48023</v>
      </c>
      <c r="E1236" s="2" t="s">
        <v>3773</v>
      </c>
      <c r="F1236" s="2" t="s">
        <v>3774</v>
      </c>
      <c r="G1236" s="2">
        <v>0</v>
      </c>
      <c r="H1236" s="2">
        <v>0</v>
      </c>
      <c r="I1236" s="1">
        <v>0</v>
      </c>
      <c r="J1236" s="3" t="s">
        <v>19</v>
      </c>
      <c r="K1236" s="2" t="str">
        <f>J1236*4250.00</f>
        <v>0</v>
      </c>
      <c r="L1236" s="5"/>
    </row>
    <row r="1237" spans="1:12" outlineLevel="3">
      <c r="A1237" s="1"/>
      <c r="B1237" s="1">
        <v>959297</v>
      </c>
      <c r="C1237" s="1" t="s">
        <v>3775</v>
      </c>
      <c r="D1237" s="1">
        <v>86371</v>
      </c>
      <c r="E1237" s="2" t="s">
        <v>3776</v>
      </c>
      <c r="F1237" s="2" t="s">
        <v>3777</v>
      </c>
      <c r="G1237" s="2">
        <v>0</v>
      </c>
      <c r="H1237" s="2">
        <v>0</v>
      </c>
      <c r="I1237" s="1">
        <v>0</v>
      </c>
      <c r="J1237" s="3" t="s">
        <v>19</v>
      </c>
      <c r="K1237" s="2" t="str">
        <f>J1237*5551.00</f>
        <v>0</v>
      </c>
      <c r="L1237" s="5"/>
    </row>
    <row r="1238" spans="1:12" outlineLevel="3">
      <c r="A1238" s="1"/>
      <c r="B1238" s="1">
        <v>959298</v>
      </c>
      <c r="C1238" s="1" t="s">
        <v>3778</v>
      </c>
      <c r="D1238" s="1">
        <v>48566</v>
      </c>
      <c r="E1238" s="2" t="s">
        <v>3779</v>
      </c>
      <c r="F1238" s="2" t="s">
        <v>3780</v>
      </c>
      <c r="G1238" s="2">
        <v>0</v>
      </c>
      <c r="H1238" s="2">
        <v>0</v>
      </c>
      <c r="I1238" s="1">
        <v>0</v>
      </c>
      <c r="J1238" s="3" t="s">
        <v>19</v>
      </c>
      <c r="K1238" s="2" t="str">
        <f>J1238*4654.00</f>
        <v>0</v>
      </c>
      <c r="L1238" s="5"/>
    </row>
    <row r="1239" spans="1:12" outlineLevel="3">
      <c r="A1239" s="1"/>
      <c r="B1239" s="1">
        <v>959299</v>
      </c>
      <c r="C1239" s="1" t="s">
        <v>3781</v>
      </c>
      <c r="D1239" s="1">
        <v>75168</v>
      </c>
      <c r="E1239" s="2" t="s">
        <v>3782</v>
      </c>
      <c r="F1239" s="2" t="s">
        <v>3783</v>
      </c>
      <c r="G1239" s="2">
        <v>0</v>
      </c>
      <c r="H1239" s="2">
        <v>0</v>
      </c>
      <c r="I1239" s="1">
        <v>0</v>
      </c>
      <c r="J1239" s="3" t="s">
        <v>19</v>
      </c>
      <c r="K1239" s="2" t="str">
        <f>J1239*4483.00</f>
        <v>0</v>
      </c>
      <c r="L1239" s="5"/>
    </row>
    <row r="1240" spans="1:12" outlineLevel="3">
      <c r="A1240" s="1"/>
      <c r="B1240" s="1">
        <v>959300</v>
      </c>
      <c r="C1240" s="1" t="s">
        <v>3784</v>
      </c>
      <c r="D1240" s="1">
        <v>24025</v>
      </c>
      <c r="E1240" s="2" t="s">
        <v>3785</v>
      </c>
      <c r="F1240" s="2" t="s">
        <v>3786</v>
      </c>
      <c r="G1240" s="2">
        <v>0</v>
      </c>
      <c r="H1240" s="2">
        <v>0</v>
      </c>
      <c r="I1240" s="1">
        <v>0</v>
      </c>
      <c r="J1240" s="3" t="s">
        <v>19</v>
      </c>
      <c r="K1240" s="2" t="str">
        <f>J1240*5131.00</f>
        <v>0</v>
      </c>
      <c r="L1240" s="5"/>
    </row>
    <row r="1241" spans="1:12" outlineLevel="3">
      <c r="A1241" s="1"/>
      <c r="B1241" s="1">
        <v>959301</v>
      </c>
      <c r="C1241" s="1" t="s">
        <v>3787</v>
      </c>
      <c r="D1241" s="1">
        <v>38477</v>
      </c>
      <c r="E1241" s="2" t="s">
        <v>3788</v>
      </c>
      <c r="F1241" s="2" t="s">
        <v>3789</v>
      </c>
      <c r="G1241" s="2">
        <v>0</v>
      </c>
      <c r="H1241" s="2">
        <v>0</v>
      </c>
      <c r="I1241" s="1">
        <v>0</v>
      </c>
      <c r="J1241" s="3" t="s">
        <v>19</v>
      </c>
      <c r="K1241" s="2" t="str">
        <f>J1241*6404.00</f>
        <v>0</v>
      </c>
      <c r="L1241" s="5"/>
    </row>
    <row r="1242" spans="1:12" outlineLevel="3">
      <c r="A1242" s="1"/>
      <c r="B1242" s="1">
        <v>959302</v>
      </c>
      <c r="C1242" s="1" t="s">
        <v>3790</v>
      </c>
      <c r="D1242" s="1">
        <v>94178</v>
      </c>
      <c r="E1242" s="2" t="s">
        <v>3791</v>
      </c>
      <c r="F1242" s="2" t="s">
        <v>3792</v>
      </c>
      <c r="G1242" s="2">
        <v>0</v>
      </c>
      <c r="H1242" s="2">
        <v>0</v>
      </c>
      <c r="I1242" s="1">
        <v>0</v>
      </c>
      <c r="J1242" s="3" t="s">
        <v>19</v>
      </c>
      <c r="K1242" s="2" t="str">
        <f>J1242*6722.00</f>
        <v>0</v>
      </c>
      <c r="L1242" s="5"/>
    </row>
    <row r="1243" spans="1:12" outlineLevel="3">
      <c r="A1243" s="1"/>
      <c r="B1243" s="1">
        <v>959303</v>
      </c>
      <c r="C1243" s="1" t="s">
        <v>3793</v>
      </c>
      <c r="D1243" s="1">
        <v>21186</v>
      </c>
      <c r="E1243" s="2" t="s">
        <v>3794</v>
      </c>
      <c r="F1243" s="2" t="s">
        <v>3795</v>
      </c>
      <c r="G1243" s="2">
        <v>0</v>
      </c>
      <c r="H1243" s="2">
        <v>0</v>
      </c>
      <c r="I1243" s="1">
        <v>0</v>
      </c>
      <c r="J1243" s="3" t="s">
        <v>19</v>
      </c>
      <c r="K1243" s="2" t="str">
        <f>J1243*7589.00</f>
        <v>0</v>
      </c>
      <c r="L1243" s="5"/>
    </row>
    <row r="1244" spans="1:12" outlineLevel="3">
      <c r="A1244" s="1"/>
      <c r="B1244" s="1">
        <v>959304</v>
      </c>
      <c r="C1244" s="1" t="s">
        <v>3796</v>
      </c>
      <c r="D1244" s="1">
        <v>29058</v>
      </c>
      <c r="E1244" s="2" t="s">
        <v>3797</v>
      </c>
      <c r="F1244" s="2" t="s">
        <v>3798</v>
      </c>
      <c r="G1244" s="2">
        <v>0</v>
      </c>
      <c r="H1244" s="2">
        <v>0</v>
      </c>
      <c r="I1244" s="1">
        <v>0</v>
      </c>
      <c r="J1244" s="3" t="s">
        <v>19</v>
      </c>
      <c r="K1244" s="2" t="str">
        <f>J1244*6927.00</f>
        <v>0</v>
      </c>
      <c r="L1244" s="5"/>
    </row>
    <row r="1245" spans="1:12" outlineLevel="3">
      <c r="A1245" s="1"/>
      <c r="B1245" s="1">
        <v>959305</v>
      </c>
      <c r="C1245" s="1" t="s">
        <v>3799</v>
      </c>
      <c r="D1245" s="1">
        <v>41941</v>
      </c>
      <c r="E1245" s="2" t="s">
        <v>3800</v>
      </c>
      <c r="F1245" s="2" t="s">
        <v>3801</v>
      </c>
      <c r="G1245" s="2">
        <v>0</v>
      </c>
      <c r="H1245" s="2">
        <v>0</v>
      </c>
      <c r="I1245" s="1">
        <v>0</v>
      </c>
      <c r="J1245" s="3" t="s">
        <v>19</v>
      </c>
      <c r="K1245" s="2" t="str">
        <f>J1245*7275.00</f>
        <v>0</v>
      </c>
      <c r="L1245" s="5"/>
    </row>
    <row r="1246" spans="1:12" outlineLevel="3">
      <c r="A1246" s="1"/>
      <c r="B1246" s="1">
        <v>959306</v>
      </c>
      <c r="C1246" s="1" t="s">
        <v>3802</v>
      </c>
      <c r="D1246" s="1">
        <v>25357</v>
      </c>
      <c r="E1246" s="2" t="s">
        <v>3803</v>
      </c>
      <c r="F1246" s="2" t="s">
        <v>3804</v>
      </c>
      <c r="G1246" s="2">
        <v>0</v>
      </c>
      <c r="H1246" s="2">
        <v>0</v>
      </c>
      <c r="I1246" s="1">
        <v>0</v>
      </c>
      <c r="J1246" s="3" t="s">
        <v>19</v>
      </c>
      <c r="K1246" s="2" t="str">
        <f>J1246*7629.00</f>
        <v>0</v>
      </c>
      <c r="L1246" s="5"/>
    </row>
    <row r="1247" spans="1:12" outlineLevel="3">
      <c r="A1247" s="1"/>
      <c r="B1247" s="1">
        <v>959307</v>
      </c>
      <c r="C1247" s="1" t="s">
        <v>3805</v>
      </c>
      <c r="D1247" s="1">
        <v>36496</v>
      </c>
      <c r="E1247" s="2" t="s">
        <v>3806</v>
      </c>
      <c r="F1247" s="2" t="s">
        <v>3807</v>
      </c>
      <c r="G1247" s="2">
        <v>0</v>
      </c>
      <c r="H1247" s="2">
        <v>0</v>
      </c>
      <c r="I1247" s="1">
        <v>0</v>
      </c>
      <c r="J1247" s="3" t="s">
        <v>19</v>
      </c>
      <c r="K1247" s="2" t="str">
        <f>J1247*5616.00</f>
        <v>0</v>
      </c>
      <c r="L1247" s="5"/>
    </row>
    <row r="1248" spans="1:12" outlineLevel="3">
      <c r="A1248" s="1"/>
      <c r="B1248" s="1">
        <v>959308</v>
      </c>
      <c r="C1248" s="1" t="s">
        <v>3808</v>
      </c>
      <c r="D1248" s="1">
        <v>21259</v>
      </c>
      <c r="E1248" s="2" t="s">
        <v>3809</v>
      </c>
      <c r="F1248" s="2" t="s">
        <v>3810</v>
      </c>
      <c r="G1248" s="2">
        <v>0</v>
      </c>
      <c r="H1248" s="2">
        <v>0</v>
      </c>
      <c r="I1248" s="1">
        <v>0</v>
      </c>
      <c r="J1248" s="3" t="s">
        <v>19</v>
      </c>
      <c r="K1248" s="2" t="str">
        <f>J1248*5910.00</f>
        <v>0</v>
      </c>
      <c r="L1248" s="5"/>
    </row>
    <row r="1249" spans="1:12" outlineLevel="3">
      <c r="A1249" s="1"/>
      <c r="B1249" s="1">
        <v>959309</v>
      </c>
      <c r="C1249" s="1" t="s">
        <v>3811</v>
      </c>
      <c r="D1249" s="1">
        <v>91061</v>
      </c>
      <c r="E1249" s="2" t="s">
        <v>3812</v>
      </c>
      <c r="F1249" s="2" t="s">
        <v>3813</v>
      </c>
      <c r="G1249" s="2">
        <v>0</v>
      </c>
      <c r="H1249" s="2">
        <v>0</v>
      </c>
      <c r="I1249" s="1">
        <v>0</v>
      </c>
      <c r="J1249" s="3" t="s">
        <v>19</v>
      </c>
      <c r="K1249" s="2" t="str">
        <f>J1249*5653.00</f>
        <v>0</v>
      </c>
      <c r="L1249" s="5"/>
    </row>
    <row r="1250" spans="1:12" outlineLevel="3">
      <c r="A1250" s="1"/>
      <c r="B1250" s="1">
        <v>959310</v>
      </c>
      <c r="C1250" s="1" t="s">
        <v>3814</v>
      </c>
      <c r="D1250" s="1">
        <v>86709</v>
      </c>
      <c r="E1250" s="2" t="s">
        <v>3815</v>
      </c>
      <c r="F1250" s="2" t="s">
        <v>3816</v>
      </c>
      <c r="G1250" s="2">
        <v>0</v>
      </c>
      <c r="H1250" s="2">
        <v>0</v>
      </c>
      <c r="I1250" s="1">
        <v>0</v>
      </c>
      <c r="J1250" s="3" t="s">
        <v>19</v>
      </c>
      <c r="K1250" s="2" t="str">
        <f>J1250*7772.00</f>
        <v>0</v>
      </c>
      <c r="L1250" s="5"/>
    </row>
    <row r="1251" spans="1:12" outlineLevel="3">
      <c r="A1251" s="1"/>
      <c r="B1251" s="1">
        <v>959311</v>
      </c>
      <c r="C1251" s="1" t="s">
        <v>3817</v>
      </c>
      <c r="D1251" s="1">
        <v>64391</v>
      </c>
      <c r="E1251" s="2" t="s">
        <v>3818</v>
      </c>
      <c r="F1251" s="2" t="s">
        <v>3819</v>
      </c>
      <c r="G1251" s="2">
        <v>0</v>
      </c>
      <c r="H1251" s="2">
        <v>0</v>
      </c>
      <c r="I1251" s="1">
        <v>0</v>
      </c>
      <c r="J1251" s="3" t="s">
        <v>19</v>
      </c>
      <c r="K1251" s="2" t="str">
        <f>J1251*8125.00</f>
        <v>0</v>
      </c>
      <c r="L1251" s="5"/>
    </row>
    <row r="1252" spans="1:12" outlineLevel="3">
      <c r="A1252" s="1"/>
      <c r="B1252" s="1">
        <v>959312</v>
      </c>
      <c r="C1252" s="1" t="s">
        <v>3820</v>
      </c>
      <c r="D1252" s="1">
        <v>84169</v>
      </c>
      <c r="E1252" s="2" t="s">
        <v>3821</v>
      </c>
      <c r="F1252" s="2" t="s">
        <v>3822</v>
      </c>
      <c r="G1252" s="2">
        <v>0</v>
      </c>
      <c r="H1252" s="2">
        <v>0</v>
      </c>
      <c r="I1252" s="1">
        <v>0</v>
      </c>
      <c r="J1252" s="3" t="s">
        <v>19</v>
      </c>
      <c r="K1252" s="2" t="str">
        <f>J1252*8590.00</f>
        <v>0</v>
      </c>
      <c r="L1252" s="5"/>
    </row>
    <row r="1253" spans="1:12" outlineLevel="3">
      <c r="A1253" s="1"/>
      <c r="B1253" s="1">
        <v>959313</v>
      </c>
      <c r="C1253" s="1" t="s">
        <v>3823</v>
      </c>
      <c r="D1253" s="1">
        <v>67039</v>
      </c>
      <c r="E1253" s="2" t="s">
        <v>3824</v>
      </c>
      <c r="F1253" s="2" t="s">
        <v>3825</v>
      </c>
      <c r="G1253" s="2">
        <v>0</v>
      </c>
      <c r="H1253" s="2">
        <v>0</v>
      </c>
      <c r="I1253" s="1">
        <v>0</v>
      </c>
      <c r="J1253" s="3" t="s">
        <v>19</v>
      </c>
      <c r="K1253" s="2" t="str">
        <f>J1253*8007.00</f>
        <v>0</v>
      </c>
      <c r="L1253" s="5"/>
    </row>
    <row r="1254" spans="1:12" outlineLevel="3">
      <c r="A1254" s="1"/>
      <c r="B1254" s="1">
        <v>959314</v>
      </c>
      <c r="C1254" s="1" t="s">
        <v>3826</v>
      </c>
      <c r="D1254" s="1">
        <v>98051</v>
      </c>
      <c r="E1254" s="2" t="s">
        <v>3827</v>
      </c>
      <c r="F1254" s="2" t="s">
        <v>3828</v>
      </c>
      <c r="G1254" s="2">
        <v>0</v>
      </c>
      <c r="H1254" s="2">
        <v>0</v>
      </c>
      <c r="I1254" s="1">
        <v>0</v>
      </c>
      <c r="J1254" s="3" t="s">
        <v>19</v>
      </c>
      <c r="K1254" s="2" t="str">
        <f>J1254*7657.00</f>
        <v>0</v>
      </c>
      <c r="L1254" s="5"/>
    </row>
    <row r="1255" spans="1:12" outlineLevel="3">
      <c r="A1255" s="1"/>
      <c r="B1255" s="1">
        <v>959315</v>
      </c>
      <c r="C1255" s="1" t="s">
        <v>3829</v>
      </c>
      <c r="D1255" s="1">
        <v>60008</v>
      </c>
      <c r="E1255" s="2" t="s">
        <v>3830</v>
      </c>
      <c r="F1255" s="2" t="s">
        <v>3831</v>
      </c>
      <c r="G1255" s="2">
        <v>0</v>
      </c>
      <c r="H1255" s="2">
        <v>0</v>
      </c>
      <c r="I1255" s="1">
        <v>0</v>
      </c>
      <c r="J1255" s="3" t="s">
        <v>19</v>
      </c>
      <c r="K1255" s="2" t="str">
        <f>J1255*6445.00</f>
        <v>0</v>
      </c>
      <c r="L1255" s="5"/>
    </row>
    <row r="1256" spans="1:12" outlineLevel="3">
      <c r="A1256" s="1"/>
      <c r="B1256" s="1">
        <v>959316</v>
      </c>
      <c r="C1256" s="1" t="s">
        <v>3832</v>
      </c>
      <c r="D1256" s="1">
        <v>97927</v>
      </c>
      <c r="E1256" s="2" t="s">
        <v>3833</v>
      </c>
      <c r="F1256" s="2" t="s">
        <v>3834</v>
      </c>
      <c r="G1256" s="2">
        <v>0</v>
      </c>
      <c r="H1256" s="2">
        <v>0</v>
      </c>
      <c r="I1256" s="1">
        <v>0</v>
      </c>
      <c r="J1256" s="3" t="s">
        <v>19</v>
      </c>
      <c r="K1256" s="2" t="str">
        <f>J1256*7971.00</f>
        <v>0</v>
      </c>
      <c r="L1256" s="5"/>
    </row>
    <row r="1257" spans="1:12" outlineLevel="3">
      <c r="A1257" s="1"/>
      <c r="B1257" s="1">
        <v>959317</v>
      </c>
      <c r="C1257" s="1" t="s">
        <v>3835</v>
      </c>
      <c r="D1257" s="1">
        <v>44669</v>
      </c>
      <c r="E1257" s="2" t="s">
        <v>3836</v>
      </c>
      <c r="F1257" s="2" t="s">
        <v>3837</v>
      </c>
      <c r="G1257" s="2">
        <v>0</v>
      </c>
      <c r="H1257" s="2">
        <v>0</v>
      </c>
      <c r="I1257" s="1">
        <v>0</v>
      </c>
      <c r="J1257" s="3" t="s">
        <v>19</v>
      </c>
      <c r="K1257" s="2" t="str">
        <f>J1257*7491.00</f>
        <v>0</v>
      </c>
      <c r="L1257" s="5"/>
    </row>
    <row r="1258" spans="1:12" outlineLevel="3">
      <c r="A1258" s="1"/>
      <c r="B1258" s="1">
        <v>959318</v>
      </c>
      <c r="C1258" s="1" t="s">
        <v>3838</v>
      </c>
      <c r="D1258" s="1">
        <v>46933</v>
      </c>
      <c r="E1258" s="2" t="s">
        <v>3839</v>
      </c>
      <c r="F1258" s="2" t="s">
        <v>3840</v>
      </c>
      <c r="G1258" s="2">
        <v>0</v>
      </c>
      <c r="H1258" s="2">
        <v>0</v>
      </c>
      <c r="I1258" s="1">
        <v>0</v>
      </c>
      <c r="J1258" s="3" t="s">
        <v>19</v>
      </c>
      <c r="K1258" s="2" t="str">
        <f>J1258*8366.00</f>
        <v>0</v>
      </c>
      <c r="L1258" s="5"/>
    </row>
    <row r="1259" spans="1:12" outlineLevel="3">
      <c r="A1259" s="1"/>
      <c r="B1259" s="1">
        <v>959319</v>
      </c>
      <c r="C1259" s="1" t="s">
        <v>3841</v>
      </c>
      <c r="D1259" s="1">
        <v>75250</v>
      </c>
      <c r="E1259" s="2" t="s">
        <v>3842</v>
      </c>
      <c r="F1259" s="2" t="s">
        <v>3843</v>
      </c>
      <c r="G1259" s="2">
        <v>0</v>
      </c>
      <c r="H1259" s="2">
        <v>0</v>
      </c>
      <c r="I1259" s="1">
        <v>0</v>
      </c>
      <c r="J1259" s="3" t="s">
        <v>19</v>
      </c>
      <c r="K1259" s="2" t="str">
        <f>J1259*6912.00</f>
        <v>0</v>
      </c>
      <c r="L1259" s="5"/>
    </row>
    <row r="1260" spans="1:12" outlineLevel="3">
      <c r="A1260" s="1"/>
      <c r="B1260" s="1">
        <v>959320</v>
      </c>
      <c r="C1260" s="1" t="s">
        <v>3844</v>
      </c>
      <c r="D1260" s="1">
        <v>42343</v>
      </c>
      <c r="E1260" s="2" t="s">
        <v>3845</v>
      </c>
      <c r="F1260" s="2" t="s">
        <v>3846</v>
      </c>
      <c r="G1260" s="2">
        <v>0</v>
      </c>
      <c r="H1260" s="2">
        <v>0</v>
      </c>
      <c r="I1260" s="1">
        <v>0</v>
      </c>
      <c r="J1260" s="3" t="s">
        <v>19</v>
      </c>
      <c r="K1260" s="2" t="str">
        <f>J1260*9948.00</f>
        <v>0</v>
      </c>
      <c r="L1260" s="5"/>
    </row>
    <row r="1261" spans="1:12" outlineLevel="3">
      <c r="A1261" s="1"/>
      <c r="B1261" s="1">
        <v>959321</v>
      </c>
      <c r="C1261" s="1" t="s">
        <v>3847</v>
      </c>
      <c r="D1261" s="1">
        <v>49592</v>
      </c>
      <c r="E1261" s="2" t="s">
        <v>3848</v>
      </c>
      <c r="F1261" s="2" t="s">
        <v>3849</v>
      </c>
      <c r="G1261" s="2">
        <v>0</v>
      </c>
      <c r="H1261" s="2">
        <v>0</v>
      </c>
      <c r="I1261" s="1">
        <v>0</v>
      </c>
      <c r="J1261" s="3" t="s">
        <v>19</v>
      </c>
      <c r="K1261" s="2" t="str">
        <f>J1261*7267.00</f>
        <v>0</v>
      </c>
      <c r="L1261" s="5"/>
    </row>
    <row r="1262" spans="1:12" outlineLevel="3">
      <c r="A1262" s="1"/>
      <c r="B1262" s="1">
        <v>959322</v>
      </c>
      <c r="C1262" s="1" t="s">
        <v>3850</v>
      </c>
      <c r="D1262" s="1">
        <v>78856</v>
      </c>
      <c r="E1262" s="2" t="s">
        <v>3851</v>
      </c>
      <c r="F1262" s="2" t="s">
        <v>3852</v>
      </c>
      <c r="G1262" s="2">
        <v>0</v>
      </c>
      <c r="H1262" s="2">
        <v>0</v>
      </c>
      <c r="I1262" s="1">
        <v>0</v>
      </c>
      <c r="J1262" s="3" t="s">
        <v>19</v>
      </c>
      <c r="K1262" s="2" t="str">
        <f>J1262*10520.00</f>
        <v>0</v>
      </c>
      <c r="L1262" s="5"/>
    </row>
    <row r="1263" spans="1:12" outlineLevel="3">
      <c r="A1263" s="1"/>
      <c r="B1263" s="1">
        <v>959323</v>
      </c>
      <c r="C1263" s="1" t="s">
        <v>3853</v>
      </c>
      <c r="D1263" s="1">
        <v>97780</v>
      </c>
      <c r="E1263" s="2" t="s">
        <v>3854</v>
      </c>
      <c r="F1263" s="2" t="s">
        <v>3855</v>
      </c>
      <c r="G1263" s="2">
        <v>0</v>
      </c>
      <c r="H1263" s="2">
        <v>0</v>
      </c>
      <c r="I1263" s="1">
        <v>0</v>
      </c>
      <c r="J1263" s="3" t="s">
        <v>19</v>
      </c>
      <c r="K1263" s="2" t="str">
        <f>J1263*8416.00</f>
        <v>0</v>
      </c>
      <c r="L1263" s="5"/>
    </row>
    <row r="1264" spans="1:12" outlineLevel="3">
      <c r="A1264" s="1"/>
      <c r="B1264" s="1">
        <v>959324</v>
      </c>
      <c r="C1264" s="1" t="s">
        <v>3856</v>
      </c>
      <c r="D1264" s="1">
        <v>86498</v>
      </c>
      <c r="E1264" s="2" t="s">
        <v>3857</v>
      </c>
      <c r="F1264" s="2" t="s">
        <v>3858</v>
      </c>
      <c r="G1264" s="2">
        <v>0</v>
      </c>
      <c r="H1264" s="2">
        <v>0</v>
      </c>
      <c r="I1264" s="1">
        <v>0</v>
      </c>
      <c r="J1264" s="3" t="s">
        <v>19</v>
      </c>
      <c r="K1264" s="2" t="str">
        <f>J1264*11592.00</f>
        <v>0</v>
      </c>
      <c r="L1264" s="5"/>
    </row>
    <row r="1265" spans="1:12" outlineLevel="3">
      <c r="A1265" s="1"/>
      <c r="B1265" s="1">
        <v>959325</v>
      </c>
      <c r="C1265" s="1" t="s">
        <v>3859</v>
      </c>
      <c r="D1265" s="1">
        <v>29158</v>
      </c>
      <c r="E1265" s="2" t="s">
        <v>3860</v>
      </c>
      <c r="F1265" s="2" t="s">
        <v>3861</v>
      </c>
      <c r="G1265" s="2">
        <v>0</v>
      </c>
      <c r="H1265" s="2">
        <v>0</v>
      </c>
      <c r="I1265" s="1">
        <v>0</v>
      </c>
      <c r="J1265" s="3" t="s">
        <v>19</v>
      </c>
      <c r="K1265" s="2" t="str">
        <f>J1265*8589.00</f>
        <v>0</v>
      </c>
      <c r="L1265" s="5"/>
    </row>
    <row r="1266" spans="1:12" outlineLevel="3">
      <c r="A1266" s="1"/>
      <c r="B1266" s="1">
        <v>959326</v>
      </c>
      <c r="C1266" s="1" t="s">
        <v>3862</v>
      </c>
      <c r="D1266" s="1">
        <v>25207</v>
      </c>
      <c r="E1266" s="2" t="s">
        <v>3863</v>
      </c>
      <c r="F1266" s="2" t="s">
        <v>3864</v>
      </c>
      <c r="G1266" s="2">
        <v>0</v>
      </c>
      <c r="H1266" s="2">
        <v>0</v>
      </c>
      <c r="I1266" s="1">
        <v>0</v>
      </c>
      <c r="J1266" s="3" t="s">
        <v>19</v>
      </c>
      <c r="K1266" s="2" t="str">
        <f>J1266*9144.00</f>
        <v>0</v>
      </c>
      <c r="L1266" s="5"/>
    </row>
    <row r="1267" spans="1:12" outlineLevel="3">
      <c r="A1267" s="1"/>
      <c r="B1267" s="1">
        <v>959327</v>
      </c>
      <c r="C1267" s="1" t="s">
        <v>3865</v>
      </c>
      <c r="D1267" s="1">
        <v>45665</v>
      </c>
      <c r="E1267" s="2" t="s">
        <v>3866</v>
      </c>
      <c r="F1267" s="2" t="s">
        <v>3867</v>
      </c>
      <c r="G1267" s="2">
        <v>0</v>
      </c>
      <c r="H1267" s="2">
        <v>0</v>
      </c>
      <c r="I1267" s="1">
        <v>0</v>
      </c>
      <c r="J1267" s="3" t="s">
        <v>19</v>
      </c>
      <c r="K1267" s="2" t="str">
        <f>J1267*8853.00</f>
        <v>0</v>
      </c>
      <c r="L1267" s="5"/>
    </row>
    <row r="1268" spans="1:12" outlineLevel="3">
      <c r="A1268" s="1"/>
      <c r="B1268" s="1">
        <v>959328</v>
      </c>
      <c r="C1268" s="1" t="s">
        <v>3868</v>
      </c>
      <c r="D1268" s="1">
        <v>49119</v>
      </c>
      <c r="E1268" s="2" t="s">
        <v>3869</v>
      </c>
      <c r="F1268" s="2" t="s">
        <v>3870</v>
      </c>
      <c r="G1268" s="2">
        <v>0</v>
      </c>
      <c r="H1268" s="2">
        <v>0</v>
      </c>
      <c r="I1268" s="1">
        <v>0</v>
      </c>
      <c r="J1268" s="3" t="s">
        <v>19</v>
      </c>
      <c r="K1268" s="2" t="str">
        <f>J1268*12531.00</f>
        <v>0</v>
      </c>
      <c r="L1268" s="5"/>
    </row>
    <row r="1269" spans="1:12" outlineLevel="3">
      <c r="A1269" s="1"/>
      <c r="B1269" s="1">
        <v>959329</v>
      </c>
      <c r="C1269" s="1" t="s">
        <v>3871</v>
      </c>
      <c r="D1269" s="1">
        <v>74874</v>
      </c>
      <c r="E1269" s="2" t="s">
        <v>3872</v>
      </c>
      <c r="F1269" s="2" t="s">
        <v>3873</v>
      </c>
      <c r="G1269" s="2">
        <v>0</v>
      </c>
      <c r="H1269" s="2">
        <v>0</v>
      </c>
      <c r="I1269" s="1">
        <v>0</v>
      </c>
      <c r="J1269" s="3" t="s">
        <v>19</v>
      </c>
      <c r="K1269" s="2" t="str">
        <f>J1269*10757.00</f>
        <v>0</v>
      </c>
      <c r="L1269" s="5"/>
    </row>
    <row r="1270" spans="1:12" outlineLevel="3">
      <c r="A1270" s="1"/>
      <c r="B1270" s="1">
        <v>959330</v>
      </c>
      <c r="C1270" s="1" t="s">
        <v>3874</v>
      </c>
      <c r="D1270" s="1">
        <v>69603</v>
      </c>
      <c r="E1270" s="2" t="s">
        <v>3875</v>
      </c>
      <c r="F1270" s="2" t="s">
        <v>3876</v>
      </c>
      <c r="G1270" s="2">
        <v>0</v>
      </c>
      <c r="H1270" s="2">
        <v>0</v>
      </c>
      <c r="I1270" s="1">
        <v>0</v>
      </c>
      <c r="J1270" s="3" t="s">
        <v>19</v>
      </c>
      <c r="K1270" s="2" t="str">
        <f>J1270*10223.00</f>
        <v>0</v>
      </c>
      <c r="L1270" s="5"/>
    </row>
    <row r="1271" spans="1:12" outlineLevel="3">
      <c r="A1271" s="1"/>
      <c r="B1271" s="1">
        <v>959331</v>
      </c>
      <c r="C1271" s="1" t="s">
        <v>3877</v>
      </c>
      <c r="D1271" s="1">
        <v>62772</v>
      </c>
      <c r="E1271" s="2" t="s">
        <v>3878</v>
      </c>
      <c r="F1271" s="2" t="s">
        <v>3879</v>
      </c>
      <c r="G1271" s="2">
        <v>0</v>
      </c>
      <c r="H1271" s="2">
        <v>0</v>
      </c>
      <c r="I1271" s="1">
        <v>0</v>
      </c>
      <c r="J1271" s="3" t="s">
        <v>19</v>
      </c>
      <c r="K1271" s="2" t="str">
        <f>J1271*12822.00</f>
        <v>0</v>
      </c>
      <c r="L1271" s="5"/>
    </row>
    <row r="1272" spans="1:12" outlineLevel="3">
      <c r="A1272" s="1"/>
      <c r="B1272" s="1">
        <v>959332</v>
      </c>
      <c r="C1272" s="1" t="s">
        <v>3880</v>
      </c>
      <c r="D1272" s="1">
        <v>47481</v>
      </c>
      <c r="E1272" s="2" t="s">
        <v>3881</v>
      </c>
      <c r="F1272" s="2" t="s">
        <v>3882</v>
      </c>
      <c r="G1272" s="2">
        <v>0</v>
      </c>
      <c r="H1272" s="2">
        <v>0</v>
      </c>
      <c r="I1272" s="1">
        <v>0</v>
      </c>
      <c r="J1272" s="3" t="s">
        <v>19</v>
      </c>
      <c r="K1272" s="2" t="str">
        <f>J1272*12602.00</f>
        <v>0</v>
      </c>
      <c r="L1272" s="5"/>
    </row>
    <row r="1273" spans="1:12" outlineLevel="3">
      <c r="A1273" s="1"/>
      <c r="B1273" s="1">
        <v>959333</v>
      </c>
      <c r="C1273" s="1" t="s">
        <v>3883</v>
      </c>
      <c r="D1273" s="1">
        <v>91397</v>
      </c>
      <c r="E1273" s="2" t="s">
        <v>3884</v>
      </c>
      <c r="F1273" s="2" t="s">
        <v>3885</v>
      </c>
      <c r="G1273" s="2">
        <v>0</v>
      </c>
      <c r="H1273" s="2">
        <v>0</v>
      </c>
      <c r="I1273" s="1">
        <v>0</v>
      </c>
      <c r="J1273" s="3" t="s">
        <v>19</v>
      </c>
      <c r="K1273" s="2" t="str">
        <f>J1273*11984.00</f>
        <v>0</v>
      </c>
      <c r="L1273" s="5"/>
    </row>
    <row r="1274" spans="1:12" outlineLevel="3">
      <c r="A1274" s="1"/>
      <c r="B1274" s="1">
        <v>959334</v>
      </c>
      <c r="C1274" s="1" t="s">
        <v>3886</v>
      </c>
      <c r="D1274" s="1">
        <v>42466</v>
      </c>
      <c r="E1274" s="2" t="s">
        <v>3887</v>
      </c>
      <c r="F1274" s="2" t="s">
        <v>3888</v>
      </c>
      <c r="G1274" s="2">
        <v>0</v>
      </c>
      <c r="H1274" s="2">
        <v>0</v>
      </c>
      <c r="I1274" s="1">
        <v>0</v>
      </c>
      <c r="J1274" s="3" t="s">
        <v>19</v>
      </c>
      <c r="K1274" s="2" t="str">
        <f>J1274*15322.00</f>
        <v>0</v>
      </c>
      <c r="L1274" s="5"/>
    </row>
    <row r="1275" spans="1:12" outlineLevel="3">
      <c r="A1275" s="1"/>
      <c r="B1275" s="1">
        <v>959335</v>
      </c>
      <c r="C1275" s="1" t="s">
        <v>3889</v>
      </c>
      <c r="D1275" s="1">
        <v>85169</v>
      </c>
      <c r="E1275" s="2" t="s">
        <v>3890</v>
      </c>
      <c r="F1275" s="2" t="s">
        <v>3891</v>
      </c>
      <c r="G1275" s="2">
        <v>0</v>
      </c>
      <c r="H1275" s="2">
        <v>0</v>
      </c>
      <c r="I1275" s="1">
        <v>0</v>
      </c>
      <c r="J1275" s="3" t="s">
        <v>19</v>
      </c>
      <c r="K1275" s="2" t="str">
        <f>J1275*16170.00</f>
        <v>0</v>
      </c>
      <c r="L1275" s="5"/>
    </row>
    <row r="1276" spans="1:12" outlineLevel="3">
      <c r="A1276" s="1"/>
      <c r="B1276" s="1">
        <v>959336</v>
      </c>
      <c r="C1276" s="1" t="s">
        <v>3892</v>
      </c>
      <c r="D1276" s="1">
        <v>98415</v>
      </c>
      <c r="E1276" s="2" t="s">
        <v>3893</v>
      </c>
      <c r="F1276" s="2" t="s">
        <v>3894</v>
      </c>
      <c r="G1276" s="2">
        <v>0</v>
      </c>
      <c r="H1276" s="2">
        <v>0</v>
      </c>
      <c r="I1276" s="1">
        <v>0</v>
      </c>
      <c r="J1276" s="3" t="s">
        <v>19</v>
      </c>
      <c r="K1276" s="2" t="str">
        <f>J1276*23010.00</f>
        <v>0</v>
      </c>
      <c r="L1276" s="5"/>
    </row>
    <row r="1277" spans="1:12" outlineLevel="3">
      <c r="A1277" s="1"/>
      <c r="B1277" s="1">
        <v>959337</v>
      </c>
      <c r="C1277" s="1" t="s">
        <v>3895</v>
      </c>
      <c r="D1277" s="1">
        <v>11650</v>
      </c>
      <c r="E1277" s="2" t="s">
        <v>3896</v>
      </c>
      <c r="F1277" s="2" t="s">
        <v>3897</v>
      </c>
      <c r="G1277" s="2">
        <v>0</v>
      </c>
      <c r="H1277" s="2">
        <v>0</v>
      </c>
      <c r="I1277" s="1">
        <v>0</v>
      </c>
      <c r="J1277" s="3" t="s">
        <v>19</v>
      </c>
      <c r="K1277" s="2" t="str">
        <f>J1277*15865.00</f>
        <v>0</v>
      </c>
      <c r="L1277" s="5"/>
    </row>
    <row r="1278" spans="1:12" outlineLevel="3">
      <c r="A1278" s="1"/>
      <c r="B1278" s="1">
        <v>959338</v>
      </c>
      <c r="C1278" s="1" t="s">
        <v>3898</v>
      </c>
      <c r="D1278" s="1">
        <v>79083</v>
      </c>
      <c r="E1278" s="2" t="s">
        <v>3899</v>
      </c>
      <c r="F1278" s="2" t="s">
        <v>3900</v>
      </c>
      <c r="G1278" s="2">
        <v>0</v>
      </c>
      <c r="H1278" s="2">
        <v>0</v>
      </c>
      <c r="I1278" s="1">
        <v>0</v>
      </c>
      <c r="J1278" s="3" t="s">
        <v>19</v>
      </c>
      <c r="K1278" s="2" t="str">
        <f>J1278*16961.00</f>
        <v>0</v>
      </c>
      <c r="L1278" s="5"/>
    </row>
    <row r="1279" spans="1:12" outlineLevel="3">
      <c r="A1279" s="1"/>
      <c r="B1279" s="1">
        <v>959339</v>
      </c>
      <c r="C1279" s="1" t="s">
        <v>3901</v>
      </c>
      <c r="D1279" s="1">
        <v>57538</v>
      </c>
      <c r="E1279" s="2" t="s">
        <v>3902</v>
      </c>
      <c r="F1279" s="2" t="s">
        <v>3903</v>
      </c>
      <c r="G1279" s="2">
        <v>0</v>
      </c>
      <c r="H1279" s="2">
        <v>0</v>
      </c>
      <c r="I1279" s="1">
        <v>0</v>
      </c>
      <c r="J1279" s="3" t="s">
        <v>19</v>
      </c>
      <c r="K1279" s="2" t="str">
        <f>J1279*15299.00</f>
        <v>0</v>
      </c>
      <c r="L1279" s="5"/>
    </row>
    <row r="1280" spans="1:12" outlineLevel="3">
      <c r="A1280" s="1"/>
      <c r="B1280" s="1">
        <v>959340</v>
      </c>
      <c r="C1280" s="1" t="s">
        <v>3904</v>
      </c>
      <c r="D1280" s="1">
        <v>15281</v>
      </c>
      <c r="E1280" s="2" t="s">
        <v>3905</v>
      </c>
      <c r="F1280" s="2" t="s">
        <v>3906</v>
      </c>
      <c r="G1280" s="2">
        <v>0</v>
      </c>
      <c r="H1280" s="2">
        <v>0</v>
      </c>
      <c r="I1280" s="1">
        <v>0</v>
      </c>
      <c r="J1280" s="3" t="s">
        <v>19</v>
      </c>
      <c r="K1280" s="2" t="str">
        <f>J1280*16103.00</f>
        <v>0</v>
      </c>
      <c r="L1280" s="5"/>
    </row>
    <row r="1281" spans="1:12" outlineLevel="3">
      <c r="A1281" s="1"/>
      <c r="B1281" s="1">
        <v>959341</v>
      </c>
      <c r="C1281" s="1" t="s">
        <v>3907</v>
      </c>
      <c r="D1281" s="1">
        <v>72106</v>
      </c>
      <c r="E1281" s="2" t="s">
        <v>3908</v>
      </c>
      <c r="F1281" s="2" t="s">
        <v>3909</v>
      </c>
      <c r="G1281" s="2">
        <v>0</v>
      </c>
      <c r="H1281" s="2">
        <v>0</v>
      </c>
      <c r="I1281" s="1">
        <v>0</v>
      </c>
      <c r="J1281" s="3" t="s">
        <v>19</v>
      </c>
      <c r="K1281" s="2" t="str">
        <f>J1281*32769.00</f>
        <v>0</v>
      </c>
      <c r="L1281" s="5"/>
    </row>
    <row r="1282" spans="1:12" outlineLevel="3">
      <c r="A1282" s="1"/>
      <c r="B1282" s="1">
        <v>959342</v>
      </c>
      <c r="C1282" s="1" t="s">
        <v>3910</v>
      </c>
      <c r="D1282" s="1">
        <v>66268</v>
      </c>
      <c r="E1282" s="2" t="s">
        <v>3911</v>
      </c>
      <c r="F1282" s="2" t="s">
        <v>3912</v>
      </c>
      <c r="G1282" s="2">
        <v>0</v>
      </c>
      <c r="H1282" s="2">
        <v>0</v>
      </c>
      <c r="I1282" s="1">
        <v>0</v>
      </c>
      <c r="J1282" s="3" t="s">
        <v>19</v>
      </c>
      <c r="K1282" s="2" t="str">
        <f>J1282*29320.00</f>
        <v>0</v>
      </c>
      <c r="L1282" s="5"/>
    </row>
    <row r="1283" spans="1:12" outlineLevel="3">
      <c r="A1283" s="1"/>
      <c r="B1283" s="1">
        <v>959343</v>
      </c>
      <c r="C1283" s="1" t="s">
        <v>3913</v>
      </c>
      <c r="D1283" s="1">
        <v>66488</v>
      </c>
      <c r="E1283" s="2" t="s">
        <v>3914</v>
      </c>
      <c r="F1283" s="2" t="s">
        <v>3915</v>
      </c>
      <c r="G1283" s="2">
        <v>0</v>
      </c>
      <c r="H1283" s="2">
        <v>0</v>
      </c>
      <c r="I1283" s="1">
        <v>0</v>
      </c>
      <c r="J1283" s="3" t="s">
        <v>19</v>
      </c>
      <c r="K1283" s="2" t="str">
        <f>J1283*19316.00</f>
        <v>0</v>
      </c>
      <c r="L1283" s="5"/>
    </row>
    <row r="1284" spans="1:12" outlineLevel="3">
      <c r="A1284" s="1"/>
      <c r="B1284" s="1">
        <v>959344</v>
      </c>
      <c r="C1284" s="1" t="s">
        <v>3916</v>
      </c>
      <c r="D1284" s="1">
        <v>19499</v>
      </c>
      <c r="E1284" s="2" t="s">
        <v>3917</v>
      </c>
      <c r="F1284" s="2" t="s">
        <v>3918</v>
      </c>
      <c r="G1284" s="2">
        <v>0</v>
      </c>
      <c r="H1284" s="2">
        <v>0</v>
      </c>
      <c r="I1284" s="1">
        <v>0</v>
      </c>
      <c r="J1284" s="3" t="s">
        <v>19</v>
      </c>
      <c r="K1284" s="2" t="str">
        <f>J1284*20451.00</f>
        <v>0</v>
      </c>
      <c r="L1284" s="5"/>
    </row>
    <row r="1285" spans="1:12" outlineLevel="3">
      <c r="A1285" s="1"/>
      <c r="B1285" s="1">
        <v>959345</v>
      </c>
      <c r="C1285" s="1" t="s">
        <v>3919</v>
      </c>
      <c r="D1285" s="1">
        <v>74836</v>
      </c>
      <c r="E1285" s="2" t="s">
        <v>3920</v>
      </c>
      <c r="F1285" s="2" t="s">
        <v>3921</v>
      </c>
      <c r="G1285" s="2">
        <v>0</v>
      </c>
      <c r="H1285" s="2">
        <v>0</v>
      </c>
      <c r="I1285" s="1">
        <v>0</v>
      </c>
      <c r="J1285" s="3" t="s">
        <v>19</v>
      </c>
      <c r="K1285" s="2" t="str">
        <f>J1285*19559.00</f>
        <v>0</v>
      </c>
      <c r="L1285" s="5"/>
    </row>
    <row r="1286" spans="1:12" outlineLevel="3">
      <c r="A1286" s="1"/>
      <c r="B1286" s="1">
        <v>959346</v>
      </c>
      <c r="C1286" s="1" t="s">
        <v>3922</v>
      </c>
      <c r="D1286" s="1">
        <v>78657</v>
      </c>
      <c r="E1286" s="2" t="s">
        <v>3923</v>
      </c>
      <c r="F1286" s="2" t="s">
        <v>3924</v>
      </c>
      <c r="G1286" s="2">
        <v>0</v>
      </c>
      <c r="H1286" s="2">
        <v>0</v>
      </c>
      <c r="I1286" s="1">
        <v>0</v>
      </c>
      <c r="J1286" s="3" t="s">
        <v>19</v>
      </c>
      <c r="K1286" s="2" t="str">
        <f>J1286*27865.00</f>
        <v>0</v>
      </c>
      <c r="L1286" s="5"/>
    </row>
    <row r="1287" spans="1:12" outlineLevel="3">
      <c r="A1287" s="1"/>
      <c r="B1287" s="1">
        <v>959347</v>
      </c>
      <c r="C1287" s="1" t="s">
        <v>3925</v>
      </c>
      <c r="D1287" s="1">
        <v>96916</v>
      </c>
      <c r="E1287" s="2" t="s">
        <v>3926</v>
      </c>
      <c r="F1287" s="2" t="s">
        <v>3927</v>
      </c>
      <c r="G1287" s="2">
        <v>0</v>
      </c>
      <c r="H1287" s="2">
        <v>0</v>
      </c>
      <c r="I1287" s="1">
        <v>0</v>
      </c>
      <c r="J1287" s="3" t="s">
        <v>19</v>
      </c>
      <c r="K1287" s="2" t="str">
        <f>J1287*21755.00</f>
        <v>0</v>
      </c>
      <c r="L1287" s="5"/>
    </row>
    <row r="1288" spans="1:12" outlineLevel="3">
      <c r="A1288" s="1"/>
      <c r="B1288" s="1">
        <v>959348</v>
      </c>
      <c r="C1288" s="1" t="s">
        <v>3928</v>
      </c>
      <c r="D1288" s="1">
        <v>73650</v>
      </c>
      <c r="E1288" s="2" t="s">
        <v>3929</v>
      </c>
      <c r="F1288" s="2" t="s">
        <v>3930</v>
      </c>
      <c r="G1288" s="2">
        <v>0</v>
      </c>
      <c r="H1288" s="2">
        <v>0</v>
      </c>
      <c r="I1288" s="1">
        <v>0</v>
      </c>
      <c r="J1288" s="3" t="s">
        <v>19</v>
      </c>
      <c r="K1288" s="2" t="str">
        <f>J1288*23012.00</f>
        <v>0</v>
      </c>
      <c r="L1288" s="5"/>
    </row>
    <row r="1289" spans="1:12" outlineLevel="3">
      <c r="A1289" s="1"/>
      <c r="B1289" s="1">
        <v>959349</v>
      </c>
      <c r="C1289" s="1" t="s">
        <v>3931</v>
      </c>
      <c r="D1289" s="1">
        <v>63391</v>
      </c>
      <c r="E1289" s="2" t="s">
        <v>3932</v>
      </c>
      <c r="F1289" s="2" t="s">
        <v>3933</v>
      </c>
      <c r="G1289" s="2">
        <v>0</v>
      </c>
      <c r="H1289" s="2">
        <v>0</v>
      </c>
      <c r="I1289" s="1">
        <v>0</v>
      </c>
      <c r="J1289" s="3" t="s">
        <v>19</v>
      </c>
      <c r="K1289" s="2" t="str">
        <f>J1289*23259.00</f>
        <v>0</v>
      </c>
      <c r="L1289" s="5"/>
    </row>
    <row r="1290" spans="1:12" outlineLevel="3">
      <c r="A1290" s="1"/>
      <c r="B1290" s="1">
        <v>959350</v>
      </c>
      <c r="C1290" s="1" t="s">
        <v>3934</v>
      </c>
      <c r="D1290" s="1">
        <v>99327</v>
      </c>
      <c r="E1290" s="2" t="s">
        <v>3935</v>
      </c>
      <c r="F1290" s="2" t="s">
        <v>3936</v>
      </c>
      <c r="G1290" s="2">
        <v>0</v>
      </c>
      <c r="H1290" s="2">
        <v>0</v>
      </c>
      <c r="I1290" s="1">
        <v>0</v>
      </c>
      <c r="J1290" s="3" t="s">
        <v>19</v>
      </c>
      <c r="K1290" s="2" t="str">
        <f>J1290*46406.00</f>
        <v>0</v>
      </c>
      <c r="L1290" s="5"/>
    </row>
    <row r="1291" spans="1:12" outlineLevel="3">
      <c r="A1291" s="1"/>
      <c r="B1291" s="1">
        <v>959351</v>
      </c>
      <c r="C1291" s="1" t="s">
        <v>3937</v>
      </c>
      <c r="D1291" s="1">
        <v>49129</v>
      </c>
      <c r="E1291" s="2" t="s">
        <v>3938</v>
      </c>
      <c r="F1291" s="2" t="s">
        <v>3939</v>
      </c>
      <c r="G1291" s="2">
        <v>0</v>
      </c>
      <c r="H1291" s="2">
        <v>0</v>
      </c>
      <c r="I1291" s="1">
        <v>0</v>
      </c>
      <c r="J1291" s="3" t="s">
        <v>19</v>
      </c>
      <c r="K1291" s="2" t="str">
        <f>J1291*33835.00</f>
        <v>0</v>
      </c>
      <c r="L1291" s="5"/>
    </row>
    <row r="1292" spans="1:12" outlineLevel="3">
      <c r="A1292" s="1"/>
      <c r="B1292" s="1">
        <v>959352</v>
      </c>
      <c r="C1292" s="1" t="s">
        <v>3940</v>
      </c>
      <c r="D1292" s="1">
        <v>13896</v>
      </c>
      <c r="E1292" s="2" t="s">
        <v>3941</v>
      </c>
      <c r="F1292" s="2" t="s">
        <v>3942</v>
      </c>
      <c r="G1292" s="2">
        <v>0</v>
      </c>
      <c r="H1292" s="2">
        <v>0</v>
      </c>
      <c r="I1292" s="1">
        <v>0</v>
      </c>
      <c r="J1292" s="3" t="s">
        <v>19</v>
      </c>
      <c r="K1292" s="2" t="str">
        <f>J1292*36012.00</f>
        <v>0</v>
      </c>
      <c r="L1292" s="5"/>
    </row>
    <row r="1293" spans="1:12" outlineLevel="3">
      <c r="A1293" s="1"/>
      <c r="B1293" s="1">
        <v>959353</v>
      </c>
      <c r="C1293" s="1" t="s">
        <v>3943</v>
      </c>
      <c r="D1293" s="1">
        <v>52504</v>
      </c>
      <c r="E1293" s="2" t="s">
        <v>3944</v>
      </c>
      <c r="F1293" s="2" t="s">
        <v>3945</v>
      </c>
      <c r="G1293" s="2">
        <v>0</v>
      </c>
      <c r="H1293" s="2">
        <v>0</v>
      </c>
      <c r="I1293" s="1">
        <v>0</v>
      </c>
      <c r="J1293" s="3" t="s">
        <v>19</v>
      </c>
      <c r="K1293" s="2" t="str">
        <f>J1293*34798.00</f>
        <v>0</v>
      </c>
      <c r="L1293" s="5"/>
    </row>
    <row r="1294" spans="1:12" outlineLevel="3">
      <c r="A1294" s="1"/>
      <c r="B1294" s="1">
        <v>959354</v>
      </c>
      <c r="C1294" s="1" t="s">
        <v>3946</v>
      </c>
      <c r="D1294" s="1">
        <v>68424</v>
      </c>
      <c r="E1294" s="2" t="s">
        <v>3947</v>
      </c>
      <c r="F1294" s="2" t="s">
        <v>3948</v>
      </c>
      <c r="G1294" s="2">
        <v>0</v>
      </c>
      <c r="H1294" s="2">
        <v>0</v>
      </c>
      <c r="I1294" s="1">
        <v>0</v>
      </c>
      <c r="J1294" s="3" t="s">
        <v>19</v>
      </c>
      <c r="K1294" s="2" t="str">
        <f>J1294*47621.00</f>
        <v>0</v>
      </c>
      <c r="L1294" s="5"/>
    </row>
    <row r="1295" spans="1:12" outlineLevel="3">
      <c r="A1295" s="1"/>
      <c r="B1295" s="1">
        <v>959355</v>
      </c>
      <c r="C1295" s="1" t="s">
        <v>3949</v>
      </c>
      <c r="D1295" s="1">
        <v>82627</v>
      </c>
      <c r="E1295" s="2" t="s">
        <v>3950</v>
      </c>
      <c r="F1295" s="2" t="s">
        <v>3951</v>
      </c>
      <c r="G1295" s="2">
        <v>0</v>
      </c>
      <c r="H1295" s="2">
        <v>0</v>
      </c>
      <c r="I1295" s="1">
        <v>0</v>
      </c>
      <c r="J1295" s="3" t="s">
        <v>19</v>
      </c>
      <c r="K1295" s="2" t="str">
        <f>J1295*30518.00</f>
        <v>0</v>
      </c>
      <c r="L1295" s="5"/>
    </row>
    <row r="1296" spans="1:12" outlineLevel="3">
      <c r="A1296" s="1"/>
      <c r="B1296" s="1">
        <v>959356</v>
      </c>
      <c r="C1296" s="1" t="s">
        <v>3952</v>
      </c>
      <c r="D1296" s="1">
        <v>53738</v>
      </c>
      <c r="E1296" s="2" t="s">
        <v>3953</v>
      </c>
      <c r="F1296" s="2" t="s">
        <v>3954</v>
      </c>
      <c r="G1296" s="2">
        <v>0</v>
      </c>
      <c r="H1296" s="2">
        <v>0</v>
      </c>
      <c r="I1296" s="1">
        <v>0</v>
      </c>
      <c r="J1296" s="3" t="s">
        <v>19</v>
      </c>
      <c r="K1296" s="2" t="str">
        <f>J1296*32334.00</f>
        <v>0</v>
      </c>
      <c r="L1296" s="5"/>
    </row>
    <row r="1297" spans="1:12" outlineLevel="3">
      <c r="A1297" s="1"/>
      <c r="B1297" s="1">
        <v>959357</v>
      </c>
      <c r="C1297" s="1" t="s">
        <v>3955</v>
      </c>
      <c r="D1297" s="1">
        <v>55643</v>
      </c>
      <c r="E1297" s="2" t="s">
        <v>3956</v>
      </c>
      <c r="F1297" s="2" t="s">
        <v>3957</v>
      </c>
      <c r="G1297" s="2">
        <v>0</v>
      </c>
      <c r="H1297" s="2">
        <v>0</v>
      </c>
      <c r="I1297" s="1">
        <v>0</v>
      </c>
      <c r="J1297" s="3" t="s">
        <v>19</v>
      </c>
      <c r="K1297" s="2" t="str">
        <f>J1297*41530.00</f>
        <v>0</v>
      </c>
      <c r="L1297" s="5"/>
    </row>
    <row r="1298" spans="1:12" outlineLevel="3">
      <c r="A1298" s="1"/>
      <c r="B1298" s="1">
        <v>959358</v>
      </c>
      <c r="C1298" s="1" t="s">
        <v>3958</v>
      </c>
      <c r="D1298" s="1">
        <v>64097</v>
      </c>
      <c r="E1298" s="2" t="s">
        <v>3959</v>
      </c>
      <c r="F1298" s="2" t="s">
        <v>3960</v>
      </c>
      <c r="G1298" s="2">
        <v>0</v>
      </c>
      <c r="H1298" s="2">
        <v>0</v>
      </c>
      <c r="I1298" s="1">
        <v>0</v>
      </c>
      <c r="J1298" s="3" t="s">
        <v>19</v>
      </c>
      <c r="K1298" s="2" t="str">
        <f>J1298*29246.00</f>
        <v>0</v>
      </c>
      <c r="L1298" s="5"/>
    </row>
    <row r="1299" spans="1:12" outlineLevel="3">
      <c r="A1299" s="1"/>
      <c r="B1299" s="1">
        <v>959359</v>
      </c>
      <c r="C1299" s="1" t="s">
        <v>3961</v>
      </c>
      <c r="D1299" s="1">
        <v>88406</v>
      </c>
      <c r="E1299" s="2" t="s">
        <v>3962</v>
      </c>
      <c r="F1299" s="2" t="s">
        <v>3963</v>
      </c>
      <c r="G1299" s="2">
        <v>0</v>
      </c>
      <c r="H1299" s="2">
        <v>0</v>
      </c>
      <c r="I1299" s="1">
        <v>0</v>
      </c>
      <c r="J1299" s="3" t="s">
        <v>19</v>
      </c>
      <c r="K1299" s="2" t="str">
        <f>J1299*72376.00</f>
        <v>0</v>
      </c>
      <c r="L1299" s="5"/>
    </row>
    <row r="1300" spans="1:12" outlineLevel="3">
      <c r="A1300" s="1"/>
      <c r="B1300" s="1">
        <v>959360</v>
      </c>
      <c r="C1300" s="1" t="s">
        <v>3964</v>
      </c>
      <c r="D1300" s="1">
        <v>73232</v>
      </c>
      <c r="E1300" s="2" t="s">
        <v>3965</v>
      </c>
      <c r="F1300" s="2" t="s">
        <v>3966</v>
      </c>
      <c r="G1300" s="2">
        <v>0</v>
      </c>
      <c r="H1300" s="2">
        <v>0</v>
      </c>
      <c r="I1300" s="1">
        <v>0</v>
      </c>
      <c r="J1300" s="3" t="s">
        <v>19</v>
      </c>
      <c r="K1300" s="2" t="str">
        <f>J1300*79519.00</f>
        <v>0</v>
      </c>
      <c r="L1300" s="5"/>
    </row>
    <row r="1301" spans="1:12" outlineLevel="3">
      <c r="A1301" s="1"/>
      <c r="B1301" s="1">
        <v>959361</v>
      </c>
      <c r="C1301" s="1" t="s">
        <v>3967</v>
      </c>
      <c r="D1301" s="1">
        <v>92484</v>
      </c>
      <c r="E1301" s="2" t="s">
        <v>3968</v>
      </c>
      <c r="F1301" s="2" t="s">
        <v>3969</v>
      </c>
      <c r="G1301" s="2">
        <v>0</v>
      </c>
      <c r="H1301" s="2">
        <v>0</v>
      </c>
      <c r="I1301" s="1">
        <v>0</v>
      </c>
      <c r="J1301" s="3" t="s">
        <v>19</v>
      </c>
      <c r="K1301" s="2" t="str">
        <f>J1301*83879.00</f>
        <v>0</v>
      </c>
      <c r="L1301" s="5"/>
    </row>
    <row r="1302" spans="1:12" outlineLevel="3">
      <c r="A1302" s="1"/>
      <c r="B1302" s="1">
        <v>959362</v>
      </c>
      <c r="C1302" s="1" t="s">
        <v>3970</v>
      </c>
      <c r="D1302" s="1">
        <v>79085</v>
      </c>
      <c r="E1302" s="2" t="s">
        <v>3971</v>
      </c>
      <c r="F1302" s="2" t="s">
        <v>3972</v>
      </c>
      <c r="G1302" s="2">
        <v>0</v>
      </c>
      <c r="H1302" s="2">
        <v>0</v>
      </c>
      <c r="I1302" s="1">
        <v>0</v>
      </c>
      <c r="J1302" s="3" t="s">
        <v>19</v>
      </c>
      <c r="K1302" s="2" t="str">
        <f>J1302*89118.00</f>
        <v>0</v>
      </c>
      <c r="L1302" s="5"/>
    </row>
    <row r="1303" spans="1:12" outlineLevel="3">
      <c r="A1303" s="1"/>
      <c r="B1303" s="1">
        <v>959363</v>
      </c>
      <c r="C1303" s="1" t="s">
        <v>3973</v>
      </c>
      <c r="D1303" s="1">
        <v>11081</v>
      </c>
      <c r="E1303" s="2" t="s">
        <v>3974</v>
      </c>
      <c r="F1303" s="2" t="s">
        <v>3975</v>
      </c>
      <c r="G1303" s="2">
        <v>0</v>
      </c>
      <c r="H1303" s="2">
        <v>0</v>
      </c>
      <c r="I1303" s="1">
        <v>0</v>
      </c>
      <c r="J1303" s="3" t="s">
        <v>19</v>
      </c>
      <c r="K1303" s="2" t="str">
        <f>J1303*49323.00</f>
        <v>0</v>
      </c>
      <c r="L1303" s="5"/>
    </row>
    <row r="1304" spans="1:12" outlineLevel="3">
      <c r="A1304" s="1"/>
      <c r="B1304" s="1">
        <v>959364</v>
      </c>
      <c r="C1304" s="1" t="s">
        <v>3976</v>
      </c>
      <c r="D1304" s="1">
        <v>37280</v>
      </c>
      <c r="E1304" s="2" t="s">
        <v>3977</v>
      </c>
      <c r="F1304" s="2" t="s">
        <v>3978</v>
      </c>
      <c r="G1304" s="2">
        <v>0</v>
      </c>
      <c r="H1304" s="2">
        <v>0</v>
      </c>
      <c r="I1304" s="1">
        <v>0</v>
      </c>
      <c r="J1304" s="3" t="s">
        <v>19</v>
      </c>
      <c r="K1304" s="2" t="str">
        <f>J1304*58394.00</f>
        <v>0</v>
      </c>
      <c r="L1304" s="5"/>
    </row>
    <row r="1305" spans="1:12" outlineLevel="3">
      <c r="A1305" s="1"/>
      <c r="B1305" s="1">
        <v>959365</v>
      </c>
      <c r="C1305" s="1" t="s">
        <v>3979</v>
      </c>
      <c r="D1305" s="1">
        <v>84651</v>
      </c>
      <c r="E1305" s="2" t="s">
        <v>3980</v>
      </c>
      <c r="F1305" s="2" t="s">
        <v>3981</v>
      </c>
      <c r="G1305" s="2">
        <v>0</v>
      </c>
      <c r="H1305" s="2">
        <v>0</v>
      </c>
      <c r="I1305" s="1">
        <v>0</v>
      </c>
      <c r="J1305" s="3" t="s">
        <v>19</v>
      </c>
      <c r="K1305" s="2" t="str">
        <f>J1305*50319.00</f>
        <v>0</v>
      </c>
      <c r="L1305" s="5"/>
    </row>
    <row r="1306" spans="1:12" outlineLevel="3">
      <c r="A1306" s="1"/>
      <c r="B1306" s="1">
        <v>959366</v>
      </c>
      <c r="C1306" s="1" t="s">
        <v>3982</v>
      </c>
      <c r="D1306" s="1">
        <v>85132</v>
      </c>
      <c r="E1306" s="2" t="s">
        <v>3983</v>
      </c>
      <c r="F1306" s="2" t="s">
        <v>3984</v>
      </c>
      <c r="G1306" s="2">
        <v>0</v>
      </c>
      <c r="H1306" s="2">
        <v>0</v>
      </c>
      <c r="I1306" s="1">
        <v>0</v>
      </c>
      <c r="J1306" s="3" t="s">
        <v>19</v>
      </c>
      <c r="K1306" s="2" t="str">
        <f>J1306*71337.00</f>
        <v>0</v>
      </c>
      <c r="L1306" s="5"/>
    </row>
    <row r="1307" spans="1:12" outlineLevel="3">
      <c r="A1307" s="1"/>
      <c r="B1307" s="1">
        <v>959367</v>
      </c>
      <c r="C1307" s="1" t="s">
        <v>3985</v>
      </c>
      <c r="D1307" s="1">
        <v>48703</v>
      </c>
      <c r="E1307" s="2" t="s">
        <v>3986</v>
      </c>
      <c r="F1307" s="2" t="s">
        <v>3987</v>
      </c>
      <c r="G1307" s="2">
        <v>0</v>
      </c>
      <c r="H1307" s="2">
        <v>0</v>
      </c>
      <c r="I1307" s="1">
        <v>0</v>
      </c>
      <c r="J1307" s="3" t="s">
        <v>19</v>
      </c>
      <c r="K1307" s="2" t="str">
        <f>J1307*79515.00</f>
        <v>0</v>
      </c>
      <c r="L1307" s="5"/>
    </row>
    <row r="1308" spans="1:12" outlineLevel="3">
      <c r="A1308" s="1"/>
      <c r="B1308" s="1">
        <v>959368</v>
      </c>
      <c r="C1308" s="1" t="s">
        <v>3988</v>
      </c>
      <c r="D1308" s="1">
        <v>31388</v>
      </c>
      <c r="E1308" s="2" t="s">
        <v>3989</v>
      </c>
      <c r="F1308" s="2" t="s">
        <v>3990</v>
      </c>
      <c r="G1308" s="2">
        <v>0</v>
      </c>
      <c r="H1308" s="2">
        <v>0</v>
      </c>
      <c r="I1308" s="1">
        <v>0</v>
      </c>
      <c r="J1308" s="3" t="s">
        <v>19</v>
      </c>
      <c r="K1308" s="2" t="str">
        <f>J1308*83325.00</f>
        <v>0</v>
      </c>
      <c r="L1308" s="5"/>
    </row>
    <row r="1309" spans="1:12" outlineLevel="3">
      <c r="A1309" s="1"/>
      <c r="B1309" s="1">
        <v>959369</v>
      </c>
      <c r="C1309" s="1" t="s">
        <v>3991</v>
      </c>
      <c r="D1309" s="1">
        <v>16658</v>
      </c>
      <c r="E1309" s="2" t="s">
        <v>3992</v>
      </c>
      <c r="F1309" s="2" t="s">
        <v>3993</v>
      </c>
      <c r="G1309" s="2">
        <v>0</v>
      </c>
      <c r="H1309" s="2">
        <v>0</v>
      </c>
      <c r="I1309" s="1">
        <v>0</v>
      </c>
      <c r="J1309" s="3" t="s">
        <v>19</v>
      </c>
      <c r="K1309" s="2" t="str">
        <f>J1309*103826.00</f>
        <v>0</v>
      </c>
      <c r="L1309" s="5"/>
    </row>
    <row r="1310" spans="1:12" outlineLevel="3">
      <c r="A1310" s="1"/>
      <c r="B1310" s="1">
        <v>959370</v>
      </c>
      <c r="C1310" s="1" t="s">
        <v>3994</v>
      </c>
      <c r="D1310" s="1">
        <v>46746</v>
      </c>
      <c r="E1310" s="2" t="s">
        <v>3995</v>
      </c>
      <c r="F1310" s="2" t="s">
        <v>3996</v>
      </c>
      <c r="G1310" s="2">
        <v>0</v>
      </c>
      <c r="H1310" s="2">
        <v>0</v>
      </c>
      <c r="I1310" s="1">
        <v>0</v>
      </c>
      <c r="J1310" s="3" t="s">
        <v>19</v>
      </c>
      <c r="K1310" s="2" t="str">
        <f>J1310*95126.00</f>
        <v>0</v>
      </c>
      <c r="L1310" s="5"/>
    </row>
    <row r="1311" spans="1:12" outlineLevel="3">
      <c r="A1311" s="1"/>
      <c r="B1311" s="1">
        <v>959371</v>
      </c>
      <c r="C1311" s="1" t="s">
        <v>3997</v>
      </c>
      <c r="D1311" s="1">
        <v>79639</v>
      </c>
      <c r="E1311" s="2" t="s">
        <v>3998</v>
      </c>
      <c r="F1311" s="2" t="s">
        <v>3999</v>
      </c>
      <c r="G1311" s="2">
        <v>0</v>
      </c>
      <c r="H1311" s="2">
        <v>0</v>
      </c>
      <c r="I1311" s="1">
        <v>0</v>
      </c>
      <c r="J1311" s="3" t="s">
        <v>19</v>
      </c>
      <c r="K1311" s="2" t="str">
        <f>J1311*115659.00</f>
        <v>0</v>
      </c>
      <c r="L1311" s="5"/>
    </row>
    <row r="1312" spans="1:12" outlineLevel="3">
      <c r="A1312" s="1"/>
      <c r="B1312" s="1">
        <v>959372</v>
      </c>
      <c r="C1312" s="1" t="s">
        <v>4000</v>
      </c>
      <c r="D1312" s="1">
        <v>13356</v>
      </c>
      <c r="E1312" s="2" t="s">
        <v>4001</v>
      </c>
      <c r="F1312" s="2" t="s">
        <v>4002</v>
      </c>
      <c r="G1312" s="2">
        <v>0</v>
      </c>
      <c r="H1312" s="2">
        <v>0</v>
      </c>
      <c r="I1312" s="1">
        <v>0</v>
      </c>
      <c r="J1312" s="3" t="s">
        <v>19</v>
      </c>
      <c r="K1312" s="2" t="str">
        <f>J1312*77826.00</f>
        <v>0</v>
      </c>
      <c r="L1312" s="5"/>
    </row>
    <row r="1313" spans="1:12" outlineLevel="3">
      <c r="A1313" s="1"/>
      <c r="B1313" s="1">
        <v>959373</v>
      </c>
      <c r="C1313" s="1" t="s">
        <v>4003</v>
      </c>
      <c r="D1313" s="1">
        <v>71642</v>
      </c>
      <c r="E1313" s="2" t="s">
        <v>4004</v>
      </c>
      <c r="F1313" s="2" t="s">
        <v>4005</v>
      </c>
      <c r="G1313" s="2">
        <v>0</v>
      </c>
      <c r="H1313" s="2">
        <v>0</v>
      </c>
      <c r="I1313" s="1">
        <v>0</v>
      </c>
      <c r="J1313" s="3" t="s">
        <v>19</v>
      </c>
      <c r="K1313" s="2" t="str">
        <f>J1313*70619.00</f>
        <v>0</v>
      </c>
      <c r="L1313" s="5"/>
    </row>
    <row r="1314" spans="1:12" outlineLevel="3">
      <c r="A1314" s="1"/>
      <c r="B1314" s="1">
        <v>959374</v>
      </c>
      <c r="C1314" s="1" t="s">
        <v>4006</v>
      </c>
      <c r="D1314" s="1">
        <v>43898</v>
      </c>
      <c r="E1314" s="2" t="s">
        <v>4007</v>
      </c>
      <c r="F1314" s="2" t="s">
        <v>4008</v>
      </c>
      <c r="G1314" s="2">
        <v>0</v>
      </c>
      <c r="H1314" s="2">
        <v>0</v>
      </c>
      <c r="I1314" s="1">
        <v>0</v>
      </c>
      <c r="J1314" s="3" t="s">
        <v>19</v>
      </c>
      <c r="K1314" s="2" t="str">
        <f>J1314*98998.00</f>
        <v>0</v>
      </c>
      <c r="L1314" s="5"/>
    </row>
    <row r="1315" spans="1:12" outlineLevel="3">
      <c r="A1315" s="1"/>
      <c r="B1315" s="1">
        <v>959375</v>
      </c>
      <c r="C1315" s="1" t="s">
        <v>4009</v>
      </c>
      <c r="D1315" s="1">
        <v>81374</v>
      </c>
      <c r="E1315" s="2" t="s">
        <v>4010</v>
      </c>
      <c r="F1315" s="2" t="s">
        <v>4011</v>
      </c>
      <c r="G1315" s="2">
        <v>0</v>
      </c>
      <c r="H1315" s="2">
        <v>0</v>
      </c>
      <c r="I1315" s="1">
        <v>0</v>
      </c>
      <c r="J1315" s="3" t="s">
        <v>19</v>
      </c>
      <c r="K1315" s="2" t="str">
        <f>J1315*5445.00</f>
        <v>0</v>
      </c>
      <c r="L1315" s="5"/>
    </row>
    <row r="1316" spans="1:12" outlineLevel="3">
      <c r="A1316" s="1"/>
      <c r="B1316" s="1">
        <v>959376</v>
      </c>
      <c r="C1316" s="1" t="s">
        <v>4012</v>
      </c>
      <c r="D1316" s="1">
        <v>90689</v>
      </c>
      <c r="E1316" s="2" t="s">
        <v>4013</v>
      </c>
      <c r="F1316" s="2" t="s">
        <v>4014</v>
      </c>
      <c r="G1316" s="2">
        <v>0</v>
      </c>
      <c r="H1316" s="2">
        <v>0</v>
      </c>
      <c r="I1316" s="1">
        <v>0</v>
      </c>
      <c r="J1316" s="3" t="s">
        <v>19</v>
      </c>
      <c r="K1316" s="2" t="str">
        <f>J1316*5280.00</f>
        <v>0</v>
      </c>
      <c r="L1316" s="5"/>
    </row>
    <row r="1317" spans="1:12" outlineLevel="3">
      <c r="A1317" s="1"/>
      <c r="B1317" s="1">
        <v>959377</v>
      </c>
      <c r="C1317" s="1" t="s">
        <v>4015</v>
      </c>
      <c r="D1317" s="1">
        <v>42405</v>
      </c>
      <c r="E1317" s="2" t="s">
        <v>4016</v>
      </c>
      <c r="F1317" s="2" t="s">
        <v>4017</v>
      </c>
      <c r="G1317" s="2">
        <v>0</v>
      </c>
      <c r="H1317" s="2">
        <v>0</v>
      </c>
      <c r="I1317" s="1">
        <v>0</v>
      </c>
      <c r="J1317" s="3" t="s">
        <v>19</v>
      </c>
      <c r="K1317" s="2" t="str">
        <f>J1317*7685.00</f>
        <v>0</v>
      </c>
      <c r="L1317" s="5"/>
    </row>
    <row r="1318" spans="1:12" outlineLevel="3">
      <c r="A1318" s="1"/>
      <c r="B1318" s="1">
        <v>959378</v>
      </c>
      <c r="C1318" s="1" t="s">
        <v>4018</v>
      </c>
      <c r="D1318" s="1">
        <v>80129</v>
      </c>
      <c r="E1318" s="2" t="s">
        <v>4019</v>
      </c>
      <c r="F1318" s="2" t="s">
        <v>4020</v>
      </c>
      <c r="G1318" s="2">
        <v>0</v>
      </c>
      <c r="H1318" s="2">
        <v>0</v>
      </c>
      <c r="I1318" s="1">
        <v>0</v>
      </c>
      <c r="J1318" s="3" t="s">
        <v>19</v>
      </c>
      <c r="K1318" s="2" t="str">
        <f>J1318*9639.00</f>
        <v>0</v>
      </c>
      <c r="L1318" s="5"/>
    </row>
    <row r="1319" spans="1:12" outlineLevel="3">
      <c r="A1319" s="1"/>
      <c r="B1319" s="1">
        <v>959379</v>
      </c>
      <c r="C1319" s="1" t="s">
        <v>4021</v>
      </c>
      <c r="D1319" s="1">
        <v>72745</v>
      </c>
      <c r="E1319" s="2" t="s">
        <v>4022</v>
      </c>
      <c r="F1319" s="2" t="s">
        <v>4023</v>
      </c>
      <c r="G1319" s="2">
        <v>0</v>
      </c>
      <c r="H1319" s="2">
        <v>0</v>
      </c>
      <c r="I1319" s="1">
        <v>0</v>
      </c>
      <c r="J1319" s="3" t="s">
        <v>19</v>
      </c>
      <c r="K1319" s="2" t="str">
        <f>J1319*8439.00</f>
        <v>0</v>
      </c>
      <c r="L1319" s="5"/>
    </row>
    <row r="1320" spans="1:12" outlineLevel="3">
      <c r="A1320" s="1"/>
      <c r="B1320" s="1">
        <v>959380</v>
      </c>
      <c r="C1320" s="1" t="s">
        <v>4024</v>
      </c>
      <c r="D1320" s="1">
        <v>52611</v>
      </c>
      <c r="E1320" s="2" t="s">
        <v>4025</v>
      </c>
      <c r="F1320" s="2" t="s">
        <v>4026</v>
      </c>
      <c r="G1320" s="2">
        <v>0</v>
      </c>
      <c r="H1320" s="2">
        <v>0</v>
      </c>
      <c r="I1320" s="1">
        <v>0</v>
      </c>
      <c r="J1320" s="3" t="s">
        <v>19</v>
      </c>
      <c r="K1320" s="2" t="str">
        <f>J1320*8882.00</f>
        <v>0</v>
      </c>
      <c r="L1320" s="5"/>
    </row>
    <row r="1321" spans="1:12" outlineLevel="3">
      <c r="A1321" s="1"/>
      <c r="B1321" s="1">
        <v>959381</v>
      </c>
      <c r="C1321" s="1" t="s">
        <v>4027</v>
      </c>
      <c r="D1321" s="1">
        <v>90277</v>
      </c>
      <c r="E1321" s="2" t="s">
        <v>4028</v>
      </c>
      <c r="F1321" s="2" t="s">
        <v>4029</v>
      </c>
      <c r="G1321" s="2">
        <v>0</v>
      </c>
      <c r="H1321" s="2">
        <v>0</v>
      </c>
      <c r="I1321" s="1">
        <v>0</v>
      </c>
      <c r="J1321" s="3" t="s">
        <v>19</v>
      </c>
      <c r="K1321" s="2" t="str">
        <f>J1321*8724.00</f>
        <v>0</v>
      </c>
      <c r="L1321" s="5"/>
    </row>
    <row r="1322" spans="1:12" outlineLevel="3">
      <c r="A1322" s="1"/>
      <c r="B1322" s="1">
        <v>959382</v>
      </c>
      <c r="C1322" s="1" t="s">
        <v>4030</v>
      </c>
      <c r="D1322" s="1">
        <v>27942</v>
      </c>
      <c r="E1322" s="2" t="s">
        <v>4031</v>
      </c>
      <c r="F1322" s="2" t="s">
        <v>4032</v>
      </c>
      <c r="G1322" s="2">
        <v>0</v>
      </c>
      <c r="H1322" s="2">
        <v>0</v>
      </c>
      <c r="I1322" s="1">
        <v>0</v>
      </c>
      <c r="J1322" s="3" t="s">
        <v>19</v>
      </c>
      <c r="K1322" s="2" t="str">
        <f>J1322*9397.00</f>
        <v>0</v>
      </c>
      <c r="L1322" s="5"/>
    </row>
    <row r="1323" spans="1:12" outlineLevel="3">
      <c r="A1323" s="1"/>
      <c r="B1323" s="1">
        <v>959383</v>
      </c>
      <c r="C1323" s="1" t="s">
        <v>4033</v>
      </c>
      <c r="D1323" s="1">
        <v>51528</v>
      </c>
      <c r="E1323" s="2" t="s">
        <v>4034</v>
      </c>
      <c r="F1323" s="2" t="s">
        <v>4035</v>
      </c>
      <c r="G1323" s="2">
        <v>0</v>
      </c>
      <c r="H1323" s="2">
        <v>0</v>
      </c>
      <c r="I1323" s="1">
        <v>0</v>
      </c>
      <c r="J1323" s="3" t="s">
        <v>19</v>
      </c>
      <c r="K1323" s="2" t="str">
        <f>J1323*10749.00</f>
        <v>0</v>
      </c>
      <c r="L1323" s="5"/>
    </row>
    <row r="1324" spans="1:12" outlineLevel="3">
      <c r="A1324" s="1"/>
      <c r="B1324" s="1">
        <v>959384</v>
      </c>
      <c r="C1324" s="1" t="s">
        <v>4036</v>
      </c>
      <c r="D1324" s="1">
        <v>25101</v>
      </c>
      <c r="E1324" s="2" t="s">
        <v>4037</v>
      </c>
      <c r="F1324" s="2" t="s">
        <v>4038</v>
      </c>
      <c r="G1324" s="2">
        <v>0</v>
      </c>
      <c r="H1324" s="2">
        <v>0</v>
      </c>
      <c r="I1324" s="1">
        <v>0</v>
      </c>
      <c r="J1324" s="3" t="s">
        <v>19</v>
      </c>
      <c r="K1324" s="2" t="str">
        <f>J1324*11215.00</f>
        <v>0</v>
      </c>
      <c r="L1324" s="5"/>
    </row>
    <row r="1325" spans="1:12" outlineLevel="3">
      <c r="A1325" s="1"/>
      <c r="B1325" s="1">
        <v>959385</v>
      </c>
      <c r="C1325" s="1" t="s">
        <v>4039</v>
      </c>
      <c r="D1325" s="1">
        <v>40764</v>
      </c>
      <c r="E1325" s="2" t="s">
        <v>4040</v>
      </c>
      <c r="F1325" s="2" t="s">
        <v>4041</v>
      </c>
      <c r="G1325" s="2">
        <v>0</v>
      </c>
      <c r="H1325" s="2">
        <v>0</v>
      </c>
      <c r="I1325" s="1">
        <v>0</v>
      </c>
      <c r="J1325" s="3" t="s">
        <v>19</v>
      </c>
      <c r="K1325" s="2" t="str">
        <f>J1325*13153.00</f>
        <v>0</v>
      </c>
      <c r="L1325" s="5"/>
    </row>
    <row r="1326" spans="1:12" outlineLevel="3">
      <c r="A1326" s="1"/>
      <c r="B1326" s="1">
        <v>959386</v>
      </c>
      <c r="C1326" s="1" t="s">
        <v>4042</v>
      </c>
      <c r="D1326" s="1">
        <v>85190</v>
      </c>
      <c r="E1326" s="2" t="s">
        <v>4043</v>
      </c>
      <c r="F1326" s="2" t="s">
        <v>4044</v>
      </c>
      <c r="G1326" s="2">
        <v>0</v>
      </c>
      <c r="H1326" s="2">
        <v>0</v>
      </c>
      <c r="I1326" s="1">
        <v>0</v>
      </c>
      <c r="J1326" s="3" t="s">
        <v>19</v>
      </c>
      <c r="K1326" s="2" t="str">
        <f>J1326*13906.00</f>
        <v>0</v>
      </c>
      <c r="L1326" s="5"/>
    </row>
    <row r="1327" spans="1:12" outlineLevel="3">
      <c r="A1327" s="1"/>
      <c r="B1327" s="1">
        <v>959387</v>
      </c>
      <c r="C1327" s="1" t="s">
        <v>4045</v>
      </c>
      <c r="D1327" s="1">
        <v>27244</v>
      </c>
      <c r="E1327" s="2" t="s">
        <v>4046</v>
      </c>
      <c r="F1327" s="2" t="s">
        <v>4047</v>
      </c>
      <c r="G1327" s="2">
        <v>0</v>
      </c>
      <c r="H1327" s="2">
        <v>0</v>
      </c>
      <c r="I1327" s="1">
        <v>0</v>
      </c>
      <c r="J1327" s="3" t="s">
        <v>19</v>
      </c>
      <c r="K1327" s="2" t="str">
        <f>J1327*12141.00</f>
        <v>0</v>
      </c>
      <c r="L1327" s="5"/>
    </row>
    <row r="1328" spans="1:12" outlineLevel="3">
      <c r="A1328" s="1"/>
      <c r="B1328" s="1">
        <v>959388</v>
      </c>
      <c r="C1328" s="1" t="s">
        <v>4048</v>
      </c>
      <c r="D1328" s="1">
        <v>22174</v>
      </c>
      <c r="E1328" s="2" t="s">
        <v>4049</v>
      </c>
      <c r="F1328" s="2" t="s">
        <v>4050</v>
      </c>
      <c r="G1328" s="2">
        <v>0</v>
      </c>
      <c r="H1328" s="2">
        <v>0</v>
      </c>
      <c r="I1328" s="1">
        <v>0</v>
      </c>
      <c r="J1328" s="3" t="s">
        <v>19</v>
      </c>
      <c r="K1328" s="2" t="str">
        <f>J1328*13108.00</f>
        <v>0</v>
      </c>
      <c r="L1328" s="5"/>
    </row>
    <row r="1329" spans="1:12" outlineLevel="3">
      <c r="A1329" s="1"/>
      <c r="B1329" s="1">
        <v>959389</v>
      </c>
      <c r="C1329" s="1" t="s">
        <v>4051</v>
      </c>
      <c r="D1329" s="1">
        <v>93780</v>
      </c>
      <c r="E1329" s="2" t="s">
        <v>4052</v>
      </c>
      <c r="F1329" s="2" t="s">
        <v>4053</v>
      </c>
      <c r="G1329" s="2">
        <v>0</v>
      </c>
      <c r="H1329" s="2">
        <v>0</v>
      </c>
      <c r="I1329" s="1">
        <v>0</v>
      </c>
      <c r="J1329" s="3" t="s">
        <v>19</v>
      </c>
      <c r="K1329" s="2" t="str">
        <f>J1329*13316.00</f>
        <v>0</v>
      </c>
      <c r="L132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55:K155"/>
    <mergeCell ref="A274:K274"/>
    <mergeCell ref="A310:K310"/>
    <mergeCell ref="A376:K376"/>
    <mergeCell ref="A532:K532"/>
    <mergeCell ref="A827:K827"/>
    <mergeCell ref="A1001:K1001"/>
    <mergeCell ref="A1021:K1021"/>
    <mergeCell ref="A1081:K1081"/>
    <mergeCell ref="A1102:K1102"/>
    <mergeCell ref="A1141:K1141"/>
    <mergeCell ref="A1148:K1148"/>
    <mergeCell ref="A1200:K1200"/>
    <mergeCell ref="A1233:K1233"/>
    <mergeCell ref="A4:K4"/>
    <mergeCell ref="A65:K65"/>
    <mergeCell ref="A124:K124"/>
    <mergeCell ref="A156:K156"/>
    <mergeCell ref="A163:K163"/>
    <mergeCell ref="A182:K182"/>
    <mergeCell ref="A201:K201"/>
    <mergeCell ref="A233:K233"/>
    <mergeCell ref="A275:K275"/>
    <mergeCell ref="A282:K282"/>
    <mergeCell ref="A292:K292"/>
    <mergeCell ref="A299:K299"/>
    <mergeCell ref="A311:K311"/>
    <mergeCell ref="A341:K341"/>
    <mergeCell ref="A377:K377"/>
    <mergeCell ref="A411:K411"/>
    <mergeCell ref="A419:K419"/>
    <mergeCell ref="A533:K533"/>
    <mergeCell ref="A541:K541"/>
    <mergeCell ref="A804:K804"/>
    <mergeCell ref="A828:K828"/>
    <mergeCell ref="A862:K862"/>
    <mergeCell ref="A1002:K1002"/>
    <mergeCell ref="A1007:K1007"/>
    <mergeCell ref="A1015:K1015"/>
    <mergeCell ref="A1022:K1022"/>
    <mergeCell ref="A1030:K1030"/>
    <mergeCell ref="A1034:K1034"/>
    <mergeCell ref="A1038:K1038"/>
    <mergeCell ref="A1082:K1082"/>
    <mergeCell ref="A1085:K1085"/>
    <mergeCell ref="A1091:K1091"/>
    <mergeCell ref="A1093:K1093"/>
    <mergeCell ref="A1103:K1103"/>
    <mergeCell ref="A1107:K1107"/>
    <mergeCell ref="A1132:K1132"/>
    <mergeCell ref="A1142:K1142"/>
    <mergeCell ref="A1146:K1146"/>
    <mergeCell ref="A1149:K1149"/>
    <mergeCell ref="A1178:K1178"/>
    <mergeCell ref="A1184:K1184"/>
    <mergeCell ref="A1201:K1201"/>
    <mergeCell ref="A1218:K1218"/>
    <mergeCell ref="A5:K5"/>
    <mergeCell ref="A17:K17"/>
    <mergeCell ref="A26:K26"/>
    <mergeCell ref="A37:K37"/>
    <mergeCell ref="A44:K44"/>
    <mergeCell ref="A53:K53"/>
    <mergeCell ref="A66:K66"/>
    <mergeCell ref="A75:K75"/>
    <mergeCell ref="A108:K108"/>
    <mergeCell ref="A125:K125"/>
    <mergeCell ref="A133:K133"/>
    <mergeCell ref="A142:K142"/>
    <mergeCell ref="A146:K146"/>
    <mergeCell ref="A183:K183"/>
    <mergeCell ref="A188:K188"/>
    <mergeCell ref="A193:K193"/>
    <mergeCell ref="A195:K195"/>
    <mergeCell ref="A202:K202"/>
    <mergeCell ref="A212:K212"/>
    <mergeCell ref="A218:K218"/>
    <mergeCell ref="A229:K229"/>
    <mergeCell ref="A234:K234"/>
    <mergeCell ref="A248:K248"/>
    <mergeCell ref="A257:K257"/>
    <mergeCell ref="A264:K264"/>
    <mergeCell ref="A268:K268"/>
    <mergeCell ref="A420:K420"/>
    <mergeCell ref="A437:K437"/>
    <mergeCell ref="A440:K440"/>
    <mergeCell ref="A445:K445"/>
    <mergeCell ref="A460:K460"/>
    <mergeCell ref="A471:K471"/>
    <mergeCell ref="A498:K498"/>
    <mergeCell ref="A503:K503"/>
    <mergeCell ref="A516:K516"/>
    <mergeCell ref="A519:K519"/>
    <mergeCell ref="A542:K542"/>
    <mergeCell ref="A604:K604"/>
    <mergeCell ref="A625:K625"/>
    <mergeCell ref="A805:K805"/>
    <mergeCell ref="A822:K822"/>
    <mergeCell ref="A863:K863"/>
    <mergeCell ref="A867:K867"/>
    <mergeCell ref="A893:K893"/>
    <mergeCell ref="A906:K906"/>
    <mergeCell ref="A949:K949"/>
    <mergeCell ref="A962:K962"/>
    <mergeCell ref="A981:K981"/>
    <mergeCell ref="A985:K985"/>
    <mergeCell ref="A1039:K1039"/>
    <mergeCell ref="A1046:K1046"/>
    <mergeCell ref="A543:K543"/>
    <mergeCell ref="A554:K554"/>
    <mergeCell ref="A577:K577"/>
    <mergeCell ref="A626:K626"/>
    <mergeCell ref="A633:K633"/>
    <mergeCell ref="A676:K676"/>
    <mergeCell ref="A695:K695"/>
    <mergeCell ref="A721:K721"/>
    <mergeCell ref="A733:K733"/>
    <mergeCell ref="A749:K749"/>
    <mergeCell ref="A774:K77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2026-07-30T00:00:02+03:00</dcterms:created>
  <dcterms:modified xsi:type="dcterms:W3CDTF">2026-07-30T00:00:02+03:00</dcterms:modified>
  <dc:title>Untitled Spreadsheet</dc:title>
  <dc:description/>
  <dc:subject/>
  <cp:keywords/>
  <cp:category/>
</cp:coreProperties>
</file>