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<sst xmlns="http://schemas.openxmlformats.org/spreadsheetml/2006/main" uniqueCount="1494">
  <si>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</si>
  <si>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</si>
  <si>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</si>
  <si>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</si>
  <si>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</si>
  <si>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</si>
  <si>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</si>
  <si>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</si>
  <si>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</si>
  <si>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</si>
  <si>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</si>
  <si>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Фитинги коллекторные евроконус</t>
  </si>
  <si>
    <t>Евроконуса коллекторные VALTEC</t>
  </si>
  <si>
    <t>VLC-811001</t>
  </si>
  <si>
    <t>VT.4410.NE.16</t>
  </si>
  <si>
    <t>Евроконус для пласт. трубы 16(2,0)   (40 /320шт)</t>
  </si>
  <si>
    <t>315.00 руб.</t>
  </si>
  <si>
    <t>&gt;1000</t>
  </si>
  <si>
    <t>шт</t>
  </si>
  <si>
    <t>VLC-811002</t>
  </si>
  <si>
    <t>VT.4410.NVE.16</t>
  </si>
  <si>
    <t>Евроконус для пласт. трубы 16(2,0) (10 /180шт)</t>
  </si>
  <si>
    <t>207.00 руб.</t>
  </si>
  <si>
    <t>&gt;25</t>
  </si>
  <si>
    <t>VLC-811003</t>
  </si>
  <si>
    <t>VT.4410.NE.20</t>
  </si>
  <si>
    <t>Евроконус для пласт. трубы 20(2,0)   (40 /320шт)</t>
  </si>
  <si>
    <t>369.00 руб.</t>
  </si>
  <si>
    <t>VLC-811004</t>
  </si>
  <si>
    <t>VT.4410.NVE.20</t>
  </si>
  <si>
    <t>Евроконус для пласт. трубы 20(2,0)     (10 /120шт)</t>
  </si>
  <si>
    <t>218.00 руб.</t>
  </si>
  <si>
    <t>&gt;500</t>
  </si>
  <si>
    <t>VLC-811005</t>
  </si>
  <si>
    <t>VT.4420.NE.16</t>
  </si>
  <si>
    <t>Евроконус для м/п трубы 16(2,0)   (40 /320шт)</t>
  </si>
  <si>
    <t>340.00 руб.</t>
  </si>
  <si>
    <t>VLC-811006</t>
  </si>
  <si>
    <t>VT.4420.NVE.16</t>
  </si>
  <si>
    <t>Евроконус для м/п трубы 16(2,0) (10 /180шт)</t>
  </si>
  <si>
    <t>194.00 руб.</t>
  </si>
  <si>
    <t>&gt;50</t>
  </si>
  <si>
    <t>&gt;5000</t>
  </si>
  <si>
    <t>VLC-811007</t>
  </si>
  <si>
    <t>VT.4420.NE.20</t>
  </si>
  <si>
    <t>Евроконус для м/п трубы 20(2,0)   (40 /320шт)</t>
  </si>
  <si>
    <t>364.00 руб.</t>
  </si>
  <si>
    <t>&gt;10</t>
  </si>
  <si>
    <t>&gt;100</t>
  </si>
  <si>
    <t>VLC-811008</t>
  </si>
  <si>
    <t>VT.4420.NVE.20</t>
  </si>
  <si>
    <t>Евроконус для м/п трубы 20(2,0)    (10 /120шт)</t>
  </si>
  <si>
    <t>237.00 руб.</t>
  </si>
  <si>
    <t>VLC-811009</t>
  </si>
  <si>
    <t>VT.4430.NE.15</t>
  </si>
  <si>
    <t>Евроконус для медной трубы 15  (40 /320шт)</t>
  </si>
  <si>
    <t>289.00 руб.</t>
  </si>
  <si>
    <t>VLC-811010</t>
  </si>
  <si>
    <t>VT.4430.NVE.15</t>
  </si>
  <si>
    <t>Евроконус для медной трубы 15  (10 /180шт)</t>
  </si>
  <si>
    <t>163.00 руб.</t>
  </si>
  <si>
    <t>VLC-811067</t>
  </si>
  <si>
    <t>VT.4410.NE.1622</t>
  </si>
  <si>
    <t>Евроконус для пласт. трубы 16(2,2)</t>
  </si>
  <si>
    <t>VLC-811068</t>
  </si>
  <si>
    <t>VT.4410.NVE.1622</t>
  </si>
  <si>
    <t>VLC-811069</t>
  </si>
  <si>
    <t>VT.4410.NE.2028</t>
  </si>
  <si>
    <t>Евроконус для пласт. трубы 20(2,8)</t>
  </si>
  <si>
    <t>356.00 руб.</t>
  </si>
  <si>
    <t>VLC-900542</t>
  </si>
  <si>
    <t>VT.4410.NVE.2028</t>
  </si>
  <si>
    <t>250.00 руб.</t>
  </si>
  <si>
    <t>Евроконуса коллекторные VIEIR</t>
  </si>
  <si>
    <t>PPA-220072</t>
  </si>
  <si>
    <t>VR110-15</t>
  </si>
  <si>
    <t>Евроконус  обжимной для трубы 15мм х 3/4" (200/2шт)</t>
  </si>
  <si>
    <t>157.68 руб.</t>
  </si>
  <si>
    <t>STP-110001</t>
  </si>
  <si>
    <t>VR110-16</t>
  </si>
  <si>
    <t>Евроконус для коллектора 3/4"-16*2,0 (5/200шт)</t>
  </si>
  <si>
    <t>136.85 руб.</t>
  </si>
  <si>
    <t>STP-110002</t>
  </si>
  <si>
    <t>VR110-20</t>
  </si>
  <si>
    <t>Евроконус для коллектора 3/4"-20*2,0 (5/200шт)</t>
  </si>
  <si>
    <t>150.24 руб.</t>
  </si>
  <si>
    <t>STP-110004</t>
  </si>
  <si>
    <t>VR111-16A</t>
  </si>
  <si>
    <t>Конус ХРОМ для коллектора 1/2 -16*2.0  ViEiR (10/500шт)</t>
  </si>
  <si>
    <t>127.93 руб.</t>
  </si>
  <si>
    <t>STP-110005</t>
  </si>
  <si>
    <t>VR111-16B</t>
  </si>
  <si>
    <t>Конус для коллектора 1/2 -16*2.2  ViEiR (5/400шт)</t>
  </si>
  <si>
    <t>113.05 руб.</t>
  </si>
  <si>
    <t>STP-110006</t>
  </si>
  <si>
    <t>VR1622</t>
  </si>
  <si>
    <t>Евроконус для коллектора 3/4 x16*2.2 пластиковое кольцо ViEiR (5/200шт)</t>
  </si>
  <si>
    <t>182.96 руб.</t>
  </si>
  <si>
    <t>STP-110007</t>
  </si>
  <si>
    <t>VR16226</t>
  </si>
  <si>
    <t>Евроконус для REHAU STABIL  3/4 x16,2*2.6  ViEiR (5/200шт)</t>
  </si>
  <si>
    <t>STP-110008</t>
  </si>
  <si>
    <t>VR1622C</t>
  </si>
  <si>
    <t>Евроконус ХРОМ 3/4 x16*2.2  ViEiR (200шт)</t>
  </si>
  <si>
    <t>168.09 руб.</t>
  </si>
  <si>
    <t>STP-110009</t>
  </si>
  <si>
    <t>VR108-16</t>
  </si>
  <si>
    <t>Соединитель ЕВРОКОНУС коллекторный для м./п. трубы ПРЕСС 16(2,0) x 3/4 (евроконус) MULTIFIT VIEIR</t>
  </si>
  <si>
    <t>185.94 руб.</t>
  </si>
  <si>
    <t>Евроконуса коллекторные ZEGOR</t>
  </si>
  <si>
    <t>ZGR-000085</t>
  </si>
  <si>
    <t>QS-4601</t>
  </si>
  <si>
    <t>Евроконус для коллектора 3/4"-16*2,0 универсальный для пластик и металлопласт труб ZEGOR (50/300шт)</t>
  </si>
  <si>
    <t>137.09 руб.</t>
  </si>
  <si>
    <t>ZGR-000194</t>
  </si>
  <si>
    <t>QS-4602</t>
  </si>
  <si>
    <t>Евроконус для коллектора 3/4"-20*2,0 универсальный для пластик и металлопласт труб ZEGOR (50/300шт)</t>
  </si>
  <si>
    <t>167.43 руб.</t>
  </si>
  <si>
    <t>ZGR-000195</t>
  </si>
  <si>
    <t>QS-4603</t>
  </si>
  <si>
    <t>Евроконус для коллектора 3/4"-16*2,2 универсальный для пластик и металлопласт труб ZEGOR (50/300шт)</t>
  </si>
  <si>
    <t>148.24 руб.</t>
  </si>
  <si>
    <t>Коллекторные группы в сборе</t>
  </si>
  <si>
    <t>Коллекторные группы ДЛЯ РАДИАТОРОВ без расходомеров</t>
  </si>
  <si>
    <t>Коллекторные группы ZEGOR (для радиаторов)</t>
  </si>
  <si>
    <t>ZGR-000209</t>
  </si>
  <si>
    <t>QS-1826</t>
  </si>
  <si>
    <t>Коллекторная группа 1"х2 вых С КЛАПАНАМИ и индикацией температуры, в сборе, НЕРЖАВЕЙКА (1/ 3шт)</t>
  </si>
  <si>
    <t>3 953.28 руб.</t>
  </si>
  <si>
    <t>ZGR-000210</t>
  </si>
  <si>
    <t>QS-1836</t>
  </si>
  <si>
    <t>Коллекторная группа 1"х3 вых С КЛАПАНАМИ и индикацией температуры, в сборе, НЕРЖАВЕЙКА (1/ 3шт)</t>
  </si>
  <si>
    <t>4 911.48 руб.</t>
  </si>
  <si>
    <t>ZGR-000211</t>
  </si>
  <si>
    <t>QS-1846</t>
  </si>
  <si>
    <t>Коллекторная группа 1"х4 вых С КЛАПАНАМИ и индикацией температуры, в сборе, НЕРЖАВЕЙКА (1/ 3шт)</t>
  </si>
  <si>
    <t>5 866.88 руб.</t>
  </si>
  <si>
    <t>ZGR-000212</t>
  </si>
  <si>
    <t>QS-1856</t>
  </si>
  <si>
    <t>Коллекторная группа 1"х5 вых С КЛАПАНАМИ и индикацией температуры, в сборе, НЕРЖАВЕЙКА (1/ 3шт)</t>
  </si>
  <si>
    <t>6 861.51 руб.</t>
  </si>
  <si>
    <t>ZGR-000213</t>
  </si>
  <si>
    <t>QS-1866</t>
  </si>
  <si>
    <t>Коллекторная группа 1"х6 вых С КЛАПАНАМИ и индикацией температуры, в сборе, НЕРЖАВЕЙКА (1/ 3шт)</t>
  </si>
  <si>
    <t>7 816.91 руб.</t>
  </si>
  <si>
    <t>ZGR-000214</t>
  </si>
  <si>
    <t>QS-1876</t>
  </si>
  <si>
    <t>Коллекторная группа 1"х7 вых С КЛАПАНАМИ и индикацией температуры, в сборе, НЕРЖАВЕЙКА (1/ 3шт)</t>
  </si>
  <si>
    <t>8 984.30 руб.</t>
  </si>
  <si>
    <t>ZGR-000215</t>
  </si>
  <si>
    <t>QS-1886</t>
  </si>
  <si>
    <t>Коллекторная группа 1"х8 вых С КЛАПАНАМИ и индикацией температуры, в сборе, НЕРЖАВЕЙКА (1/ 3шт)</t>
  </si>
  <si>
    <t>10 030.69 руб.</t>
  </si>
  <si>
    <t>ZGR-000216</t>
  </si>
  <si>
    <t>QS-1896</t>
  </si>
  <si>
    <t>Коллекторная группа 1"х9 вых С КЛАПАНАМИ и индикацией температуры, в сборе, НЕРЖАВЕЙКА (1/ 3шт)</t>
  </si>
  <si>
    <t>11 216.56 руб.</t>
  </si>
  <si>
    <t>ZGR-000217</t>
  </si>
  <si>
    <t>QS-18106</t>
  </si>
  <si>
    <t>Коллекторная группа 1"х10 вых С КЛАПАНАМИ и индикацией температуры, в сборе, НЕРЖАВЕЙКА (1/ 3шт)</t>
  </si>
  <si>
    <t>12 217.67 руб.</t>
  </si>
  <si>
    <t>ZGR-000218</t>
  </si>
  <si>
    <t>QS-18116</t>
  </si>
  <si>
    <t>Коллекторная группа 1"х11 вых С КЛАПАНАМИ и индикацией температуры, в сборе, НЕРЖАВЕЙКА (1/ 3шт)</t>
  </si>
  <si>
    <t>13 203.97 руб.</t>
  </si>
  <si>
    <t>ZGR-000219</t>
  </si>
  <si>
    <t>QS-18126</t>
  </si>
  <si>
    <t>Коллекторная группа 1"х12 вых С КЛАПАНАМИ и индикацией температуры, в сборе, НЕРЖАВЕЙКА (1/ 3шт)</t>
  </si>
  <si>
    <t>14 139.91 руб.</t>
  </si>
  <si>
    <t>Коллекторные группы VALTEC (для радиаторов)</t>
  </si>
  <si>
    <t>VLC-811011</t>
  </si>
  <si>
    <t>VTc.588.EMNX.0603</t>
  </si>
  <si>
    <t>Коллекторная группа НЕРЖ, в сборе, 1"х3 вых. Евроконус 3/4"</t>
  </si>
  <si>
    <t>9 028.00 руб.</t>
  </si>
  <si>
    <t>VLC-811012</t>
  </si>
  <si>
    <t>VTc.588.EMNX.0604</t>
  </si>
  <si>
    <t>Коллекторная группа НЕРЖ, в сборе, 1"х4 вых. Евроконус 3/4"</t>
  </si>
  <si>
    <t>10 818.00 руб.</t>
  </si>
  <si>
    <t>VLC-811013</t>
  </si>
  <si>
    <t>VTc.588.EMNX.0605</t>
  </si>
  <si>
    <t>Коллекторная группа НЕРЖ, в сборе, 1"х5 вых. Евроконус 3/4"</t>
  </si>
  <si>
    <t>11 454.00 руб.</t>
  </si>
  <si>
    <t>VLC-811014</t>
  </si>
  <si>
    <t>VTc.588.EMNX.0606</t>
  </si>
  <si>
    <t>Коллекторная группа НЕРЖ, в сборе, 1"х6 вых. Евроконус 3/4"</t>
  </si>
  <si>
    <t>15 110.00 руб.</t>
  </si>
  <si>
    <t>VLC-811015</t>
  </si>
  <si>
    <t>VTc.588.EMNX.0607</t>
  </si>
  <si>
    <t>Коллекторная группа НЕРЖ, в сборе, 1"х7 вых. Евроконус 3/4"</t>
  </si>
  <si>
    <t>15 669.00 руб.</t>
  </si>
  <si>
    <t>VLC-811016</t>
  </si>
  <si>
    <t>VTc.588.EMNX.0608</t>
  </si>
  <si>
    <t>Коллекторная группа НЕРЖ, в сборе, 1"х8 вых. Евроконус 3/4"</t>
  </si>
  <si>
    <t>17 915.00 руб.</t>
  </si>
  <si>
    <t>VLC-811017</t>
  </si>
  <si>
    <t>VTc.588.EMNX.0609</t>
  </si>
  <si>
    <t>Коллекторная группа НЕРЖ, в сборе, 1"х9 вых. Евроконус 3/4"</t>
  </si>
  <si>
    <t>20 197.00 руб.</t>
  </si>
  <si>
    <t>VLC-811018</t>
  </si>
  <si>
    <t>VTc.588.EMNX.0610</t>
  </si>
  <si>
    <t>Коллекторная группа НЕРЖ, в сборе, 1"х10 вых. Евроконус 3/4"</t>
  </si>
  <si>
    <t>22 265.00 руб.</t>
  </si>
  <si>
    <t>VLC-811041</t>
  </si>
  <si>
    <t>VTc.594.EMNX.0606</t>
  </si>
  <si>
    <t>Коллекторная группа ЛАТУНЬ в сборе, с воздух и слив клапан, 1"х6 вых. Евроконус 3/4" (Италия)</t>
  </si>
  <si>
    <t>27 009.00 руб.</t>
  </si>
  <si>
    <t>VLC-811043</t>
  </si>
  <si>
    <t>VTc.594.EMNX.0608</t>
  </si>
  <si>
    <t>Коллекторная группа ЛАТУНЬ в сборе, с воздух и слив клапан, 1"х8 вых. Евроконус 3/4" (Италия)</t>
  </si>
  <si>
    <t>34 710.00 руб.</t>
  </si>
  <si>
    <t>VLC-811045</t>
  </si>
  <si>
    <t>VTc.594.EMNX.0610</t>
  </si>
  <si>
    <t>Коллекторная группа ЛАТУНЬ в сборе, с воздух и слив клапан, 1"х10 вых. Евроконус 3/4" (Италия)</t>
  </si>
  <si>
    <t>38 731.00 руб.</t>
  </si>
  <si>
    <t>VLC-811072</t>
  </si>
  <si>
    <t>VTc.582.EMNX.0603</t>
  </si>
  <si>
    <t>Блок колл. НЕРЖ с ручн. регулир. клап. 1"х3 вых Евроконус 3/4 (Италия)</t>
  </si>
  <si>
    <t>9 129.00 руб.</t>
  </si>
  <si>
    <t>VLC-811073</t>
  </si>
  <si>
    <t>VTc.582.EMNX.0604</t>
  </si>
  <si>
    <t>Блок колл. НЕРЖ с ручн. регулир. клап. 1"х4 вых Евроконус 3/4 (Италия)</t>
  </si>
  <si>
    <t>11 200.00 руб.</t>
  </si>
  <si>
    <t>Коллекторные группы VIEIR (для радиаторов)</t>
  </si>
  <si>
    <t>STP-210023</t>
  </si>
  <si>
    <t>VR115-02A</t>
  </si>
  <si>
    <t>Группа коллекторов БЕЗ РАСХОД 2 -вых. НЕРЖ. С ТРОЙНИКАМИ 1"x3/4" "ViEiR" (5/1шт)</t>
  </si>
  <si>
    <t>5 117.00 руб.</t>
  </si>
  <si>
    <t>STP-210024</t>
  </si>
  <si>
    <t>VR115-03A</t>
  </si>
  <si>
    <t>Группа коллекторов БЕЗ РАСХОД 3 -вых. НЕРЖ. С ТРОЙНИКАМИ 1"x3/4" "ViEiR" (5/1шт)</t>
  </si>
  <si>
    <t>5 926.20 руб.</t>
  </si>
  <si>
    <t>STP-210025</t>
  </si>
  <si>
    <t>VR115-04A</t>
  </si>
  <si>
    <t>Группа коллекторов БЕЗ РАСХОД 4 -вых. НЕРЖ. С ТРОЙНИКАМИ 1"x3/4" "ViEiR" (5/1шт)</t>
  </si>
  <si>
    <t>6 736.89 руб.</t>
  </si>
  <si>
    <t>STP-210026</t>
  </si>
  <si>
    <t>VR115-05A</t>
  </si>
  <si>
    <t>Группа коллекторов БЕЗ РАСХОД 5 -вых. НЕРЖ. С ТРОЙНИКАМИ 1"x3/4" "ViEiR" (5/1шт)</t>
  </si>
  <si>
    <t>7 552.04 руб.</t>
  </si>
  <si>
    <t>STP-210027</t>
  </si>
  <si>
    <t>VR115-06A</t>
  </si>
  <si>
    <t>Группа коллекторов БЕЗ РАСХОД 6 -вых. НЕРЖ. С ТРОЙНИКАМИ 1"x3/4" "ViEiR" (5/1шт)</t>
  </si>
  <si>
    <t>8 361.24 руб.</t>
  </si>
  <si>
    <t>STP-210028</t>
  </si>
  <si>
    <t>VR115-07A</t>
  </si>
  <si>
    <t>Группа коллекторов БЕЗ РАСХОД 7 -вых. НЕРЖ. С ТРОЙНИКАМИ 1"x3/4" "ViEiR" (5/1шт)</t>
  </si>
  <si>
    <t>9 168.95 руб.</t>
  </si>
  <si>
    <t>STP-210029</t>
  </si>
  <si>
    <t>VR115-08A</t>
  </si>
  <si>
    <t>Группа коллекторов БЕЗ РАСХОД 8 -вых. НЕРЖ. С ТРОЙНИКАМИ 1"x3/4" "ViEiR" (3/1шт)</t>
  </si>
  <si>
    <t>9 985.59 руб.</t>
  </si>
  <si>
    <t>STP-210030</t>
  </si>
  <si>
    <t>VR115-09A</t>
  </si>
  <si>
    <t>Группа коллекторов БЕЗ РАСХОД 9 -вых. НЕРЖ. С ТРОЙНИКАМИ 1"x3/4" "ViEiR" (3/1шт)</t>
  </si>
  <si>
    <t>10 889.99 руб.</t>
  </si>
  <si>
    <t>STP-210031</t>
  </si>
  <si>
    <t>VR115-10A</t>
  </si>
  <si>
    <t>Группа коллекторов БЕЗ РАСХОД 10 -вых. НЕРЖ. С ТРОЙНИКАМИ 1"x3/4" "ViEiR" (2/1шт)</t>
  </si>
  <si>
    <t>11 699.19 руб.</t>
  </si>
  <si>
    <t>STP-210032</t>
  </si>
  <si>
    <t>VR115-11A</t>
  </si>
  <si>
    <t>Группа коллекторов БЕЗ РАСХОД 11 -вых. НЕРЖ. С ТРОЙНИКАМИ 1"x3/4" "ViEiR" (2/1шт)</t>
  </si>
  <si>
    <t>12 518.80 руб.</t>
  </si>
  <si>
    <t>STP-210033</t>
  </si>
  <si>
    <t>VR115-12A</t>
  </si>
  <si>
    <t>Группа коллекторов БЕЗ РАСХОД 12 -вых. НЕРЖ. С ТРОЙНИКАМИ 1"x3/4" "ViEiR" (2/1шт)</t>
  </si>
  <si>
    <t>13 333.95 руб.</t>
  </si>
  <si>
    <t>Коллекторные группы ДЛЯ ТЕПЛОГО ПОЛА с расходомерами</t>
  </si>
  <si>
    <t>Коллекторные группы в сборе VALTEC С РАСХОДОМЕРАМИ  (для теплого пола)</t>
  </si>
  <si>
    <t>VLC-811023</t>
  </si>
  <si>
    <t>VTc.586.EMNX.0606</t>
  </si>
  <si>
    <t>Коллек группа НЕРЖ со встр. расх. в сборе, с воздух и слив клапан 1"х6 вых. Евроконус 3/4" (Италия)</t>
  </si>
  <si>
    <t>25 719.00 руб.</t>
  </si>
  <si>
    <t>VLC-811037</t>
  </si>
  <si>
    <t>VTc.589.EMNX.0610</t>
  </si>
  <si>
    <t>- Коллекторная группа НЕРЖ со встр. расх. в сборе, с воздух и слив клапан 1"х10 вых. Евроконус 3/4"</t>
  </si>
  <si>
    <t>20 474.00 руб.</t>
  </si>
  <si>
    <t>VLC-811056</t>
  </si>
  <si>
    <t>VTc.596.EMNX.0611</t>
  </si>
  <si>
    <t>Коллекторная группа ЛАТУНЬ со встр. расх. в сборе, 1"х11 вых. Евроконус 3/4" (Италия)</t>
  </si>
  <si>
    <t>60 839.00 руб.</t>
  </si>
  <si>
    <t>VLC-900757</t>
  </si>
  <si>
    <t>VTc.579.EMNX.0603</t>
  </si>
  <si>
    <t>Коллекторный блок из НЕРЖ. стали с регул. клап. и расх., 1"х3 вых. Евроконус 3/4"</t>
  </si>
  <si>
    <t>6 939.00 руб.</t>
  </si>
  <si>
    <t>VLC-900758</t>
  </si>
  <si>
    <t>VTc.579.EMNX.0604</t>
  </si>
  <si>
    <t>Коллекторный блок из НЕРЖ. стали с регул. клап. и расх., 1"х4 вых. Евроконус 3/4"</t>
  </si>
  <si>
    <t>7 939.00 руб.</t>
  </si>
  <si>
    <t>VLC-900759</t>
  </si>
  <si>
    <t>VTc.579.EMNX.0605</t>
  </si>
  <si>
    <t>Коллекторный блок из НЕРЖ. стали с регул. клап. и расх., 1"х5 вых. Евроконус 3/4"</t>
  </si>
  <si>
    <t>9 021.00 руб.</t>
  </si>
  <si>
    <t>VLC-900760</t>
  </si>
  <si>
    <t>VTc.579.EMNX.0606</t>
  </si>
  <si>
    <t>Коллекторный блок из НЕРЖ. стали с регул. клап. и расх., 1"х6 вых. Евроконус 3/4"</t>
  </si>
  <si>
    <t>10 161.00 руб.</t>
  </si>
  <si>
    <t>VLC-900761</t>
  </si>
  <si>
    <t>VTc.579.EMNX.0607</t>
  </si>
  <si>
    <t>Коллекторный блок из НЕРЖ. стали с регул. клап. и расх., 1"х7 вых. Евроконус 3/4"</t>
  </si>
  <si>
    <t>11 465.00 руб.</t>
  </si>
  <si>
    <t>VLC-900762</t>
  </si>
  <si>
    <t>VTc.579.EMNX.0608</t>
  </si>
  <si>
    <t>Коллекторный блок из НЕРЖ. стали с регул. клап. и расх., 1"х8 вых. Евроконус 3/4"</t>
  </si>
  <si>
    <t>12 858.00 руб.</t>
  </si>
  <si>
    <t>VLC-900763</t>
  </si>
  <si>
    <t>VTc.579.EMNX.0609</t>
  </si>
  <si>
    <t>Коллекторный блок из НЕРЖ. стали с регул. клап. и расх., 1"х9 вых. Евроконус 3/4"</t>
  </si>
  <si>
    <t>13 908.00 руб.</t>
  </si>
  <si>
    <t>VLC-900764</t>
  </si>
  <si>
    <t>VTc.579.EMNX.0610</t>
  </si>
  <si>
    <t>Коллекторный блок из НЕРЖ. стали с регул. клап. и расх., 1"х10 вых. Евроконус 3/4"</t>
  </si>
  <si>
    <t>15 068.00 руб.</t>
  </si>
  <si>
    <t>VLC-900765</t>
  </si>
  <si>
    <t>VTc.579.EMNX.0611</t>
  </si>
  <si>
    <t>Коллекторный блок из НЕРЖ. стали с регул. клап. и расх., 1"х11 вых. Евроконус 3/4"</t>
  </si>
  <si>
    <t>16 583.00 руб.</t>
  </si>
  <si>
    <t>VLC-900766</t>
  </si>
  <si>
    <t>VTc.579.EMNX.0612</t>
  </si>
  <si>
    <t>Коллекторный блок из НЕРЖ. стали с регул. клап. и расх., 1"х12 вых. Евроконус 3/4"</t>
  </si>
  <si>
    <t>17 784.00 руб.</t>
  </si>
  <si>
    <t>VLC-901053</t>
  </si>
  <si>
    <t>VTc.579.EMNX.0602</t>
  </si>
  <si>
    <t>Коллекторный блок из НЕРЖ. стали с регул. клап. и расх., 1"х2 вых. Евроконус 3/4"</t>
  </si>
  <si>
    <t>5 767.00 руб.</t>
  </si>
  <si>
    <t>Коллекторные группы в сборе VIEIR С РАСХОДОМЕРАМИ (для теплого пола)</t>
  </si>
  <si>
    <t>STP-210001</t>
  </si>
  <si>
    <t>VR113-02A</t>
  </si>
  <si>
    <t>Коллекторная группа с расход. 2-вых  НЕРЖ. С ТРОЙНИКАМИ 1"x3/4" "ViEiR" (5/1шт)</t>
  </si>
  <si>
    <t>5 478.46 руб.</t>
  </si>
  <si>
    <t>STP-210002</t>
  </si>
  <si>
    <t>VR113-03A</t>
  </si>
  <si>
    <t>Коллекторная группа с расход. 3-вых  НЕРЖ. С ТРОЙНИКАМИ 1"x3/4" "ViEiR" (5/1шт)</t>
  </si>
  <si>
    <t>6 397.74 руб.</t>
  </si>
  <si>
    <t>STP-210003</t>
  </si>
  <si>
    <t>VR113-04A</t>
  </si>
  <si>
    <t>Коллекторная группа с расход. 4-вых  НЕРЖ. С ТРОЙНИКАМИ 1"x3/4" "ViEiR" (5/1шт)</t>
  </si>
  <si>
    <t>7 406.26 руб.</t>
  </si>
  <si>
    <t>STP-210004</t>
  </si>
  <si>
    <t>VR113-05A</t>
  </si>
  <si>
    <t>Коллекторная группа с расход. 5-вых  НЕРЖ. С ТРОЙНИКАМИ 1"x3/4" "ViEiR" (5/1шт)</t>
  </si>
  <si>
    <t>8 411.81 руб.</t>
  </si>
  <si>
    <t>STP-210005</t>
  </si>
  <si>
    <t>VR113-06A</t>
  </si>
  <si>
    <t>Коллекторная группа с расход. 6-вых  НЕРЖ. С ТРОЙНИКАМИ 1"x3/4" "ViEiR" (5/1шт)</t>
  </si>
  <si>
    <t>9 417.36 руб.</t>
  </si>
  <si>
    <t>STP-210006</t>
  </si>
  <si>
    <t>VR113-07A</t>
  </si>
  <si>
    <t>Коллекторная группа с расход. 7-вых  НЕРЖ. С ТРОЙНИКАМИ 1"x3/4" "ViEiR" (5/1шт)</t>
  </si>
  <si>
    <t>10 315.81 руб.</t>
  </si>
  <si>
    <t>STP-210007</t>
  </si>
  <si>
    <t>VR113-08A</t>
  </si>
  <si>
    <t>Коллекторная группа с расход. 8-вых  НЕРЖ. С ТРОЙНИКАМИ 1"x3/4" "ViEiR" (3/1шт)</t>
  </si>
  <si>
    <t>11 212.78 руб.</t>
  </si>
  <si>
    <t>STP-210008</t>
  </si>
  <si>
    <t>VR113-09A</t>
  </si>
  <si>
    <t>Коллекторная группа с расход. 9-вых  НЕРЖ. С ТРОЙНИКАМИ 1"x3/4" "ViEiR" (3/1шт)</t>
  </si>
  <si>
    <t>12 292.70 руб.</t>
  </si>
  <si>
    <t>STP-210009</t>
  </si>
  <si>
    <t>VR113-10A</t>
  </si>
  <si>
    <t>Коллекторная группа с расход. 10-вых  НЕРЖ. С ТРОЙНИКАМИ 1"x3/4" "ViEiR" (2/1шт)</t>
  </si>
  <si>
    <t>13 335.44 руб.</t>
  </si>
  <si>
    <t>STP-210010</t>
  </si>
  <si>
    <t>VR113-11A</t>
  </si>
  <si>
    <t>Коллекторная группа с расход. 11-вых  НЕРЖ. С ТРОЙНИКАМИ 1"x3/4" "ViEiR" (2/1шт)</t>
  </si>
  <si>
    <t>14 382.64 руб.</t>
  </si>
  <si>
    <t>STP-210011</t>
  </si>
  <si>
    <t>VR113-12A</t>
  </si>
  <si>
    <t>Коллекторная группа с расход. 12-вых  НЕРЖ. С ТРОЙНИКАМИ 1"x3/4" "ViEiR" (2/1шт)</t>
  </si>
  <si>
    <t>15 416.45 руб.</t>
  </si>
  <si>
    <t>VER-000524</t>
  </si>
  <si>
    <t>VR116-02A</t>
  </si>
  <si>
    <t>Распределительная группа с расход. 2-вых  НЕРЖ. БЕЗ КРАНОВ  1"x3/4" ViEiR (модель Oventrop) (5/1шт)</t>
  </si>
  <si>
    <t>4 907.26 руб.</t>
  </si>
  <si>
    <t>VER-000525</t>
  </si>
  <si>
    <t>VR116-03A</t>
  </si>
  <si>
    <t>Распределительная группа с расход. 3-вых  НЕРЖ. БЕЗ КРАНОВ  1"x3/4" ViEiR (модель Oventrop) (5/1шт)</t>
  </si>
  <si>
    <t>5 911.33 руб.</t>
  </si>
  <si>
    <t>VER-000526</t>
  </si>
  <si>
    <t>VR116-04A</t>
  </si>
  <si>
    <t>Распределительная группа с расход. 4-вых  НЕРЖ. БЕЗ КРАНОВ  1"x3/4" ViEiR (модель Oventrop) (5/1шт)</t>
  </si>
  <si>
    <t>6 845.48 руб.</t>
  </si>
  <si>
    <t>VER-000527</t>
  </si>
  <si>
    <t>VR116-05A</t>
  </si>
  <si>
    <t>Распределительная группа с расход. 5-вых  НЕРЖ. БЕЗ КРАНОВ  1"x3/4" ViEiR (модель Oventrop) (5/1шт)</t>
  </si>
  <si>
    <t>7 743.93 руб.</t>
  </si>
  <si>
    <t>VER-000528</t>
  </si>
  <si>
    <t>VR116-06A</t>
  </si>
  <si>
    <t>Распределительная группа с расход. 6-вых  НЕРЖ. БЕЗ КРАНОВ  1"x3/4" ViEiR (модель Oventrop) (5/1шт)</t>
  </si>
  <si>
    <t>8 618.58 руб.</t>
  </si>
  <si>
    <t>VER-000529</t>
  </si>
  <si>
    <t>VR116-07A</t>
  </si>
  <si>
    <t>Распределительная группа с расход. 7-вых  НЕРЖ. БЕЗ КРАНОВ  1"x3/4" ViEiR (модель Oventrop) (5/1шт)</t>
  </si>
  <si>
    <t>9 662.80 руб.</t>
  </si>
  <si>
    <t>VER-000530</t>
  </si>
  <si>
    <t>VR116-08A</t>
  </si>
  <si>
    <t>Распределительная группа с расход. 8-вых  НЕРЖ. БЕЗ КРАНОВ  1"x3/4" ViEiR (модель Oventrop) (3/1шт)</t>
  </si>
  <si>
    <t>10 562.74 руб.</t>
  </si>
  <si>
    <t>VER-000531</t>
  </si>
  <si>
    <t>VR116-09A</t>
  </si>
  <si>
    <t>Распределительная группа с расход. 9-вых  НЕРЖ. БЕЗ КРАНОВ  1"x3/4" ViEiR (модель Oventrop) (3/1шт)</t>
  </si>
  <si>
    <t>11 477.55 руб.</t>
  </si>
  <si>
    <t>VER-000532</t>
  </si>
  <si>
    <t>VR116-10A</t>
  </si>
  <si>
    <t>Распределительная группа с расход. 10-вых  НЕРЖ. БЕЗ КРАНОВ  1"x3/4" ViEiR (модель Oventrop) (2/1шт)</t>
  </si>
  <si>
    <t>12 542.60 руб.</t>
  </si>
  <si>
    <t>VER-000533</t>
  </si>
  <si>
    <t>VR116-11A</t>
  </si>
  <si>
    <t>Распределительная группа с расход. 11-вых  НЕРЖ. БЕЗ КРАНОВ  1"x3/4" ViEiR (модель Oventrop) (2/1шт)</t>
  </si>
  <si>
    <t>13 449.98 руб.</t>
  </si>
  <si>
    <t>VER-000534</t>
  </si>
  <si>
    <t>VR116-12A</t>
  </si>
  <si>
    <t>Распределительная группа с расход. 12-вых  НЕРЖ. БЕЗ КРАНОВ  1"x3/4" ViEiR (модель Oventrop) (2/1шт)</t>
  </si>
  <si>
    <t>14 355.86 руб.</t>
  </si>
  <si>
    <t>VER-000855</t>
  </si>
  <si>
    <t>VR119-02A</t>
  </si>
  <si>
    <t>Коллекторная группа из нерж. стали, квадратный корпус 1"x 2 вых. (5/1шт)</t>
  </si>
  <si>
    <t>4 615.71 руб.</t>
  </si>
  <si>
    <t>VER-000856</t>
  </si>
  <si>
    <t>VR119-03A</t>
  </si>
  <si>
    <t>Коллекторная группа из нерж. стали, квадратный корпус 1"x 3 вых. (5/1шт)</t>
  </si>
  <si>
    <t>5 447.23 руб.</t>
  </si>
  <si>
    <t>VER-000857</t>
  </si>
  <si>
    <t>VR119-04A</t>
  </si>
  <si>
    <t>Коллекторная группа из нерж. стали, квадратный корпус 1"x 4 вых. (5/1шт)</t>
  </si>
  <si>
    <t>6 491.45 руб.</t>
  </si>
  <si>
    <t>VER-000858</t>
  </si>
  <si>
    <t>VR119-05A</t>
  </si>
  <si>
    <t>Коллекторная группа из нерж. стали, квадратный корпус 1"x 5 вых. (5/1шт)</t>
  </si>
  <si>
    <t>7 339.33 руб.</t>
  </si>
  <si>
    <t>VER-000859</t>
  </si>
  <si>
    <t>VR119-06A</t>
  </si>
  <si>
    <t>Коллекторная группа из нерж. стали, квадратный корпус 1"x 6 вых. (5/1шт)</t>
  </si>
  <si>
    <t>8 193.15 руб.</t>
  </si>
  <si>
    <t>VER-000860</t>
  </si>
  <si>
    <t>VR119-07A</t>
  </si>
  <si>
    <t>Коллекторная группа из нерж. стали, квадратный корпус 1"x 7 вых. (5/1шт)</t>
  </si>
  <si>
    <t>9 044.00 руб.</t>
  </si>
  <si>
    <t>VER-000861</t>
  </si>
  <si>
    <t>VR119-08A</t>
  </si>
  <si>
    <t>Коллекторная группа из нерж. стали, квадратный корпус 1"x 8 вых. (3/1шт)</t>
  </si>
  <si>
    <t>9 905.26 руб.</t>
  </si>
  <si>
    <t>VER-000862</t>
  </si>
  <si>
    <t>VR119-09A</t>
  </si>
  <si>
    <t>Коллекторная группа из нерж. стали, квадратный корпус 1"x 9 вых. (3/1шт)</t>
  </si>
  <si>
    <t>11 025.35 руб.</t>
  </si>
  <si>
    <t>VER-000863</t>
  </si>
  <si>
    <t>VR119-10A</t>
  </si>
  <si>
    <t>Коллекторная группа из нерж. стали, квадратный корпус 1"x 10 вых. (2/1шт)</t>
  </si>
  <si>
    <t>11 900.00 руб.</t>
  </si>
  <si>
    <t>VER-000864</t>
  </si>
  <si>
    <t>VR119-11A</t>
  </si>
  <si>
    <t>Коллекторная группа из нерж. стали, квадратный корпус 1"x 11 вых. (2/1шт)</t>
  </si>
  <si>
    <t>12 767.21 руб.</t>
  </si>
  <si>
    <t>VER-000865</t>
  </si>
  <si>
    <t>VR119-12A</t>
  </si>
  <si>
    <t>Коллекторная группа из нерж. стали, квадратный корпус 1"x 12 вых. (2/1шт)</t>
  </si>
  <si>
    <t>13 646.33 руб.</t>
  </si>
  <si>
    <t>VER-001103</t>
  </si>
  <si>
    <t>VR123-02A</t>
  </si>
  <si>
    <t>Группа коллекторов с расходомерами, с воздухоотводчиками (без кранов)1"x3/4"-2вых. (5/1шт)</t>
  </si>
  <si>
    <t>4 487.79 руб.</t>
  </si>
  <si>
    <t>VER-001104</t>
  </si>
  <si>
    <t>VR123-03A</t>
  </si>
  <si>
    <t>Группа коллекторов с расходомерами, с воздухоотводчиками (без кранов)1"x3/4"-3вых. (5/1шт)</t>
  </si>
  <si>
    <t>5 359.46 руб.</t>
  </si>
  <si>
    <t>VER-001105</t>
  </si>
  <si>
    <t>VR123-04A</t>
  </si>
  <si>
    <t>Группа коллекторов с расходомерами, с воздухоотводчиками (без кранов)1"x3/4"-4вых. (5/1шт)</t>
  </si>
  <si>
    <t>6 216.26 руб.</t>
  </si>
  <si>
    <t>VER-001106</t>
  </si>
  <si>
    <t>VR123-05A</t>
  </si>
  <si>
    <t>Группа коллекторов с расходомерами, с воздухоотводчиками (без кранов)1"x3/4"-5вых. (5/1шт)</t>
  </si>
  <si>
    <t>7 071.58 руб.</t>
  </si>
  <si>
    <t>VER-001107</t>
  </si>
  <si>
    <t>VR123-06A</t>
  </si>
  <si>
    <t>Группа коллекторов с расходомерами, с воздухоотводчиками (без кранов)1"x3/4"-6вых. (5/1шт)</t>
  </si>
  <si>
    <t>7 932.84 руб.</t>
  </si>
  <si>
    <t>VER-001108</t>
  </si>
  <si>
    <t>VR123-07A</t>
  </si>
  <si>
    <t>Группа коллекторов с расходомерами, с воздухоотводчиками (без кранов)1"x3/4"-7вых. (3/1шт)</t>
  </si>
  <si>
    <t>8 801.54 руб.</t>
  </si>
  <si>
    <t>VER-001109</t>
  </si>
  <si>
    <t>VR123-08A</t>
  </si>
  <si>
    <t>Группа коллекторов с расходомерами, с воздухоотводчиками (без кранов)1"x3/4"-8вых. (3/1шт)</t>
  </si>
  <si>
    <t>9 655.36 руб.</t>
  </si>
  <si>
    <t>VER-001110</t>
  </si>
  <si>
    <t>VR123-09A</t>
  </si>
  <si>
    <t>Группа коллекторов с расходомерами, с воздухоотводчиками (без кранов)1"x3/4"-9вых. (2/1шт)</t>
  </si>
  <si>
    <t>10 525.55 руб.</t>
  </si>
  <si>
    <t>VER-001111</t>
  </si>
  <si>
    <t>VR123-10A</t>
  </si>
  <si>
    <t>Группа коллекторов с расходомерами, с воздухоотводчиками (без кранов)1"x3/4"-10вых. (2/1шт)</t>
  </si>
  <si>
    <t>11 382.35 руб.</t>
  </si>
  <si>
    <t>VER-001112</t>
  </si>
  <si>
    <t>VR123-11A</t>
  </si>
  <si>
    <t>Группа коллекторов с расходомерами, с воздухоотводчиками (без кранов)1"x3/4"-11вых. (2/1шт)</t>
  </si>
  <si>
    <t>12 243.61 руб.</t>
  </si>
  <si>
    <t>VER-001113</t>
  </si>
  <si>
    <t>VR123-12A</t>
  </si>
  <si>
    <t>Группа коллекторов с расходомерами, с воздухоотводчиками (без кранов)1"x3/4"-12вых. (2/1шт)</t>
  </si>
  <si>
    <t>13 103.39 руб.</t>
  </si>
  <si>
    <t>Коллекторные группы в сборе ZEGOR С РАСХОДОМЕРАМИ  (для теплого пола)</t>
  </si>
  <si>
    <t>Коллекторные группы ЛАТУНЬ С РАСХОДОМЕРАМИ ZEGOR (для теплого пола)</t>
  </si>
  <si>
    <t>ZGR-000074</t>
  </si>
  <si>
    <t>QS-1821</t>
  </si>
  <si>
    <t>Коллекторная группа ZEGOR ЛАТУНЬ с расходомерами, БЕЗ воздухоотвод. и слив клапан, 1"х2 вых. (1/ 3шт</t>
  </si>
  <si>
    <t>3 859.10 руб.</t>
  </si>
  <si>
    <t>ZGR-000075</t>
  </si>
  <si>
    <t>QS-1831</t>
  </si>
  <si>
    <t>Коллекторная группа ZEGOR ЛАТУНЬ с расходомерами, БЕЗ воздухоотвод. и слив клапан, 1"х3 вых. (1/ 3шт</t>
  </si>
  <si>
    <t>5 432.54 руб.</t>
  </si>
  <si>
    <t>ZGR-000076</t>
  </si>
  <si>
    <t>QS-1841</t>
  </si>
  <si>
    <t>Коллекторная группа ZEGOR ЛАТУНЬ с расходомерами, БЕЗ воздухоотвод. и слив клапан, 1"х4 вых. (1/ 3шт</t>
  </si>
  <si>
    <t>7 035.24 руб.</t>
  </si>
  <si>
    <t>ZGR-000077</t>
  </si>
  <si>
    <t>QS-1851</t>
  </si>
  <si>
    <t>Коллекторная группа ZEGOR ЛАТУНЬ с расходомерами, БЕЗ воздухоотвод. и слив клапан, 1"х5 вых. (1/ 3шт</t>
  </si>
  <si>
    <t>8 640.54 руб.</t>
  </si>
  <si>
    <t>ZGR-000078</t>
  </si>
  <si>
    <t>QS-1861</t>
  </si>
  <si>
    <t>Коллекторная группа ZEGOR ЛАТУНЬ с расходомерами, БЕЗ воздухоотвод. и слив клапан, 1"х6 вых. (1/ 3шт</t>
  </si>
  <si>
    <t>10 243.25 руб.</t>
  </si>
  <si>
    <t>ZGR-000079</t>
  </si>
  <si>
    <t>QS-1871</t>
  </si>
  <si>
    <t>Коллекторная группа ZEGOR ЛАТУНЬ с расходомерами, БЕЗ воздухоотвод. и слив клапан, 1"х7 вых. (1/ 3шт</t>
  </si>
  <si>
    <t>11 848.55 руб.</t>
  </si>
  <si>
    <t>ZGR-000080</t>
  </si>
  <si>
    <t>QS-1881</t>
  </si>
  <si>
    <t>Коллекторная группа ZEGOR ЛАТУНЬ с расходомерами, БЕЗ воздухоотвод. и слив клапан, 1"х8 вых. (1/ 3шт</t>
  </si>
  <si>
    <t>16 113.70 руб.</t>
  </si>
  <si>
    <t>ZGR-000081</t>
  </si>
  <si>
    <t>QS-1891</t>
  </si>
  <si>
    <t>Коллекторная группа ZEGOR ЛАТУНЬ с расходомерами, БЕЗ воздухоотвод. и слив клапан, 1"х9 вых. (1/ 3шт</t>
  </si>
  <si>
    <t>18 043.25 руб.</t>
  </si>
  <si>
    <t>ZGR-000082</t>
  </si>
  <si>
    <t>QS-18101</t>
  </si>
  <si>
    <t>Коллекторная группа ZEGOR ЛАТУНЬ с расходомер, БЕЗ воздухоотвод. и слив клапан, 1"х10 вых. (1/ 3шт)</t>
  </si>
  <si>
    <t>19 972.80 руб.</t>
  </si>
  <si>
    <t>ZGR-000083</t>
  </si>
  <si>
    <t>QS-18111</t>
  </si>
  <si>
    <t>Коллекторная группа ZEGOR ЛАТУНЬ с расходомер, БЕЗ воздухоотвод. и слив клапан, 1"х11 вых. (1/ 3шт)</t>
  </si>
  <si>
    <t>17 144.82 руб.</t>
  </si>
  <si>
    <t>ZGR-000084</t>
  </si>
  <si>
    <t>QS-18121</t>
  </si>
  <si>
    <t>Коллекторная группа ZEGOR ЛАТУНЬ с расходомер, БЕЗ воздухоотвод. и слив клапан, 1"х12 вых. (1/ 3шт)</t>
  </si>
  <si>
    <t>20 777.24 руб.</t>
  </si>
  <si>
    <t>Коллекторные группы НЕРЖАВЕЙКА С РАСХОДОМЕРАМИ и ТРОЙНИКАМИ ZEGOR (для теплого пола)</t>
  </si>
  <si>
    <t>ZGR-000161</t>
  </si>
  <si>
    <t>QS-1824</t>
  </si>
  <si>
    <t>Коллектор группа ZEGOR НЕРЖ с расход,  В КОМПЛЕКТЕ с воздухоотвод. и слив клапан, 1"х2 вых (1/ 3шт)</t>
  </si>
  <si>
    <t>4 962.10 руб.</t>
  </si>
  <si>
    <t>ZGR-000162</t>
  </si>
  <si>
    <t>QS-1834</t>
  </si>
  <si>
    <t>Коллектор группа ZEGOR НЕРЖ с расход,  В КОМПЛЕКТЕ с воздухоотвод. и слив клапан, 1"х3 вых (1/ 3шт)</t>
  </si>
  <si>
    <t>5 928.60 руб.</t>
  </si>
  <si>
    <t>ZGR-000163</t>
  </si>
  <si>
    <t>QS-1844</t>
  </si>
  <si>
    <t>Коллектор группа ZEGOR НЕРЖ с расход,  В КОМПЛЕКТЕ с воздухоотвод. и слив клапан, 1"х4 вых (1/ 3шт)</t>
  </si>
  <si>
    <t>7 064.58 руб.</t>
  </si>
  <si>
    <t>ZGR-000164</t>
  </si>
  <si>
    <t>QS-1854</t>
  </si>
  <si>
    <t>Коллектор группа ZEGOR НЕРЖ с расход,  В КОМПЛЕКТЕ с воздухоотвод. и слив клапан, 1"х5 вых (1/ 3шт)</t>
  </si>
  <si>
    <t>8 194.91 руб.</t>
  </si>
  <si>
    <t>ZGR-000165</t>
  </si>
  <si>
    <t>QS-1864</t>
  </si>
  <si>
    <t>Коллектор группа ZEGOR НЕРЖ с расход,  В КОМПЛЕКТЕ с воздухоотвод. и слив клапан, 1"х6 вых (1/ 3шт)</t>
  </si>
  <si>
    <t>9 432.63 руб.</t>
  </si>
  <si>
    <t>ZGR-000166</t>
  </si>
  <si>
    <t>QS-1874</t>
  </si>
  <si>
    <t>Коллектор группа ZEGOR НЕРЖ с расход,  В КОМПЛЕКТЕ с воздухоотвод. и слив клапан, 1"х7 вых (1/ 3шт)</t>
  </si>
  <si>
    <t>10 562.96 руб.</t>
  </si>
  <si>
    <t>ZGR-000167</t>
  </si>
  <si>
    <t>QS-1884</t>
  </si>
  <si>
    <t>Коллектор группа ZEGOR НЕРЖ с расход,  В КОМПЛЕКТЕ с воздухоотвод. и слив клапан, 1"х8 вых (1/ 3шт)</t>
  </si>
  <si>
    <t>11 622.65 руб.</t>
  </si>
  <si>
    <t>ZGR-000168</t>
  </si>
  <si>
    <t>QS-1894</t>
  </si>
  <si>
    <t>Коллектор группа ZEGOR НЕРЖ с расход,  В КОМПЛЕКТЕ с воздухоотвод. и слив клапан, 1"х9 вых (1/ 3шт)</t>
  </si>
  <si>
    <t>12 752.98 руб.</t>
  </si>
  <si>
    <t>ZGR-000169</t>
  </si>
  <si>
    <t>QS-18104</t>
  </si>
  <si>
    <t>Коллектор группа ZEGOR НЕРЖ с расход,  В КОМПЛЕКТЕ с воздухоотвод. и слив клапан, 1"х10 вых (1/ 3шт)</t>
  </si>
  <si>
    <t>13 849.41 руб.</t>
  </si>
  <si>
    <t>ZGR-000170</t>
  </si>
  <si>
    <t>QS-18114</t>
  </si>
  <si>
    <t>Коллектор группа ZEGOR НЕРЖ с расход,  В КОМПЛЕКТЕ с воздухоотвод. и слив клапан, 1"х11 вых (1/ 3шт)</t>
  </si>
  <si>
    <t>14 411.75 руб.</t>
  </si>
  <si>
    <t>ZGR-000171</t>
  </si>
  <si>
    <t>QS-18124</t>
  </si>
  <si>
    <t>Коллектор группа ZEGOR НЕРЖ с расход,  В КОМПЛЕКТЕ с воздухоотвод. и слив клапан, 1"х12 вых (1/ 3шт)</t>
  </si>
  <si>
    <t>15 542.08 руб.</t>
  </si>
  <si>
    <t>Коллекторные группы НЕРЖАВЕЙКА С РАСХОДОМЕРАМИ ZEGOR (для теплого пола)</t>
  </si>
  <si>
    <t>ZGR-000220</t>
  </si>
  <si>
    <t>QS-1837</t>
  </si>
  <si>
    <t>Коллекторная группа 1"х3 вых С РАСХОДОМЕРАМИ и индикацией температуры, в сборе, НЕРЖАВЕЙКА (1/ 3шт)</t>
  </si>
  <si>
    <t>5 256.10 руб.</t>
  </si>
  <si>
    <t>ZGR-000221</t>
  </si>
  <si>
    <t>QS-1847</t>
  </si>
  <si>
    <t>Коллекторная группа 1"х4 вых С РАСХОДОМЕРАМИ и индикацией температуры, в сборе, НЕРЖАВЕЙКА (1/ 3шт)</t>
  </si>
  <si>
    <t>6 376.80 руб.</t>
  </si>
  <si>
    <t>ZGR-000222</t>
  </si>
  <si>
    <t>QS-1857</t>
  </si>
  <si>
    <t>Коллекторная группа 1"х5 вых С РАСХОДОМЕРАМИ и индикацией температуры, в сборе, НЕРЖАВЕЙКА (1/ 3шт)</t>
  </si>
  <si>
    <t>7 360.22 руб.</t>
  </si>
  <si>
    <t>ZGR-000223</t>
  </si>
  <si>
    <t>QS-1867</t>
  </si>
  <si>
    <t>Коллекторная группа 1"х6 вых С РАСХОДОМЕРАМИ и индикацией температуры, в сборе, НЕРЖАВЕЙКА (1/ 3шт)</t>
  </si>
  <si>
    <t>8 315.62 руб.</t>
  </si>
  <si>
    <t>ZGR-000224</t>
  </si>
  <si>
    <t>QS-1877</t>
  </si>
  <si>
    <t>Коллекторная группа 1"х7 вых С РАСХОДОМЕРАМИ и индикацией температуры, в сборе, НЕРЖАВЕЙКА (1/ 3шт)</t>
  </si>
  <si>
    <t>9 637.97 руб.</t>
  </si>
  <si>
    <t>ZGR-000225</t>
  </si>
  <si>
    <t>QS-1887</t>
  </si>
  <si>
    <t>Коллекторная группа 1"х8 вых С РАСХОДОМЕРАМИ и индикацией температуры, в сборе, НЕРЖАВЕЙКА (1/ 3шт)</t>
  </si>
  <si>
    <t>10 804.53 руб.</t>
  </si>
  <si>
    <t>ZGR-000226</t>
  </si>
  <si>
    <t>QS-1897</t>
  </si>
  <si>
    <t>Коллекторная группа 1"х9 вых С РАСХОДОМЕРАМИ и индикацией температуры, в сборе, НЕРЖАВЕЙКА (1/ 3шт)</t>
  </si>
  <si>
    <t>12 295.58 руб.</t>
  </si>
  <si>
    <t>ZGR-000227</t>
  </si>
  <si>
    <t>QS-18107</t>
  </si>
  <si>
    <t>Коллекторная группа 1"х10 вых С РАСХОДОМЕРАМИ и индикацией температуры, в сборе, НЕРЖАВЕЙКА (1/ 3шт)</t>
  </si>
  <si>
    <t>13 395.33 руб.</t>
  </si>
  <si>
    <t>ZGR-000228</t>
  </si>
  <si>
    <t>QS-18117</t>
  </si>
  <si>
    <t>Коллекторная группа 1"х11 вых С РАСХОДОМЕРАМИ и индикацией температуры, в сборе, НЕРЖАВЕЙКА (1/ 3шт)</t>
  </si>
  <si>
    <t>14 459.02 руб.</t>
  </si>
  <si>
    <t>ZGR-000229</t>
  </si>
  <si>
    <t>QS-18127</t>
  </si>
  <si>
    <t>Коллекторная группа 1"х12 вых С РАСХОДОМЕРАМИ и индикацией температуры, в сборе, НЕРЖАВЕЙКА (1/ 3шт)</t>
  </si>
  <si>
    <t>15 558.77 руб.</t>
  </si>
  <si>
    <t>Насосно-смесительные узлы и клапана</t>
  </si>
  <si>
    <t>OTM-110591</t>
  </si>
  <si>
    <t>Насосно-смесительный узел для теплого пола с термоголовкой 20-65*С, монтаж длина 130-180мм (5шт)</t>
  </si>
  <si>
    <t>7 303.41 руб.</t>
  </si>
  <si>
    <t>Насосно-смесительные узлы и клапана VIEIR</t>
  </si>
  <si>
    <t>Насосно-смесительные узлы VIEIR</t>
  </si>
  <si>
    <t>STP-310001</t>
  </si>
  <si>
    <t>VR202</t>
  </si>
  <si>
    <t>Насосно-смес узел VR для ТП 1 термометр с термогол 20-65*С без насоса монтаж длина 130-180мм (1/5шт)</t>
  </si>
  <si>
    <t>7 214.38 руб.</t>
  </si>
  <si>
    <t>STP-310002</t>
  </si>
  <si>
    <t>HS113</t>
  </si>
  <si>
    <t>Насосно-смес узел VR для ТП 3 термометра с термоголовкой без насоса монтаж длина 180мм (1/5шт)</t>
  </si>
  <si>
    <t>19 920.60 руб.</t>
  </si>
  <si>
    <t>STP-310010</t>
  </si>
  <si>
    <t>VR204-F</t>
  </si>
  <si>
    <t>Насосно-смес узел VR  с термосмес кл. 35"-60" монтаж длина 130-180мм (1/10шт)</t>
  </si>
  <si>
    <t>8 987.48 руб.</t>
  </si>
  <si>
    <t>STP-310011</t>
  </si>
  <si>
    <t>VR206</t>
  </si>
  <si>
    <t>Насосно-смес узел VIEIR с термоголовкой 20-60*С без насоса монтаж длина 130мм, бок подвод (1/10шт)</t>
  </si>
  <si>
    <t>12 127.59 руб.</t>
  </si>
  <si>
    <t>STP-310012</t>
  </si>
  <si>
    <t>VR207</t>
  </si>
  <si>
    <t xml:space="preserve">Насосно-смес узел VIEIR с термосмес клапаном без насоса унив монтаж длина 130-180мм, боковой подвод </t>
  </si>
  <si>
    <t>12 795.48 руб.</t>
  </si>
  <si>
    <t>STP-310013</t>
  </si>
  <si>
    <t>VR208</t>
  </si>
  <si>
    <t>Насосно-смес узел VIEIR с термоголовкой без насоса монтаж длина 130мм, боковой подвод (1/5шт)</t>
  </si>
  <si>
    <t>11 526.64 руб.</t>
  </si>
  <si>
    <t>STP-310014</t>
  </si>
  <si>
    <t>VR200</t>
  </si>
  <si>
    <t>Насосно-смес узел VR для ТП с термосмес клапан 35-60*С монтаж длина 130-180мм(1/10шт)</t>
  </si>
  <si>
    <t>STP-310016</t>
  </si>
  <si>
    <t>VR200-A</t>
  </si>
  <si>
    <t>Насосно-смес узел VR для ТП с термосмес клапан 20-45*С монтаж длина 130-180мм(1/10шт)</t>
  </si>
  <si>
    <t>8 794.10 руб.</t>
  </si>
  <si>
    <t>STP-310017</t>
  </si>
  <si>
    <t>VR204A-F</t>
  </si>
  <si>
    <t>Насосно-смесительный узел для теплого пола KVS2,6  20 °С- 45 °С   ViEiR ((10/1шт)</t>
  </si>
  <si>
    <t>STP-310025</t>
  </si>
  <si>
    <t>VR204-A</t>
  </si>
  <si>
    <t>Насосно-смесительный узел для теплого пола ПРЯМОЙ KVS2,6  20 °С- 45 °С  "ViEiR"((8/1шт)</t>
  </si>
  <si>
    <t>6 674.41 руб.</t>
  </si>
  <si>
    <t>VER-000279</t>
  </si>
  <si>
    <t>VR225</t>
  </si>
  <si>
    <t>Насосно-смесительный узел с 4-х ходовым термостатическим клапаном"ViEiR"(5/1шт)</t>
  </si>
  <si>
    <t>11 837.53 руб.</t>
  </si>
  <si>
    <t>VER-000280</t>
  </si>
  <si>
    <t>VR226</t>
  </si>
  <si>
    <t>Насосно-смесительный узел с 4-х ходовым термостатическим клапаном"ViEiR"(10/1шт)</t>
  </si>
  <si>
    <t>8 954.75 руб.</t>
  </si>
  <si>
    <t>VER-000435</t>
  </si>
  <si>
    <t>VR240</t>
  </si>
  <si>
    <t>Насосно-смесительный узел для теплого пола"  "ViEiR"((5/1шт) (аналог VR207)</t>
  </si>
  <si>
    <t>12 796.96 руб.</t>
  </si>
  <si>
    <t>VER-001221</t>
  </si>
  <si>
    <t>VR232</t>
  </si>
  <si>
    <t>Насосно-смесительный узел для теплого пола (10/1шт)</t>
  </si>
  <si>
    <t>5 792.33 руб.</t>
  </si>
  <si>
    <t>VER-001396</t>
  </si>
  <si>
    <t>VR253</t>
  </si>
  <si>
    <t>Насосно-смесительный узел для теплого пола СО СМЕЩЕНИЕМ (с эксцентриком) 1" (8/1шт)</t>
  </si>
  <si>
    <t>7 263.46 руб.</t>
  </si>
  <si>
    <t>Терморегулирующие монтажные комплекты VIEIR</t>
  </si>
  <si>
    <t>RAR-120041</t>
  </si>
  <si>
    <t>VRT16</t>
  </si>
  <si>
    <t>Терморегулирующий монтажный комплект  (20/1шт)  ViEiR</t>
  </si>
  <si>
    <t>3 272.50 руб.</t>
  </si>
  <si>
    <t>STP-310015</t>
  </si>
  <si>
    <t>VRT15</t>
  </si>
  <si>
    <t>Терморегулирующий монтажный комплект ViEiR (1/20шт)</t>
  </si>
  <si>
    <t>Термосмесительные клапана VIEIR</t>
  </si>
  <si>
    <t>STP-310003</t>
  </si>
  <si>
    <t>VR176</t>
  </si>
  <si>
    <t>Трехходовой смесительный клапан 3/4" VR (1/30шт)</t>
  </si>
  <si>
    <t>2 000.69 руб.</t>
  </si>
  <si>
    <t>STP-310004</t>
  </si>
  <si>
    <t>VR177</t>
  </si>
  <si>
    <t>Трехходовой смесительный клапан 1" VR (1/30шт)</t>
  </si>
  <si>
    <t>2 179.19 руб.</t>
  </si>
  <si>
    <t>STP-310005</t>
  </si>
  <si>
    <t>VR178</t>
  </si>
  <si>
    <t>Трехходовой смесительный клапан 1 1/4" VR (1/30шт)</t>
  </si>
  <si>
    <t>2 812.86 руб.</t>
  </si>
  <si>
    <t>STP-310006</t>
  </si>
  <si>
    <t>VR291</t>
  </si>
  <si>
    <t>Клапан трехходовой смесительный 1" VR (1/30шт)</t>
  </si>
  <si>
    <t>2 142.00 руб.</t>
  </si>
  <si>
    <t>STP-310007</t>
  </si>
  <si>
    <t>VR201</t>
  </si>
  <si>
    <t>Термостатический смесительный клапан 1" (35-60℃, KVS4,5)  VR (1/30шт)</t>
  </si>
  <si>
    <t>3 681.56 руб.</t>
  </si>
  <si>
    <t>STP-310008</t>
  </si>
  <si>
    <t>VR290</t>
  </si>
  <si>
    <t>Термоголовка с погружным датчиком 20-60 °С  ViEiR (1/50шт)</t>
  </si>
  <si>
    <t>905.89 руб.</t>
  </si>
  <si>
    <t>VER-001397</t>
  </si>
  <si>
    <t>VR188</t>
  </si>
  <si>
    <t>Термостатический смесительный клапан трехходовой 1" (30/1шт)</t>
  </si>
  <si>
    <t>2 301.16 руб.</t>
  </si>
  <si>
    <t>Насосно-смесительные узлы и клапана VALTEC</t>
  </si>
  <si>
    <t>Насосно-смесительные узлы VALTEC</t>
  </si>
  <si>
    <t>VLC-813008</t>
  </si>
  <si>
    <t>VT.COMBI.0.180</t>
  </si>
  <si>
    <t>Насосно-смесительный узел с термоголовкой, без насоса, монтажная длина насоса 180 мм</t>
  </si>
  <si>
    <t>33 860.00 руб.</t>
  </si>
  <si>
    <t>VLC-813010</t>
  </si>
  <si>
    <t>VT.DUAL.0.130</t>
  </si>
  <si>
    <t>Насосно-смесительный узел без насоса, монтажная длина насоса 130 мм</t>
  </si>
  <si>
    <t>40 244.00 руб.</t>
  </si>
  <si>
    <t>VLC-813025</t>
  </si>
  <si>
    <t>VT.TECHNOMIX.0.130</t>
  </si>
  <si>
    <t>Насосно-смесительный узел, без насоса, монтажная длина насоса 130 мм (Италия)</t>
  </si>
  <si>
    <t>28 095.00 руб.</t>
  </si>
  <si>
    <t>VLC-813026</t>
  </si>
  <si>
    <t>VT.VALMIX.0.130</t>
  </si>
  <si>
    <t>Насосно-смесительный узел, без насоса, монтажная длина насоса 130 мм</t>
  </si>
  <si>
    <t>13 295.00 руб.</t>
  </si>
  <si>
    <t>VLC-900904</t>
  </si>
  <si>
    <t>VT.COMBI.S.180C</t>
  </si>
  <si>
    <t>Насосно-смесительный узел с сервоприводом, без насоса, монтажная длина насоса 180 мм (C)</t>
  </si>
  <si>
    <t>33 874.00 руб.</t>
  </si>
  <si>
    <t>VLC-999119</t>
  </si>
  <si>
    <t>VT.COMBI.S.180M</t>
  </si>
  <si>
    <t>Насосно-смесительный узел с сервоприводом, без насоса, монтажная длина насоса 180 мм (M)</t>
  </si>
  <si>
    <t>37 176.00 руб.</t>
  </si>
  <si>
    <t>Терморегулирующие монтажные комплекты VALTEC</t>
  </si>
  <si>
    <t>VLC-813021</t>
  </si>
  <si>
    <t>VT.ICBOX.1.0</t>
  </si>
  <si>
    <t>Терморегулирующий монтажный комплект IC-BOX 1</t>
  </si>
  <si>
    <t>16 785.00 руб.</t>
  </si>
  <si>
    <t>VLC-813022</t>
  </si>
  <si>
    <t>VT.ICBOX.2.0</t>
  </si>
  <si>
    <t>Терморегулирующий монтажный комплект IC-BOX 2</t>
  </si>
  <si>
    <t>VLC-813023</t>
  </si>
  <si>
    <t>VT.ICBOX.4.0</t>
  </si>
  <si>
    <t>Терморегулирующий монтажный комплект IC-BOX 4</t>
  </si>
  <si>
    <t>11 427.00 руб.</t>
  </si>
  <si>
    <t>VLC-813024</t>
  </si>
  <si>
    <t>VT.ICBOX.5.0</t>
  </si>
  <si>
    <t>Терморегулирующий монтажный комплект IC-BOX 5</t>
  </si>
  <si>
    <t>12 190.00 руб.</t>
  </si>
  <si>
    <t>Термосмесительные клапана VALTEC</t>
  </si>
  <si>
    <t>VLC-813001</t>
  </si>
  <si>
    <t>VT.5011.0.0</t>
  </si>
  <si>
    <t>Термоголовка с выносным погружным датчиком (диап. Регул-ки 20-60С) 2м.  (5 /40шт)</t>
  </si>
  <si>
    <t>6 342.00 руб.</t>
  </si>
  <si>
    <t>VLC-813002</t>
  </si>
  <si>
    <t>VT.5012.0.0</t>
  </si>
  <si>
    <t>Термоголовка с выносным накладным датчиком (диап. Регул-ки 20-60С) 2м. (5 /40шт)</t>
  </si>
  <si>
    <t>5 344.00 руб.</t>
  </si>
  <si>
    <t>VLC-813003</t>
  </si>
  <si>
    <t>VT.3011.0.0</t>
  </si>
  <si>
    <t>Термоголовка с погружным датчиком диап. Регул-ки 20-70С 2м. (1/18шт)</t>
  </si>
  <si>
    <t>2 086.00 руб.</t>
  </si>
  <si>
    <t>VLC-813004</t>
  </si>
  <si>
    <t>VT.MR01.N.0603</t>
  </si>
  <si>
    <t>Клапан трехходовой смесительный 1" (с боковым смешиванием, без полного перекрытия)    (2 /32шт)</t>
  </si>
  <si>
    <t>7 494.00 руб.</t>
  </si>
  <si>
    <t>VLC-813005</t>
  </si>
  <si>
    <t>VT.MR02.N.0603</t>
  </si>
  <si>
    <t>Клапан трехходовый смесительный 1" (с центральным смешиванием)  (2 /32шт)</t>
  </si>
  <si>
    <t>8 113.00 руб.</t>
  </si>
  <si>
    <t>VLC-813006</t>
  </si>
  <si>
    <t>VT.MR03.N.0603</t>
  </si>
  <si>
    <t>Клапан трехходовой смесительный 1" (с боковым смешиванием, с возможностью полного перекрытия)  (2 /3</t>
  </si>
  <si>
    <t>7 574.00 руб.</t>
  </si>
  <si>
    <t>VLC-813011</t>
  </si>
  <si>
    <t>VT.MIX03.G.05</t>
  </si>
  <si>
    <t>Трехходовой смесительный клапан 3/4</t>
  </si>
  <si>
    <t>8 556.00 руб.</t>
  </si>
  <si>
    <t>VLC-813012</t>
  </si>
  <si>
    <t>VT.MIX03.G.06</t>
  </si>
  <si>
    <t>Трехходовой смесительный клапан 1</t>
  </si>
  <si>
    <t>8 343.00 руб.</t>
  </si>
  <si>
    <t>VLC-813013</t>
  </si>
  <si>
    <t>VT.MIX03.G.07</t>
  </si>
  <si>
    <t>Трехходовой смесительный клапан 1 1/4</t>
  </si>
  <si>
    <t>9 520.00 руб.</t>
  </si>
  <si>
    <t>VLC-813014</t>
  </si>
  <si>
    <t>VT.MIX04.G.05</t>
  </si>
  <si>
    <t>Четырехходовой смесительный клапан 3/4</t>
  </si>
  <si>
    <t>9 373.00 руб.</t>
  </si>
  <si>
    <t>VLC-813015</t>
  </si>
  <si>
    <t>VT.MIX04.G.06</t>
  </si>
  <si>
    <t>Четырехходовой смесительный клапан 1</t>
  </si>
  <si>
    <t>9 181.00 руб.</t>
  </si>
  <si>
    <t>VLC-813016</t>
  </si>
  <si>
    <t>VT.MIX04.G.07</t>
  </si>
  <si>
    <t>Четырехходовой смесительный клапан 1 1/4</t>
  </si>
  <si>
    <t>10 688.00 руб.</t>
  </si>
  <si>
    <t>VLC-813017</t>
  </si>
  <si>
    <t>VT.M106.0.024</t>
  </si>
  <si>
    <t>Сервомотор для смесительного клапана 24В (AVC05)</t>
  </si>
  <si>
    <t>24 914.00 руб.</t>
  </si>
  <si>
    <t>VLC-813018</t>
  </si>
  <si>
    <t>VT.M106.0.230</t>
  </si>
  <si>
    <t>Сервомотор для смесительного клапана 230В</t>
  </si>
  <si>
    <t>VLC-813019</t>
  </si>
  <si>
    <t>VT.M106.R.024</t>
  </si>
  <si>
    <t>Радиальный сервомотор, для смесительного клапана 24В (0-10 В) (AVC10Y)</t>
  </si>
  <si>
    <t>42 725.00 руб.</t>
  </si>
  <si>
    <t>VLC-813020</t>
  </si>
  <si>
    <t>VT.ACC10.0.0</t>
  </si>
  <si>
    <t>Сервомотор со встроенным контроллером</t>
  </si>
  <si>
    <t>41 596.00 руб.</t>
  </si>
  <si>
    <t>Насосно-смесительные узлы и клапана ZEGOR</t>
  </si>
  <si>
    <t>ZGR-000088</t>
  </si>
  <si>
    <t>QS-6402</t>
  </si>
  <si>
    <t>Насосно-смесительный узел ZEGOR с нижним подводом, монтажная длина 130-180 мм (1/6шт)</t>
  </si>
  <si>
    <t>7 519.17 руб.</t>
  </si>
  <si>
    <t>ZGR-000230</t>
  </si>
  <si>
    <t>QS-6403</t>
  </si>
  <si>
    <t xml:space="preserve">Насосно-смес узел боковой подвод ,с термоголовкой без насоса,  монтаж длина 130мм (1/4шт)    </t>
  </si>
  <si>
    <t>10 576.60 руб.</t>
  </si>
  <si>
    <t>Строительные материалы для теплого пола</t>
  </si>
  <si>
    <t>Строительные материалы VALTEC</t>
  </si>
  <si>
    <t>VIV-201001</t>
  </si>
  <si>
    <t>Фольга для теплого пола с разметкой 0,07мм двухслойная BOPP-PET VIVALDO (50м.кв/рулон.)</t>
  </si>
  <si>
    <t>99.00 руб.</t>
  </si>
  <si>
    <t>м2</t>
  </si>
  <si>
    <t>VLC-814001</t>
  </si>
  <si>
    <t>THZ.P.10</t>
  </si>
  <si>
    <t>Пластификатор (за 10 литров)</t>
  </si>
  <si>
    <t>3 280.00 руб.</t>
  </si>
  <si>
    <t>VLC-814002</t>
  </si>
  <si>
    <t>EasyFix L</t>
  </si>
  <si>
    <t>Мат с покрытием с бобышками для теплого пола пенолистирол 0,5м2 (1000*500*40) (20шт)</t>
  </si>
  <si>
    <t>473.00 руб.</t>
  </si>
  <si>
    <t>VLC-814003</t>
  </si>
  <si>
    <t>EasyFix</t>
  </si>
  <si>
    <t>Мат с бобышками для теплого пола пенолистирол 0,5м2 (1000*500*40) (20шт)</t>
  </si>
  <si>
    <t>363.00 руб.</t>
  </si>
  <si>
    <t>VLC-814006</t>
  </si>
  <si>
    <t>Пенополистирол с покрытием, для т/п (1100*800*38)    (10шт)</t>
  </si>
  <si>
    <t>702.00 руб.</t>
  </si>
  <si>
    <t>VLC-814007</t>
  </si>
  <si>
    <t>FT</t>
  </si>
  <si>
    <t>Скоба-фиксатор (упак 100шт)</t>
  </si>
  <si>
    <t>440.00 руб.</t>
  </si>
  <si>
    <t>VLC-814008</t>
  </si>
  <si>
    <t>VT.FP.SZ.0125</t>
  </si>
  <si>
    <t>Теплораспределительная пластина для теплого пола (1000х125)    (40шт)</t>
  </si>
  <si>
    <t>339.00 руб.</t>
  </si>
  <si>
    <t>VLC-814009</t>
  </si>
  <si>
    <t>THZ.LD.100.08.25</t>
  </si>
  <si>
    <t>Лента демпферная 100х8мм (за 25 погонных метров) (12шт)</t>
  </si>
  <si>
    <t>396.00 руб.</t>
  </si>
  <si>
    <t>рул</t>
  </si>
  <si>
    <t>VLC-814010</t>
  </si>
  <si>
    <t>VT.HS.FP.0312</t>
  </si>
  <si>
    <t>Подложка для теплого пола VALTEC с разметкой, мультифольга 3мм.(30м.кв.)</t>
  </si>
  <si>
    <t>74.00 руб.</t>
  </si>
  <si>
    <t>VLC-814011</t>
  </si>
  <si>
    <t>VT.491.S.16</t>
  </si>
  <si>
    <t>Фиксатор поворота, металл, 90град, для труб 16мм.  (5 /300шт)</t>
  </si>
  <si>
    <t>118.00 руб.</t>
  </si>
  <si>
    <t>VLC-814012</t>
  </si>
  <si>
    <t>VT.491.S.20</t>
  </si>
  <si>
    <t>Фиксатор поворота, металл, 90град, для труб 20мм.  (5 /200шт)</t>
  </si>
  <si>
    <t>185.00 руб.</t>
  </si>
  <si>
    <t>VLC-814013</t>
  </si>
  <si>
    <t>FS 16</t>
  </si>
  <si>
    <t>Фиксатор поворота, пластик, 90град, для труб 16мм. синий  (30/200шт)</t>
  </si>
  <si>
    <t>57.00 руб.</t>
  </si>
  <si>
    <t>VLC-814014</t>
  </si>
  <si>
    <t>FS 20</t>
  </si>
  <si>
    <t>Фиксатор поворота, пластик, 90град, для труб 20мм. черный (50шт)</t>
  </si>
  <si>
    <t>81.00 руб.</t>
  </si>
  <si>
    <t>VLC-814015</t>
  </si>
  <si>
    <t>SHM 1620</t>
  </si>
  <si>
    <t>Шина фиксирующая, для монтажа труб теплого пола ( для 16,и 20 мм)    (20шт)</t>
  </si>
  <si>
    <t>54.00 руб.</t>
  </si>
  <si>
    <t>VLC-814017</t>
  </si>
  <si>
    <t>VT.T.01.1620</t>
  </si>
  <si>
    <t>Такер VALTEC для крепления труб теплого пола</t>
  </si>
  <si>
    <t>5 398.00 руб.</t>
  </si>
  <si>
    <t>VLC-814018</t>
  </si>
  <si>
    <t>VT.KS.P.1620</t>
  </si>
  <si>
    <t xml:space="preserve">Скоба якорная для такера на проволоке для труб 12-20мм высота 45мм (50/500 шт) </t>
  </si>
  <si>
    <t>3.40 руб.</t>
  </si>
  <si>
    <t>VLC-900415</t>
  </si>
  <si>
    <t>Клипса поворотная для крепление труб 14-20мм к арматурной сетке</t>
  </si>
  <si>
    <t>11.20 руб.</t>
  </si>
  <si>
    <t>VLC-900474</t>
  </si>
  <si>
    <t>Дюбель-крюк одинарный 16-32*80 мм.</t>
  </si>
  <si>
    <t>9.10 руб.</t>
  </si>
  <si>
    <t>VLC-900475</t>
  </si>
  <si>
    <t>Дюбель-крюк двойной 16-32*80 мм.</t>
  </si>
  <si>
    <t>9.30 руб.</t>
  </si>
  <si>
    <t>VLC-900476</t>
  </si>
  <si>
    <t>Дюбель-крюк двойной 16-32*100 мм.</t>
  </si>
  <si>
    <t>9.50 руб.</t>
  </si>
  <si>
    <t>VLC-900534</t>
  </si>
  <si>
    <t xml:space="preserve">Скоба якорная для такера на ленте для труб 12-20мм высота 51мм (30/600 шт) </t>
  </si>
  <si>
    <t>4.00 руб.</t>
  </si>
  <si>
    <t>VLC-900655</t>
  </si>
  <si>
    <t>FS 25</t>
  </si>
  <si>
    <t>Фиксатор поворота, пластик, 90град, для труб 25мм.</t>
  </si>
  <si>
    <t>108.00 руб.</t>
  </si>
  <si>
    <t>VLC-900656</t>
  </si>
  <si>
    <t>FS 1620B</t>
  </si>
  <si>
    <t>Фиксатор поворота тип "Башмак", пластик, 90град, для труб 16-20 мм.</t>
  </si>
  <si>
    <t>84.00 руб.</t>
  </si>
  <si>
    <t>VLC-900905</t>
  </si>
  <si>
    <t>EKP25</t>
  </si>
  <si>
    <t>Пенополистирол с покрытием, для т/п (1200*600*43) 0,72 кв.м</t>
  </si>
  <si>
    <t>679.00 руб.</t>
  </si>
  <si>
    <t>УТ000002267</t>
  </si>
  <si>
    <t>Подложка для теплого пола с разметкой, мультифольга 3мм.(25м.кв.)</t>
  </si>
  <si>
    <t>60.00 руб.</t>
  </si>
  <si>
    <t>Строительные материалы VIEIR</t>
  </si>
  <si>
    <t>SST-100136</t>
  </si>
  <si>
    <t>Скоба якорная для такера для труб 16-20мм высота 45мм (пакет 100шт) (100/10000 шт)</t>
  </si>
  <si>
    <t>3.65 руб.</t>
  </si>
  <si>
    <t>STP-510001</t>
  </si>
  <si>
    <t>VER1230</t>
  </si>
  <si>
    <t>Степлер для теплого пола VIEIR (1/5шт)</t>
  </si>
  <si>
    <t>7 074.55 руб.</t>
  </si>
  <si>
    <t>STP-510002</t>
  </si>
  <si>
    <t>VER1230-1</t>
  </si>
  <si>
    <t>Скоба якорная 50мм для труба 16-20мм VIEIR (500/2500шт)</t>
  </si>
  <si>
    <t>2.98 руб.</t>
  </si>
  <si>
    <t>STP-510004</t>
  </si>
  <si>
    <t>Теплораспределительная пластина для теплого пола 1000мм (40шт в коробке)</t>
  </si>
  <si>
    <t>STP-510008</t>
  </si>
  <si>
    <t>VR16-90</t>
  </si>
  <si>
    <t>Фиксатор поворота трубы 16мм, металл, 90град. (5/200шт)</t>
  </si>
  <si>
    <t>35.70 руб.</t>
  </si>
  <si>
    <t>STP-510009</t>
  </si>
  <si>
    <t>VR20-90</t>
  </si>
  <si>
    <t>Фиксатор поворота трубы 20мм , металл, 90град. (5/300шт)</t>
  </si>
  <si>
    <t>59.50 руб.</t>
  </si>
  <si>
    <t>STP-510010</t>
  </si>
  <si>
    <t>VR16A-90</t>
  </si>
  <si>
    <t>Фиксатор поворота трубы 16мм, металл, 90град. (5/500шт)</t>
  </si>
  <si>
    <t>34.21 руб.</t>
  </si>
  <si>
    <t>STP-510011</t>
  </si>
  <si>
    <t>VR20A-90</t>
  </si>
  <si>
    <t>43.14 руб.</t>
  </si>
  <si>
    <t>VER-000217</t>
  </si>
  <si>
    <t>VRU16</t>
  </si>
  <si>
    <t>Клипса для теплого пола ф16 "VIEIR"(1760/80шт)</t>
  </si>
  <si>
    <t>4.46 руб.</t>
  </si>
  <si>
    <t>VER-000218</t>
  </si>
  <si>
    <t>VRU20</t>
  </si>
  <si>
    <t>Клипса для теплого пола ф20 "VIEIR"(1100/50шт)</t>
  </si>
  <si>
    <t>VER-000854</t>
  </si>
  <si>
    <t>VPGM114</t>
  </si>
  <si>
    <t>Фиксирующий желоб , для труб из сшитого полиэтилена DN16 x 2 м (28/1шт)</t>
  </si>
  <si>
    <t>608.39 руб.</t>
  </si>
  <si>
    <t>VER-001089</t>
  </si>
  <si>
    <t>VER1229</t>
  </si>
  <si>
    <t>Степлер для крепления труб теплого пола (10/1шт)</t>
  </si>
  <si>
    <t>4 966.76 руб.</t>
  </si>
  <si>
    <t>УТ000002150</t>
  </si>
  <si>
    <t>Фиксатор поворота трубы 16мм, пластик, 90град. (10шт)</t>
  </si>
  <si>
    <t>50.00 руб.</t>
  </si>
  <si>
    <t>Комплектующие для теплого пола</t>
  </si>
  <si>
    <t>GAP-100933</t>
  </si>
  <si>
    <t>G9999</t>
  </si>
  <si>
    <t>Комплект наклеек водоснабжение и отопление  GAPPO (50/400)</t>
  </si>
  <si>
    <t>68.89 руб.</t>
  </si>
  <si>
    <t>ком</t>
  </si>
  <si>
    <t>Комплектующие для теплого пола VALTEC</t>
  </si>
  <si>
    <t>VLC-721134</t>
  </si>
  <si>
    <t>VTr.580.NEI.040E</t>
  </si>
  <si>
    <t>Ниппель для коллекторного блока 586, под расходомер, 1/2" х евроконус нар.-нар.   (50 /400шт)</t>
  </si>
  <si>
    <t>540.00 руб.</t>
  </si>
  <si>
    <t>VLC-721135</t>
  </si>
  <si>
    <t>VTr.580.NE.040E</t>
  </si>
  <si>
    <t>Ниппель переходной 1/2" х евроконус нар.-нар.   (10 /250шт)</t>
  </si>
  <si>
    <t>156.00 руб.</t>
  </si>
  <si>
    <t>VLC-812001</t>
  </si>
  <si>
    <t>VT.AC674</t>
  </si>
  <si>
    <t>Настроечный клапан с расходомером, коллекторный, встраиваемый  (для VTc.596 и 586)</t>
  </si>
  <si>
    <t>1 386.00 руб.</t>
  </si>
  <si>
    <t>VLC-812002</t>
  </si>
  <si>
    <t>VT.AC674.V.0</t>
  </si>
  <si>
    <t>Настроечный клапан с расходомером, коллекторный, встраиваемый  (для VTc.589)  (8 /80шт)</t>
  </si>
  <si>
    <t>573.00 руб.</t>
  </si>
  <si>
    <t>VLC-812010</t>
  </si>
  <si>
    <t>VT.0600.0.06</t>
  </si>
  <si>
    <t>Пробка для коллектора 1"    (50 /400шт)</t>
  </si>
  <si>
    <t>VLC-812011</t>
  </si>
  <si>
    <t>VT.0606.0.06</t>
  </si>
  <si>
    <t>Сдвоенный ниппель, 1"x1" (20 /160шт)</t>
  </si>
  <si>
    <t>1 295.00 руб.</t>
  </si>
  <si>
    <t>VLC-812013</t>
  </si>
  <si>
    <t>VT.0617.0.0</t>
  </si>
  <si>
    <t>Термометр погружной 1/2" (20 /160шт)</t>
  </si>
  <si>
    <t>2 244.00 руб.</t>
  </si>
  <si>
    <t>VLC-812014</t>
  </si>
  <si>
    <t>VT.0666.0.0</t>
  </si>
  <si>
    <t>Байпас тупиковый 200 мм  (4 /32шт)</t>
  </si>
  <si>
    <t>6 621.00 руб.</t>
  </si>
  <si>
    <t>VLC-812015</t>
  </si>
  <si>
    <t>VT.0667T.0.0</t>
  </si>
  <si>
    <t>Байпас проходной 200 мм, (2 /16шт)</t>
  </si>
  <si>
    <t>9 399.00 руб.</t>
  </si>
  <si>
    <t>VLC-812016</t>
  </si>
  <si>
    <t>VT.4615.0.0</t>
  </si>
  <si>
    <t>Тройник с термометром Евроконус (10 /80шт)</t>
  </si>
  <si>
    <t>2 350.00 руб.</t>
  </si>
  <si>
    <t>VLC-812017</t>
  </si>
  <si>
    <t>VT.AC616I.0.0</t>
  </si>
  <si>
    <t>Термостат регулируемый с выносным датчиком    (10шт)</t>
  </si>
  <si>
    <t>9 390.00 руб.</t>
  </si>
  <si>
    <t>VLC-812018</t>
  </si>
  <si>
    <t>VT.AC614.0.0</t>
  </si>
  <si>
    <t>Термостат регулируемый с накладным датчиком  (10шт)</t>
  </si>
  <si>
    <t>3 979.00 руб.</t>
  </si>
  <si>
    <t>VLC-812019</t>
  </si>
  <si>
    <t>VT.AC501.0.0</t>
  </si>
  <si>
    <t>Датчик температуры пола   (50шт)</t>
  </si>
  <si>
    <t>508.00 руб.</t>
  </si>
  <si>
    <t>VLC-812020</t>
  </si>
  <si>
    <t>VT.AC602.0.0</t>
  </si>
  <si>
    <t>Термостат комнатный, с датчиком температуры пола (НЗ сервоприводы)   (16шт)</t>
  </si>
  <si>
    <t>2 074.00 руб.</t>
  </si>
  <si>
    <t>VLC-812026</t>
  </si>
  <si>
    <t>VT.VDC31.N.0</t>
  </si>
  <si>
    <t>Регулировочный клапан для коллекторных блоков    (50 /400шт)</t>
  </si>
  <si>
    <t>1 042.00 руб.</t>
  </si>
  <si>
    <t>VLC-812027</t>
  </si>
  <si>
    <t>VT.VTC30.N.0</t>
  </si>
  <si>
    <t>Запорный клапан для коллекторных блоков  (50 /400шт)</t>
  </si>
  <si>
    <t>1 230.00 руб.</t>
  </si>
  <si>
    <t>VLC-812028</t>
  </si>
  <si>
    <t>VT.FLC15.0.0</t>
  </si>
  <si>
    <t>Расходомер 1-4 л/мин (евроконус) (20 /160шт)</t>
  </si>
  <si>
    <t>1 535.00 руб.</t>
  </si>
  <si>
    <t>VLC-812029</t>
  </si>
  <si>
    <t>VT.ZC8.0.24</t>
  </si>
  <si>
    <t>Зональный коммуникатор 8 каналов, 24В</t>
  </si>
  <si>
    <t>6 733.00 руб.</t>
  </si>
  <si>
    <t>VLC-812030</t>
  </si>
  <si>
    <t>VT.ZC8.0.220</t>
  </si>
  <si>
    <t>Зональный коммуникатор 8 каналов, 220В</t>
  </si>
  <si>
    <t>7 135.00 руб.</t>
  </si>
  <si>
    <t>VLC-900127</t>
  </si>
  <si>
    <t>OR.551</t>
  </si>
  <si>
    <t>Погружная гильза 1/2"</t>
  </si>
  <si>
    <t>925.00 руб.</t>
  </si>
  <si>
    <t>VLC-900424</t>
  </si>
  <si>
    <t>NVTPBC</t>
  </si>
  <si>
    <t>Каталог «Сантехнические наклейки»</t>
  </si>
  <si>
    <t>1 170.00 руб.</t>
  </si>
  <si>
    <t>VLC-900505</t>
  </si>
  <si>
    <t>ST-R-8 B</t>
  </si>
  <si>
    <t>Терморегулятор комнатный беспроводной (TECH)</t>
  </si>
  <si>
    <t>8 832.00 руб.</t>
  </si>
  <si>
    <t>VLC-900518</t>
  </si>
  <si>
    <t>ST-M-8N</t>
  </si>
  <si>
    <t>Контроллер для удаленного управления (TECH)</t>
  </si>
  <si>
    <t>66 892.00 руб.</t>
  </si>
  <si>
    <t>VLC-900907</t>
  </si>
  <si>
    <t>VT.K500.0.0</t>
  </si>
  <si>
    <t>Зональный контроллер, 24В, IP20</t>
  </si>
  <si>
    <t>46 173.00 руб.</t>
  </si>
  <si>
    <t>VLC-901079</t>
  </si>
  <si>
    <t>VT.0606.NC.06</t>
  </si>
  <si>
    <t>Фитинг коллекторный, сдвоенный ниппель 1"x1"</t>
  </si>
  <si>
    <t>583.00 руб.</t>
  </si>
  <si>
    <t>VLC-901080</t>
  </si>
  <si>
    <t>VT.0606.NC.08</t>
  </si>
  <si>
    <t>Фитинг коллекторный, сдвоенный ниппель 1 1/2"x1 1/2"</t>
  </si>
  <si>
    <t>885.00 руб.</t>
  </si>
  <si>
    <t>VLC-901103</t>
  </si>
  <si>
    <t>VT.K400.0.0</t>
  </si>
  <si>
    <t>Универсальный контроллер для смесительных узлов</t>
  </si>
  <si>
    <t>24 790.00 руб.</t>
  </si>
  <si>
    <t>VLC-901105</t>
  </si>
  <si>
    <t>VT.535.N.04</t>
  </si>
  <si>
    <t>Клапан дренажный 1/2"</t>
  </si>
  <si>
    <t>447.00 руб.</t>
  </si>
  <si>
    <t>VLC-999108</t>
  </si>
  <si>
    <t>VT.C8.F.0</t>
  </si>
  <si>
    <t>Датчик температуры пола комнатный беспроводной</t>
  </si>
  <si>
    <t>8 159.00 руб.</t>
  </si>
  <si>
    <t>VLC-999109</t>
  </si>
  <si>
    <t>VT.R8.B.0</t>
  </si>
  <si>
    <t>Терморегулятор комнатный беспроводной</t>
  </si>
  <si>
    <t>7 949.00 руб.</t>
  </si>
  <si>
    <t>VLC-999110</t>
  </si>
  <si>
    <t>VT.C8.ZR.0</t>
  </si>
  <si>
    <t>Датчик температуры наружного воздуха беспроводной</t>
  </si>
  <si>
    <t>5 257.00 руб.</t>
  </si>
  <si>
    <t>VLC-999111</t>
  </si>
  <si>
    <t>VT.C.MINI.0</t>
  </si>
  <si>
    <t>Датчик температуры комнатный беспроводной</t>
  </si>
  <si>
    <t>5 631.00 руб.</t>
  </si>
  <si>
    <t>VLC-999112</t>
  </si>
  <si>
    <t>VT.STL.8E.0</t>
  </si>
  <si>
    <t>Беспроводной зональный контроллер</t>
  </si>
  <si>
    <t>42 495.00 руб.</t>
  </si>
  <si>
    <t>VLC-999113</t>
  </si>
  <si>
    <t>VT.STM.8E.0</t>
  </si>
  <si>
    <t>Контроллер для удаленного управления</t>
  </si>
  <si>
    <t>57 142.00 руб.</t>
  </si>
  <si>
    <t>VLC-999114</t>
  </si>
  <si>
    <t>VT.STT.868.0</t>
  </si>
  <si>
    <t>Беспроводной электропривод радиаторного клапана</t>
  </si>
  <si>
    <t>19 315.00 руб.</t>
  </si>
  <si>
    <t>VLC-999115</t>
  </si>
  <si>
    <t>VT.ST.WIFI.RS.0</t>
  </si>
  <si>
    <t>Интернет модуль для беспроводного зонального контроллера</t>
  </si>
  <si>
    <t>42 286.00 руб.</t>
  </si>
  <si>
    <t>VLC-999117</t>
  </si>
  <si>
    <t>VT.K300.0.0</t>
  </si>
  <si>
    <t>19 506.00 руб.</t>
  </si>
  <si>
    <t>VLC-999118</t>
  </si>
  <si>
    <t>VT.K300.W.0</t>
  </si>
  <si>
    <t>Универсальный контроллер с Wi-Fi, для смесительных узлов</t>
  </si>
  <si>
    <t>21 481.00 руб.</t>
  </si>
  <si>
    <t>Комплектующие для теплого пола VIEIR</t>
  </si>
  <si>
    <t>INS-310034</t>
  </si>
  <si>
    <t>VRD38</t>
  </si>
  <si>
    <t>Станок для размотки труб"ViEiR" (1шт)</t>
  </si>
  <si>
    <t>8 185.71 руб.</t>
  </si>
  <si>
    <t>STP-410008</t>
  </si>
  <si>
    <t>VR1110</t>
  </si>
  <si>
    <t>Клапан настроечн. коллекторн. с переходн. ниппелем (установочн.ком.) (30/1шт)</t>
  </si>
  <si>
    <t>416.50 руб.</t>
  </si>
  <si>
    <t>STP-410009</t>
  </si>
  <si>
    <t>VR1111</t>
  </si>
  <si>
    <t>Клапан регуровочн.коллекторн. с переходн. ниппелем (установочн.ком.) (30/1шт)</t>
  </si>
  <si>
    <t>377.83 руб.</t>
  </si>
  <si>
    <t>STP-410010</t>
  </si>
  <si>
    <t>VR1112</t>
  </si>
  <si>
    <t>Расходомер коллекторный с переходн. ниппелем (установочн.ком.) (50/1шт)</t>
  </si>
  <si>
    <t>452.20 руб.</t>
  </si>
  <si>
    <t>STP-410011</t>
  </si>
  <si>
    <t>VR1113</t>
  </si>
  <si>
    <t>Ниппель переходной с уплотнительн. кольцом  (200/10шт)</t>
  </si>
  <si>
    <t>139.83 руб.</t>
  </si>
  <si>
    <t>STP-410012</t>
  </si>
  <si>
    <t>VR1115</t>
  </si>
  <si>
    <t>Байпас коллектора  (32/1шт)</t>
  </si>
  <si>
    <t>1 587.16 руб.</t>
  </si>
  <si>
    <t>STP-410013</t>
  </si>
  <si>
    <t>VR1116</t>
  </si>
  <si>
    <t>Коллекторный тройник  (30/2шт)</t>
  </si>
  <si>
    <t>288.58 руб.</t>
  </si>
  <si>
    <t>STP-410015</t>
  </si>
  <si>
    <t>VR267</t>
  </si>
  <si>
    <t>Кронштейн раздвижной для крепления коллекторной группы (130-180)  КРУГ  (30/1пар)</t>
  </si>
  <si>
    <t>пар</t>
  </si>
  <si>
    <t>STP-410016</t>
  </si>
  <si>
    <t>VR267A</t>
  </si>
  <si>
    <t>Кронштейн раздвижной для крепления коллекторной группы (130-180) КВАДРАТ  (30/1пар)</t>
  </si>
  <si>
    <t>STP-410020</t>
  </si>
  <si>
    <t>VR331</t>
  </si>
  <si>
    <t>Термостат накладной VR(1/50шт)</t>
  </si>
  <si>
    <t>1 090.34 руб.</t>
  </si>
  <si>
    <t>STP-410021</t>
  </si>
  <si>
    <t>VR332</t>
  </si>
  <si>
    <t>Термостат с капиллярной трубкой и погружным датчиком VR (1/50шт)</t>
  </si>
  <si>
    <t>STP-410022</t>
  </si>
  <si>
    <t>VR333</t>
  </si>
  <si>
    <t>Термостат с погружным датчиком VR (1/50шт)</t>
  </si>
  <si>
    <t>1 140.91 руб.</t>
  </si>
  <si>
    <t>STP-410023</t>
  </si>
  <si>
    <t>VR408</t>
  </si>
  <si>
    <t>Выносной датчик температуры телого пола (металл) VR (1/50шт)</t>
  </si>
  <si>
    <t>179.99 руб.</t>
  </si>
  <si>
    <t>STP-410024</t>
  </si>
  <si>
    <t>VR409</t>
  </si>
  <si>
    <t>Выносной датчик температуры телого пола (пластик) VR (1/50шт)</t>
  </si>
  <si>
    <t>196.35 руб.</t>
  </si>
  <si>
    <t>STP-410025</t>
  </si>
  <si>
    <t>АС667</t>
  </si>
  <si>
    <t>Байпас проходной 200мм с перепускным клапаном и термометром</t>
  </si>
  <si>
    <t>3 440.00 руб.</t>
  </si>
  <si>
    <t>STP-410026</t>
  </si>
  <si>
    <t>Клапан сливной 1/2 " с рез. уплотнением и пробкой</t>
  </si>
  <si>
    <t>154.80 руб.</t>
  </si>
  <si>
    <t>STP-410029</t>
  </si>
  <si>
    <t>VR1107</t>
  </si>
  <si>
    <t>ПАРА тройников коллек.в сборе 3/4"(тройник,воздух. дренажный кран) (2/60шт)</t>
  </si>
  <si>
    <t>2 069.11 руб.</t>
  </si>
  <si>
    <t>STP-410030</t>
  </si>
  <si>
    <t>VR1130</t>
  </si>
  <si>
    <t>Многоканальный централизованный контроллер системы горячего водоснабжения (ГВС) и отопления ViEiR</t>
  </si>
  <si>
    <t>2 635.85 руб.</t>
  </si>
  <si>
    <t>STP-410031</t>
  </si>
  <si>
    <t>VR1132</t>
  </si>
  <si>
    <t>Гильза для погружного датчика температуры 1/2х150  ViEiR (1/30шт)</t>
  </si>
  <si>
    <t>492.36 руб.</t>
  </si>
  <si>
    <t>STP-410032</t>
  </si>
  <si>
    <t>VR1133</t>
  </si>
  <si>
    <t>Гильза для погружного датчика температуры 1/2х122мм ViEiR (1/30шт)</t>
  </si>
  <si>
    <t>467.08 руб.</t>
  </si>
  <si>
    <t>VER-000163</t>
  </si>
  <si>
    <t>VR1152</t>
  </si>
  <si>
    <t>Байпас коллекторный проходной с перепускным клапаном (30/1шт)</t>
  </si>
  <si>
    <t>4 264.66 руб.</t>
  </si>
  <si>
    <t>VER-000164</t>
  </si>
  <si>
    <t>VR1151</t>
  </si>
  <si>
    <t>Байпас коллекторный тупиковый c перепускным клапаном (30/1шт)</t>
  </si>
  <si>
    <t>3 394.48 руб.</t>
  </si>
  <si>
    <t>VER-000281</t>
  </si>
  <si>
    <t>VR227</t>
  </si>
  <si>
    <t>Байпас для насосной группы с перепускным клапаном"ViEiR"(30/1шт)</t>
  </si>
  <si>
    <t>2 554.04 руб.</t>
  </si>
  <si>
    <t>VER-000303</t>
  </si>
  <si>
    <t>VER63</t>
  </si>
  <si>
    <t>Комплект угловых кранов для коллекторной группы 1" с разъемным соединением"ViEiR" (20/1пара)</t>
  </si>
  <si>
    <t>2 726.59 руб.</t>
  </si>
  <si>
    <t>VER-000465</t>
  </si>
  <si>
    <t>VRG55MM</t>
  </si>
  <si>
    <t>Сдвоенный ниппель 1"M*1"M (60/5шт)</t>
  </si>
  <si>
    <t>415.01 руб.</t>
  </si>
  <si>
    <t>VER-000629</t>
  </si>
  <si>
    <t>VPG1132</t>
  </si>
  <si>
    <t>Гильза для погружного датчика температуры 1/2"x90мм (300/10шт)</t>
  </si>
  <si>
    <t>282.63 руб.</t>
  </si>
  <si>
    <t>VER-000630</t>
  </si>
  <si>
    <t>VPG1133</t>
  </si>
  <si>
    <t>Гильза для погружного датчика температуры 1/2"x64мм (300/10шт)</t>
  </si>
  <si>
    <t>260.31 руб.</t>
  </si>
  <si>
    <t>VER-000786</t>
  </si>
  <si>
    <t>VR298</t>
  </si>
  <si>
    <t>Термоголовка с выносным проточным сенсором  (50/1шт)</t>
  </si>
  <si>
    <t>1 566.34 руб.</t>
  </si>
  <si>
    <t>VER-000832</t>
  </si>
  <si>
    <t>VR000</t>
  </si>
  <si>
    <t>Комплект наклеек водоснабжение и отопление  "ViEiR" (1 комплект)</t>
  </si>
  <si>
    <t>80.33 руб.</t>
  </si>
  <si>
    <t>Комплектующие для кол блоков VIEIR</t>
  </si>
  <si>
    <t>STP-410004</t>
  </si>
  <si>
    <t>VR1102A</t>
  </si>
  <si>
    <t>Пара прямых шар. кранов полусгон с доп. упл 1" (синяя красная бабочки) (2/24шт)</t>
  </si>
  <si>
    <t>2 568.91 руб.</t>
  </si>
  <si>
    <t>STP-410005</t>
  </si>
  <si>
    <t>VR1102</t>
  </si>
  <si>
    <t>Пара прямых шар. кранов полусгон с доп. упл 1" С ТЕРМОМЕТРАМИ В КОРПУСЕ (2/24шт)</t>
  </si>
  <si>
    <t>2 951.20 руб.</t>
  </si>
  <si>
    <t>STP-410006</t>
  </si>
  <si>
    <t>VR1105</t>
  </si>
  <si>
    <t>Пара угловых  шар. кранов с термометрами полусгон с доп. упл 1" (синяя красная бабочки) (2/24шт)</t>
  </si>
  <si>
    <t>4 437.21 руб.</t>
  </si>
  <si>
    <t>STP-410007</t>
  </si>
  <si>
    <t>VR1108</t>
  </si>
  <si>
    <t>ПАРА тройников коллек.в сборе1"(тройник,воздух. дренажный кран) (50/2шт)</t>
  </si>
  <si>
    <t>2 198.53 руб.</t>
  </si>
  <si>
    <t>VER-000129</t>
  </si>
  <si>
    <t>VR1102B</t>
  </si>
  <si>
    <t>Пара прямых шар. кранов полусгон с доп. упл 1" С ТЕРМОМЕТРАМИ  В СГОНАХ  (2/24шт)</t>
  </si>
  <si>
    <t>3 342.41 руб.</t>
  </si>
  <si>
    <t>VER-000302</t>
  </si>
  <si>
    <t>VR165</t>
  </si>
  <si>
    <t>Тройник коллекторный в сборе1"(тройник,воздух. дренажный кран)  (40/1шт)</t>
  </si>
  <si>
    <t>925.23 руб.</t>
  </si>
  <si>
    <t>VER-001152</t>
  </si>
  <si>
    <t>VR1146</t>
  </si>
  <si>
    <t>Концевой элемент для коллектора 1" (60/2шт)</t>
  </si>
  <si>
    <t>934.15 руб.</t>
  </si>
  <si>
    <t>VER-001153</t>
  </si>
  <si>
    <t>VR1147</t>
  </si>
  <si>
    <t>Концевой элемент для коллектора  с краном маевского 1" (60/2шт)</t>
  </si>
  <si>
    <t>609.88 руб.</t>
  </si>
  <si>
    <t>VER-001391</t>
  </si>
  <si>
    <t>VR266</t>
  </si>
  <si>
    <t>Кронштейн для крепления коллекторной группы，круг 3/4" (130-180)(40/1шт)</t>
  </si>
  <si>
    <t>263.29 руб.</t>
  </si>
  <si>
    <t>Комплектующие для кол блоков ZEGOR</t>
  </si>
  <si>
    <t>ZGR-000086</t>
  </si>
  <si>
    <t>QS-2801</t>
  </si>
  <si>
    <t>Тройник коллекторный в сборе 1"(тройник,воздухоотвод., дренажный кран) ZEGOR (2/40шт)</t>
  </si>
  <si>
    <t>1 182.37 руб.</t>
  </si>
  <si>
    <t>ZGR-000087</t>
  </si>
  <si>
    <t>QS-6801</t>
  </si>
  <si>
    <t>Комплект универсальный 1" с термометрами для подключ цирк насоса 130-180 мм ZEGOR (1/10шт)</t>
  </si>
  <si>
    <t>4 456.87 руб.</t>
  </si>
  <si>
    <t>ZGR-000156</t>
  </si>
  <si>
    <t>QS-9011</t>
  </si>
  <si>
    <t>расходомер ZEGOR для коллекторных блоков (1/72шт)</t>
  </si>
  <si>
    <t>267.98 руб.</t>
  </si>
  <si>
    <t>Автоматика для теплого пола</t>
  </si>
  <si>
    <t>Сервоприводы</t>
  </si>
  <si>
    <t>OTM-110668</t>
  </si>
  <si>
    <t>Сервопривод  для теплого пола 01A (60шт)</t>
  </si>
  <si>
    <t>513.00 руб.</t>
  </si>
  <si>
    <t>STP-410003</t>
  </si>
  <si>
    <t>VR1114</t>
  </si>
  <si>
    <t>Сервопривод нормально закрытый (220В) (100шт)</t>
  </si>
  <si>
    <t>766.06 руб.</t>
  </si>
  <si>
    <t>STP-410027</t>
  </si>
  <si>
    <t>VR1122</t>
  </si>
  <si>
    <t>Сервопривод термоэлектрический норм закр 220В VR (1/100шт)</t>
  </si>
  <si>
    <t>669.38 руб.</t>
  </si>
  <si>
    <t>STP-410028</t>
  </si>
  <si>
    <t>VR1123</t>
  </si>
  <si>
    <t>Сервопривод термоэлектрический норм закр 220В VR диагностируемый  (1/100шт)</t>
  </si>
  <si>
    <t>874.65 руб.</t>
  </si>
  <si>
    <t>STP-410033</t>
  </si>
  <si>
    <t>VR1124</t>
  </si>
  <si>
    <t>Сервопривод термоэлектрический нормально открытый  ViEiR  (100/1шт)</t>
  </si>
  <si>
    <t>VER-000130</t>
  </si>
  <si>
    <t>VR1128</t>
  </si>
  <si>
    <t>Сервопривод термоэлектрический норм. закр 220В для термостатических клапанов ЧЕРНЫЙ ViEiR (100/1шт)</t>
  </si>
  <si>
    <t>667.89 руб.</t>
  </si>
  <si>
    <t>VER-000791</t>
  </si>
  <si>
    <t>VR1135</t>
  </si>
  <si>
    <t>Сервопривод термоэлектрический нормально закрытый, диагностируемый (200/1шт)</t>
  </si>
  <si>
    <t>861.26 руб.</t>
  </si>
  <si>
    <t>VLC-812003</t>
  </si>
  <si>
    <t>VT.TE3040.0.220</t>
  </si>
  <si>
    <t>Электротерм-ий серв-од, питание 220 В (норм. ЗАКР.)     (100шт)</t>
  </si>
  <si>
    <t>5 720.00 руб.</t>
  </si>
  <si>
    <t>VLC-812004</t>
  </si>
  <si>
    <t>VT.TE3041.0.024</t>
  </si>
  <si>
    <t>Электротерм-ий серв-од, питание 24 В (норм. ЗАКР.)   (70шт)</t>
  </si>
  <si>
    <t>5 905.00 руб.</t>
  </si>
  <si>
    <t>VLC-812005</t>
  </si>
  <si>
    <t>VT.TE3040.A.220</t>
  </si>
  <si>
    <t>Электротерм-ий серв-вод, питание 220 В, (норм.ОТКР.)    (70шт)</t>
  </si>
  <si>
    <t>5 864.00 руб.</t>
  </si>
  <si>
    <t>VLC-812006</t>
  </si>
  <si>
    <t>VT.TE3041.A.024</t>
  </si>
  <si>
    <t>Электротерм-ий серв-вод, питание 24 В, (норм. ОТКР.)    (70шт)</t>
  </si>
  <si>
    <t>6 192.00 руб.</t>
  </si>
  <si>
    <t>VLC-813007</t>
  </si>
  <si>
    <t>VT.TE3061.0.024</t>
  </si>
  <si>
    <t>Электротермический аналоговый сервопривод, питание 24 В, упр.напр. 0-10 В</t>
  </si>
  <si>
    <t>12 566.00 руб.</t>
  </si>
  <si>
    <t>VLC-900411</t>
  </si>
  <si>
    <t>VT.TE3043.0.220</t>
  </si>
  <si>
    <t>Электротермический двухпозиционный сервопривод, норм. ЗАКР., питание 220 В (м)</t>
  </si>
  <si>
    <t>2 016.00 руб.</t>
  </si>
  <si>
    <t>VLC-900412</t>
  </si>
  <si>
    <t>VT.TE3043.0.024</t>
  </si>
  <si>
    <t>Электротермический двухпозиционный сервопривод, норм. ЗАКР., питание 24 В (м)</t>
  </si>
  <si>
    <t>VLC-900413</t>
  </si>
  <si>
    <t>VT.TE3043.A.220</t>
  </si>
  <si>
    <t>Электротермический двухпозиционный сервопривод, норм. ОТКР., питание 220 В (м)</t>
  </si>
  <si>
    <t>2 117.00 руб.</t>
  </si>
  <si>
    <t>VLC-900414</t>
  </si>
  <si>
    <t>VT.TE3043.A.024</t>
  </si>
  <si>
    <t>Электротермический двухпозиционный сервопривод, норм. ОТКР., питание 24 В (м)</t>
  </si>
  <si>
    <t>Термостаты</t>
  </si>
  <si>
    <t>OTM-110667</t>
  </si>
  <si>
    <t>Программируемый терморегулятор 04 (30шт)</t>
  </si>
  <si>
    <t>807.12 руб.</t>
  </si>
  <si>
    <t>STP-410001</t>
  </si>
  <si>
    <t>VR295</t>
  </si>
  <si>
    <t>Термостат комнатный с датчиком температуры пола (220в) (1/100шт)</t>
  </si>
  <si>
    <t>797.30 руб.</t>
  </si>
  <si>
    <t>STP-410002</t>
  </si>
  <si>
    <t>VR296</t>
  </si>
  <si>
    <t>Хронотермостат программируемый комнатный с датчиком температуры пола (220В) (1/100шт)</t>
  </si>
  <si>
    <t>1 496.43 руб.</t>
  </si>
  <si>
    <t>STP-410017</t>
  </si>
  <si>
    <t>VR405</t>
  </si>
  <si>
    <t>Хронотермостат программируемый комнатный без датч темп пола (220В) (1/100шт)</t>
  </si>
  <si>
    <t>1 457.75 руб.</t>
  </si>
  <si>
    <t>STP-410018</t>
  </si>
  <si>
    <t>VR406</t>
  </si>
  <si>
    <t>Хронотермостат сенсорный программируемый комнатный без датч темп  пола (220В) (1/100шт)</t>
  </si>
  <si>
    <t>1 926.31 руб.</t>
  </si>
  <si>
    <t>STP-410019</t>
  </si>
  <si>
    <t>VR407</t>
  </si>
  <si>
    <t>Хронотермостат сенсорный программируемый комнатный  (220В) (1/100шт)</t>
  </si>
  <si>
    <t>2 375.54 руб.</t>
  </si>
  <si>
    <t>STP-410034</t>
  </si>
  <si>
    <t>VR410</t>
  </si>
  <si>
    <t>Термостат электронный комнатный безпроводной "ViEiR" (30/1шт)</t>
  </si>
  <si>
    <t>4 575.55 руб.</t>
  </si>
  <si>
    <t>VER-000538</t>
  </si>
  <si>
    <t>VR405-D</t>
  </si>
  <si>
    <t>Термостат комнатный , латунный матовый  "ViEiR" (100/1шт)</t>
  </si>
  <si>
    <t>VER-000539</t>
  </si>
  <si>
    <t>VR406-C</t>
  </si>
  <si>
    <t>Термостат комнатный , черный  "ViEiR" (100/1шт)</t>
  </si>
  <si>
    <t>2 446.94 руб.</t>
  </si>
  <si>
    <t>VER-000932</t>
  </si>
  <si>
    <t>VR407WI-FI</t>
  </si>
  <si>
    <t>Термостат электронный комнатный с WI-FI для газового котла (100/1шт)</t>
  </si>
  <si>
    <t>3 082.10 руб.</t>
  </si>
  <si>
    <t>VER-000933</t>
  </si>
  <si>
    <t>VR406WI-FI</t>
  </si>
  <si>
    <t>Термостат электронный комнатный с WI-FI (100/1шт)</t>
  </si>
  <si>
    <t>2 997.31 руб.</t>
  </si>
  <si>
    <t>VER-001331</t>
  </si>
  <si>
    <t>VR426WI-FI</t>
  </si>
  <si>
    <t>Термостат электронный комнатный, двухконтурный с WI-FI (60/1шт)</t>
  </si>
  <si>
    <t>3 317.13 руб.</t>
  </si>
  <si>
    <t>VLC-812021</t>
  </si>
  <si>
    <t>VT.AC701.0.0</t>
  </si>
  <si>
    <t>Электронный комнатный термостат накладной  (30шт)</t>
  </si>
  <si>
    <t>6 556.00 руб.</t>
  </si>
  <si>
    <t>VLC-812022</t>
  </si>
  <si>
    <t>VT.AC707.0.0</t>
  </si>
  <si>
    <t>Хронотермостат электронный комнатный БЕСПРОВОДНОЙ накладной (питание от батареек) (12шт)</t>
  </si>
  <si>
    <t>8 174.00 руб.</t>
  </si>
  <si>
    <t>VLC-812023</t>
  </si>
  <si>
    <t>VT.AC709.0.0</t>
  </si>
  <si>
    <t>Хронотермостат электр. комнатный с датчиком температуры пола (НЗ и НО сервоприводы, 24-220В)  (16шт)</t>
  </si>
  <si>
    <t>3 318.00 руб.</t>
  </si>
  <si>
    <t>VLC-812024</t>
  </si>
  <si>
    <t>VT.AC710.0.0</t>
  </si>
  <si>
    <t>Хронотермостат электронный накладной с питанием от батареек (20шт)</t>
  </si>
  <si>
    <t>12 773.00 руб.</t>
  </si>
  <si>
    <t>VLC-812025</t>
  </si>
  <si>
    <t>VT.AC711.0.0</t>
  </si>
  <si>
    <t>Хронотермостат электронный комнатный ДВУХКОНТУРНЫЙ</t>
  </si>
  <si>
    <t>4 908.00 руб.</t>
  </si>
  <si>
    <t>VLC-900419</t>
  </si>
  <si>
    <t>VT.AC713.0.0</t>
  </si>
  <si>
    <t>Хронотермостат электронный комнатный ДВУХКОНТУРНЫЙ с Wi-Fi</t>
  </si>
  <si>
    <t>7 422.00 руб.</t>
  </si>
  <si>
    <t>VLC-900906</t>
  </si>
  <si>
    <t>VT.AC801.0.0</t>
  </si>
  <si>
    <t>Термостат комнатный</t>
  </si>
  <si>
    <t>6 100.00 руб.</t>
  </si>
  <si>
    <t>VLC-901054</t>
  </si>
  <si>
    <t>VT.AC634.1.0</t>
  </si>
  <si>
    <t>Хронотермостат электронный комнатный ДВУХКОНТУРНЫЙ (нов)</t>
  </si>
  <si>
    <t>3 528.00 руб.</t>
  </si>
  <si>
    <t>VLC-901093</t>
  </si>
  <si>
    <t>VT.AC608.B.0</t>
  </si>
  <si>
    <t>Комнатный WIFI-хронотермостат  для электрического теплого пола (черный)</t>
  </si>
  <si>
    <t>3 775.00 руб.</t>
  </si>
  <si>
    <t>VLC-901094</t>
  </si>
  <si>
    <t>VT.AC608.W.0</t>
  </si>
  <si>
    <t>Комнатный WIFI-хронотермостат  для электрического теплого пола (белый)</t>
  </si>
  <si>
    <t>VLC-901095</t>
  </si>
  <si>
    <t>VT.AC613.B.0</t>
  </si>
  <si>
    <t>Комнатный WIFI-хронотермостат с цветным дисплеем для электрического теплого пола, черный</t>
  </si>
  <si>
    <t>6 300.00 руб.</t>
  </si>
  <si>
    <t>VLC-901096</t>
  </si>
  <si>
    <t>VT.AC613.W.0</t>
  </si>
  <si>
    <t>Комнатный WIFI-хронотермостат с цветным дисплеем для электрического теплого пола, белый</t>
  </si>
  <si>
    <t>VLC-901097</t>
  </si>
  <si>
    <t>VT.AC634.B.0</t>
  </si>
  <si>
    <t>Хронотермостат электронный комнатный, двухконтурный, черный</t>
  </si>
  <si>
    <t>3 175.00 руб.</t>
  </si>
  <si>
    <t>VLC-901098</t>
  </si>
  <si>
    <t>VT.AC709.B.0</t>
  </si>
  <si>
    <t>Хронотермостат электронный комнатный с датчиком температуры пола ( черный)</t>
  </si>
  <si>
    <t>3 152.00 руб.</t>
  </si>
  <si>
    <t>VLC-901099</t>
  </si>
  <si>
    <t>VT.AC712.B.0</t>
  </si>
  <si>
    <t>Комнатный WIFI-хронотермостат (черный)</t>
  </si>
  <si>
    <t>5 664.00 руб.</t>
  </si>
  <si>
    <t>VLC-901100</t>
  </si>
  <si>
    <t>VT.AC713.B.0</t>
  </si>
  <si>
    <t>Комнатный двухконтурный WIFI-хронотермостат (черный)</t>
  </si>
  <si>
    <t>6 680.00 руб.</t>
  </si>
  <si>
    <t>VLC-999107</t>
  </si>
  <si>
    <t>VT.AC712.0.0</t>
  </si>
  <si>
    <t>Хронотермостат электронный комнатный с Wi-Fi</t>
  </si>
  <si>
    <t>6 090.00 руб.</t>
  </si>
  <si>
    <t>Инструмент для монтажа теплого пола</t>
  </si>
  <si>
    <t>GAP-100019</t>
  </si>
  <si>
    <t>G1801.1</t>
  </si>
  <si>
    <t>Такер GAPPO для крепления труб теплого пола</t>
  </si>
  <si>
    <t>4 991.32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</si>
</sst>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d4bdf9_86a5_11e9_8101_003048fd731b_634a4259_f953_11e9_810b_003048fd731b1.jpeg"/><Relationship Id="rId2" Type="http://schemas.openxmlformats.org/officeDocument/2006/relationships/image" Target="../media/9ed4bdfd_86a5_11e9_8101_003048fd731b_634a425a_f953_11e9_810b_003048fd731b2.jpeg"/><Relationship Id="rId3" Type="http://schemas.openxmlformats.org/officeDocument/2006/relationships/image" Target="../media/9ed4be01_86a5_11e9_8101_003048fd731b_634a425b_f953_11e9_810b_003048fd731b3.jpeg"/><Relationship Id="rId4" Type="http://schemas.openxmlformats.org/officeDocument/2006/relationships/image" Target="../media/9ed4be05_86a5_11e9_8101_003048fd731b_634a425c_f953_11e9_810b_003048fd731b4.jpeg"/><Relationship Id="rId5" Type="http://schemas.openxmlformats.org/officeDocument/2006/relationships/image" Target="../media/9ed4be09_86a5_11e9_8101_003048fd731b_634a425d_f953_11e9_810b_003048fd731b5.jpeg"/><Relationship Id="rId6" Type="http://schemas.openxmlformats.org/officeDocument/2006/relationships/image" Target="../media/9ed4be0d_86a5_11e9_8101_003048fd731b_634a425e_f953_11e9_810b_003048fd731b6.jpeg"/><Relationship Id="rId7" Type="http://schemas.openxmlformats.org/officeDocument/2006/relationships/image" Target="../media/9ed4be11_86a5_11e9_8101_003048fd731b_634a425f_f953_11e9_810b_003048fd731b7.jpeg"/><Relationship Id="rId8" Type="http://schemas.openxmlformats.org/officeDocument/2006/relationships/image" Target="../media/9ed4be15_86a5_11e9_8101_003048fd731b_634a4260_f953_11e9_810b_003048fd731b8.jpeg"/><Relationship Id="rId9" Type="http://schemas.openxmlformats.org/officeDocument/2006/relationships/image" Target="../media/9ed4be19_86a5_11e9_8101_003048fd731b_634a4261_f953_11e9_810b_003048fd731b9.jpeg"/><Relationship Id="rId10" Type="http://schemas.openxmlformats.org/officeDocument/2006/relationships/image" Target="../media/9ed4be1d_86a5_11e9_8101_003048fd731b_634a4262_f953_11e9_810b_003048fd731b10.jpeg"/><Relationship Id="rId11" Type="http://schemas.openxmlformats.org/officeDocument/2006/relationships/image" Target="../media/4687ac4b_ffbc_11e9_810b_003048fd731b_e24a3645_518a_11ea_810f_003048fd731b11.jpeg"/><Relationship Id="rId12" Type="http://schemas.openxmlformats.org/officeDocument/2006/relationships/image" Target="../media/d981da41_77ea_11ea_8111_003048fd731b_7d28a33f_7d94_11ea_8111_003048fd731b12.jpeg"/><Relationship Id="rId13" Type="http://schemas.openxmlformats.org/officeDocument/2006/relationships/image" Target="../media/d981da43_77ea_11ea_8111_003048fd731b_7d28a340_7d94_11ea_8111_003048fd731b13.jpeg"/><Relationship Id="rId14" Type="http://schemas.openxmlformats.org/officeDocument/2006/relationships/image" Target="../media/75c1f4b9_c7a6_11ed_a3fe_047c1617b143_7e5777a6_c05c_11ee_a549_047c1617b14314.jpeg"/><Relationship Id="rId15" Type="http://schemas.openxmlformats.org/officeDocument/2006/relationships/image" Target="../media/64b52edf_7c9e_11ea_8111_003048fd731b_cbd0a39f_27ac_11ed_a30e_00259070b48715.jpeg"/><Relationship Id="rId16" Type="http://schemas.openxmlformats.org/officeDocument/2006/relationships/image" Target="../media/9ed4be22_86a5_11e9_8101_003048fd731b_4829b01a_0627_11ea_810d_003048fd731b16.jpeg"/><Relationship Id="rId17" Type="http://schemas.openxmlformats.org/officeDocument/2006/relationships/image" Target="../media/9ed4be24_86a5_11e9_8101_003048fd731b_4829b01b_0627_11ea_810d_003048fd731b17.jpeg"/><Relationship Id="rId18" Type="http://schemas.openxmlformats.org/officeDocument/2006/relationships/image" Target="../media/1fcb3104_5f91_11eb_822d_003048fd731b_cbd0a39e_27ac_11ed_a30e_00259070b48718.jpeg"/><Relationship Id="rId19" Type="http://schemas.openxmlformats.org/officeDocument/2006/relationships/image" Target="../media/1fcb3106_5f91_11eb_822d_003048fd731b_cbd0a39d_27ac_11ed_a30e_00259070b48719.jpeg"/><Relationship Id="rId20" Type="http://schemas.openxmlformats.org/officeDocument/2006/relationships/image" Target="../media/1fcb3108_5f91_11eb_822d_003048fd731b_cbd0a39c_27ac_11ed_a30e_00259070b48720.jpeg"/><Relationship Id="rId21" Type="http://schemas.openxmlformats.org/officeDocument/2006/relationships/image" Target="../media/1fcb310a_5f91_11eb_822d_003048fd731b_cbd0a3a1_27ac_11ed_a30e_00259070b48721.jpeg"/><Relationship Id="rId22" Type="http://schemas.openxmlformats.org/officeDocument/2006/relationships/image" Target="../media/1fcb310c_5f91_11eb_822d_003048fd731b_cbd0a3a2_27ac_11ed_a30e_00259070b48722.jpeg"/><Relationship Id="rId23" Type="http://schemas.openxmlformats.org/officeDocument/2006/relationships/image" Target="../media/1fcb3102_5f91_11eb_822d_003048fd731b_cbd0a3a0_27ac_11ed_a30e_00259070b48723.jpeg"/><Relationship Id="rId24" Type="http://schemas.openxmlformats.org/officeDocument/2006/relationships/image" Target="../media/970a8fa4_ceda_11eb_82cb_003048fd731b_7e5777af_c05c_11ee_a549_047c1617b14324.jpeg"/><Relationship Id="rId25" Type="http://schemas.openxmlformats.org/officeDocument/2006/relationships/image" Target="../media/9e5408a9_9114_11ed_a3b7_047c1617b143_7e5777ad_c05c_11ee_a549_047c1617b14325.jpeg"/><Relationship Id="rId26" Type="http://schemas.openxmlformats.org/officeDocument/2006/relationships/image" Target="../media/9e5408ab_9114_11ed_a3b7_047c1617b143_7e5777ae_c05c_11ee_a549_047c1617b14326.jpeg"/><Relationship Id="rId27" Type="http://schemas.openxmlformats.org/officeDocument/2006/relationships/image" Target="../media/6f6da416_c29f_11ee_a54c_047c1617b143_3eceb17b_c453_11f0_a801_047c1617b14327.jpeg"/><Relationship Id="rId28" Type="http://schemas.openxmlformats.org/officeDocument/2006/relationships/image" Target="../media/6f6da418_c29f_11ee_a54c_047c1617b143_3eceb17d_c453_11f0_a801_047c1617b14328.jpeg"/><Relationship Id="rId29" Type="http://schemas.openxmlformats.org/officeDocument/2006/relationships/image" Target="../media/6f6da41a_c29f_11ee_a54c_047c1617b143_3eceb17f_c453_11f0_a801_047c1617b14329.jpeg"/><Relationship Id="rId30" Type="http://schemas.openxmlformats.org/officeDocument/2006/relationships/image" Target="../media/e7a442b7_c2d4_11ee_a54c_047c1617b143_3eceb181_c453_11f0_a801_047c1617b14330.jpeg"/><Relationship Id="rId31" Type="http://schemas.openxmlformats.org/officeDocument/2006/relationships/image" Target="../media/e7a442b9_c2d4_11ee_a54c_047c1617b143_3eceb183_c453_11f0_a801_047c1617b14331.jpeg"/><Relationship Id="rId32" Type="http://schemas.openxmlformats.org/officeDocument/2006/relationships/image" Target="../media/e7a442bb_c2d4_11ee_a54c_047c1617b143_a3259631_c48a_11f0_a801_047c1617b14332.jpeg"/><Relationship Id="rId33" Type="http://schemas.openxmlformats.org/officeDocument/2006/relationships/image" Target="../media/e7a442bd_c2d4_11ee_a54c_047c1617b143_a3259633_c48a_11f0_a801_047c1617b14333.jpeg"/><Relationship Id="rId34" Type="http://schemas.openxmlformats.org/officeDocument/2006/relationships/image" Target="../media/e7a442bf_c2d4_11ee_a54c_047c1617b143_a3259635_c48a_11f0_a801_047c1617b14334.jpeg"/><Relationship Id="rId35" Type="http://schemas.openxmlformats.org/officeDocument/2006/relationships/image" Target="../media/e7a442c1_c2d4_11ee_a54c_047c1617b143_3eceb175_c453_11f0_a801_047c1617b14335.jpeg"/><Relationship Id="rId36" Type="http://schemas.openxmlformats.org/officeDocument/2006/relationships/image" Target="../media/e7a442c3_c2d4_11ee_a54c_047c1617b143_3eceb177_c453_11f0_a801_047c1617b14336.jpeg"/><Relationship Id="rId37" Type="http://schemas.openxmlformats.org/officeDocument/2006/relationships/image" Target="../media/e7a442c5_c2d4_11ee_a54c_047c1617b143_3eceb179_c453_11f0_a801_047c1617b14337.jpeg"/><Relationship Id="rId38" Type="http://schemas.openxmlformats.org/officeDocument/2006/relationships/image" Target="../media/9ed4be2f_86a5_11e9_8101_003048fd731b_0794aeba_27b2_11ed_a30e_00259070b48738.jpeg"/><Relationship Id="rId39" Type="http://schemas.openxmlformats.org/officeDocument/2006/relationships/image" Target="../media/9ed4be31_86a5_11e9_8101_003048fd731b_0794aec1_27b2_11ed_a30e_00259070b48739.jpeg"/><Relationship Id="rId40" Type="http://schemas.openxmlformats.org/officeDocument/2006/relationships/image" Target="../media/9ed4be33_86a5_11e9_8101_003048fd731b_0794aec8_27b2_11ed_a30e_00259070b48740.jpeg"/><Relationship Id="rId41" Type="http://schemas.openxmlformats.org/officeDocument/2006/relationships/image" Target="../media/9ed4be35_86a5_11e9_8101_003048fd731b_0794aecf_27b2_11ed_a30e_00259070b48741.jpeg"/><Relationship Id="rId42" Type="http://schemas.openxmlformats.org/officeDocument/2006/relationships/image" Target="../media/9ed4be37_86a5_11e9_8101_003048fd731b_0794aed6_27b2_11ed_a30e_00259070b48742.jpeg"/><Relationship Id="rId43" Type="http://schemas.openxmlformats.org/officeDocument/2006/relationships/image" Target="../media/9ed4be39_86a5_11e9_8101_003048fd731b_0794aedd_27b2_11ed_a30e_00259070b48743.jpeg"/><Relationship Id="rId44" Type="http://schemas.openxmlformats.org/officeDocument/2006/relationships/image" Target="../media/9ed4be3b_86a5_11e9_8101_003048fd731b_0794aee4_27b2_11ed_a30e_00259070b48744.jpeg"/><Relationship Id="rId45" Type="http://schemas.openxmlformats.org/officeDocument/2006/relationships/image" Target="../media/9ed4be3d_86a5_11e9_8101_003048fd731b_0794aeb3_27b2_11ed_a30e_00259070b48745.jpeg"/><Relationship Id="rId46" Type="http://schemas.openxmlformats.org/officeDocument/2006/relationships/image" Target="../media/9ed4be6b_86a5_11e9_8101_003048fd731b_0794ae11_27b2_11ed_a30e_00259070b48746.jpeg"/><Relationship Id="rId47" Type="http://schemas.openxmlformats.org/officeDocument/2006/relationships/image" Target="../media/9ed4be6f_86a5_11e9_8101_003048fd731b_0794ae1f_27b2_11ed_a30e_00259070b48747.jpeg"/><Relationship Id="rId48" Type="http://schemas.openxmlformats.org/officeDocument/2006/relationships/image" Target="../media/9ed4be73_86a5_11e9_8101_003048fd731b_0794ade7_27b2_11ed_a30e_00259070b48748.jpeg"/><Relationship Id="rId49" Type="http://schemas.openxmlformats.org/officeDocument/2006/relationships/image" Target="../media/d981da49_77ea_11ea_8111_003048fd731b_0794addf_27b2_11ed_a30e_00259070b48749.jpeg"/><Relationship Id="rId50" Type="http://schemas.openxmlformats.org/officeDocument/2006/relationships/image" Target="../media/d981da4b_77ea_11ea_8111_003048fd731b_0794ade1_27b2_11ed_a30e_00259070b48750.jpeg"/><Relationship Id="rId51" Type="http://schemas.openxmlformats.org/officeDocument/2006/relationships/image" Target="../media/3c8d8bf8_68f5_11ea_8111_003048fd731b_0794ada9_27b2_11ed_a30e_00259070b48751.jpeg"/><Relationship Id="rId52" Type="http://schemas.openxmlformats.org/officeDocument/2006/relationships/image" Target="../media/3c8d8bfa_68f5_11ea_8111_003048fd731b_0794adaa_27b2_11ed_a30e_00259070b48752.jpeg"/><Relationship Id="rId53" Type="http://schemas.openxmlformats.org/officeDocument/2006/relationships/image" Target="../media/3c8d8bfc_68f5_11ea_8111_003048fd731b_0794adab_27b2_11ed_a30e_00259070b48753.jpeg"/><Relationship Id="rId54" Type="http://schemas.openxmlformats.org/officeDocument/2006/relationships/image" Target="../media/3c8d8bfe_68f5_11ea_8111_003048fd731b_0794adac_27b2_11ed_a30e_00259070b48754.jpeg"/><Relationship Id="rId55" Type="http://schemas.openxmlformats.org/officeDocument/2006/relationships/image" Target="../media/3c8d8c00_68f5_11ea_8111_003048fd731b_0794adad_27b2_11ed_a30e_00259070b48755.jpeg"/><Relationship Id="rId56" Type="http://schemas.openxmlformats.org/officeDocument/2006/relationships/image" Target="../media/3c8d8c02_68f5_11ea_8111_003048fd731b_0794adae_27b2_11ed_a30e_00259070b48756.jpeg"/><Relationship Id="rId57" Type="http://schemas.openxmlformats.org/officeDocument/2006/relationships/image" Target="../media/3c8d8c04_68f5_11ea_8111_003048fd731b_0794adaf_27b2_11ed_a30e_00259070b48757.jpeg"/><Relationship Id="rId58" Type="http://schemas.openxmlformats.org/officeDocument/2006/relationships/image" Target="../media/3c8d8c06_68f5_11ea_8111_003048fd731b_0794adb0_27b2_11ed_a30e_00259070b48758.jpeg"/><Relationship Id="rId59" Type="http://schemas.openxmlformats.org/officeDocument/2006/relationships/image" Target="../media/3c8d8c08_68f5_11ea_8111_003048fd731b_0794ada6_27b2_11ed_a30e_00259070b48759.jpeg"/><Relationship Id="rId60" Type="http://schemas.openxmlformats.org/officeDocument/2006/relationships/image" Target="../media/3c8d8c0a_68f5_11ea_8111_003048fd731b_0794ada7_27b2_11ed_a30e_00259070b48760.jpeg"/><Relationship Id="rId61" Type="http://schemas.openxmlformats.org/officeDocument/2006/relationships/image" Target="../media/3c8d8c0c_68f5_11ea_8111_003048fd731b_0794ada8_27b2_11ed_a30e_00259070b48761.jpeg"/><Relationship Id="rId62" Type="http://schemas.openxmlformats.org/officeDocument/2006/relationships/image" Target="../media/9ed4be47_86a5_11e9_8101_003048fd731b_0794ae7a_27b2_11ed_a30e_00259070b48762.jpeg"/><Relationship Id="rId63" Type="http://schemas.openxmlformats.org/officeDocument/2006/relationships/image" Target="../media/9ed4be63_86a5_11e9_8101_003048fd731b_0794ae34_27b2_11ed_a30e_00259070b48763.jpeg"/><Relationship Id="rId64" Type="http://schemas.openxmlformats.org/officeDocument/2006/relationships/image" Target="../media/9ed4be8a_86a5_11e9_8101_003048fd731b_0794aef2_27b2_11ed_a30e_00259070b48764.jpeg"/><Relationship Id="rId65" Type="http://schemas.openxmlformats.org/officeDocument/2006/relationships/image" Target="../media/8184923b_7270_11ef_a636_047c1617b143_d9a65679_f1e4_11ef_a6e1_047c1617b14365.jpeg"/><Relationship Id="rId66" Type="http://schemas.openxmlformats.org/officeDocument/2006/relationships/image" Target="../media/8184923d_7270_11ef_a636_047c1617b143_d9a6567d_f1e4_11ef_a6e1_047c1617b14366.jpeg"/><Relationship Id="rId67" Type="http://schemas.openxmlformats.org/officeDocument/2006/relationships/image" Target="../media/8184923f_7270_11ef_a636_047c1617b143_d9a65681_f1e4_11ef_a6e1_047c1617b14367.jpeg"/><Relationship Id="rId68" Type="http://schemas.openxmlformats.org/officeDocument/2006/relationships/image" Target="../media/81849241_7270_11ef_a636_047c1617b143_d9a65685_f1e4_11ef_a6e1_047c1617b14368.jpeg"/><Relationship Id="rId69" Type="http://schemas.openxmlformats.org/officeDocument/2006/relationships/image" Target="../media/81849243_7270_11ef_a636_047c1617b143_d9a65689_f1e4_11ef_a6e1_047c1617b14369.jpeg"/><Relationship Id="rId70" Type="http://schemas.openxmlformats.org/officeDocument/2006/relationships/image" Target="../media/81849245_7270_11ef_a636_047c1617b143_d9a6568d_f1e4_11ef_a6e1_047c1617b14370.jpeg"/><Relationship Id="rId71" Type="http://schemas.openxmlformats.org/officeDocument/2006/relationships/image" Target="../media/81849247_7270_11ef_a636_047c1617b143_d9a65691_f1e4_11ef_a6e1_047c1617b14371.jpeg"/><Relationship Id="rId72" Type="http://schemas.openxmlformats.org/officeDocument/2006/relationships/image" Target="../media/81849249_7270_11ef_a636_047c1617b143_d9a65695_f1e4_11ef_a6e1_047c1617b14372.jpeg"/><Relationship Id="rId73" Type="http://schemas.openxmlformats.org/officeDocument/2006/relationships/image" Target="../media/8184924b_7270_11ef_a636_047c1617b143_d9a65699_f1e4_11ef_a6e1_047c1617b14373.jpeg"/><Relationship Id="rId74" Type="http://schemas.openxmlformats.org/officeDocument/2006/relationships/image" Target="../media/8184924d_7270_11ef_a636_047c1617b143_d9a6569d_f1e4_11ef_a6e1_047c1617b14374.jpeg"/><Relationship Id="rId75" Type="http://schemas.openxmlformats.org/officeDocument/2006/relationships/image" Target="../media/145c8a0c_551c_11f0_a76e_047c1617b143_579e23fc_5a46_11f0_a775_047c1617b14375.jpeg"/><Relationship Id="rId76" Type="http://schemas.openxmlformats.org/officeDocument/2006/relationships/image" Target="../media/9ed4be8f_86a5_11e9_8101_003048fd731b_0794adbf_27b2_11ed_a30e_00259070b48776.jpeg"/><Relationship Id="rId77" Type="http://schemas.openxmlformats.org/officeDocument/2006/relationships/image" Target="../media/9ed4be91_86a5_11e9_8101_003048fd731b_0794adc0_27b2_11ed_a30e_00259070b48777.jpeg"/><Relationship Id="rId78" Type="http://schemas.openxmlformats.org/officeDocument/2006/relationships/image" Target="../media/9ed4be93_86a5_11e9_8101_003048fd731b_0794adc1_27b2_11ed_a30e_00259070b48778.jpeg"/><Relationship Id="rId79" Type="http://schemas.openxmlformats.org/officeDocument/2006/relationships/image" Target="../media/9ed4be95_86a5_11e9_8101_003048fd731b_0794adc2_27b2_11ed_a30e_00259070b48779.jpeg"/><Relationship Id="rId80" Type="http://schemas.openxmlformats.org/officeDocument/2006/relationships/image" Target="../media/9ed4be97_86a5_11e9_8101_003048fd731b_0794adc3_27b2_11ed_a30e_00259070b48780.jpeg"/><Relationship Id="rId81" Type="http://schemas.openxmlformats.org/officeDocument/2006/relationships/image" Target="../media/9ed4be99_86a5_11e9_8101_003048fd731b_0794adc4_27b2_11ed_a30e_00259070b48781.jpeg"/><Relationship Id="rId82" Type="http://schemas.openxmlformats.org/officeDocument/2006/relationships/image" Target="../media/9ed4be9b_86a5_11e9_8101_003048fd731b_0794adc5_27b2_11ed_a30e_00259070b48782.jpeg"/><Relationship Id="rId83" Type="http://schemas.openxmlformats.org/officeDocument/2006/relationships/image" Target="../media/9ed4be9d_86a5_11e9_8101_003048fd731b_0794adc6_27b2_11ed_a30e_00259070b48783.jpeg"/><Relationship Id="rId84" Type="http://schemas.openxmlformats.org/officeDocument/2006/relationships/image" Target="../media/9ed4be9f_86a5_11e9_8101_003048fd731b_0794adbc_27b2_11ed_a30e_00259070b48784.jpeg"/><Relationship Id="rId85" Type="http://schemas.openxmlformats.org/officeDocument/2006/relationships/image" Target="../media/9ed4bea1_86a5_11e9_8101_003048fd731b_0794adbd_27b2_11ed_a30e_00259070b48785.jpeg"/><Relationship Id="rId86" Type="http://schemas.openxmlformats.org/officeDocument/2006/relationships/image" Target="../media/9ed4bea3_86a5_11e9_8101_003048fd731b_0794adbe_27b2_11ed_a30e_00259070b48786.jpeg"/><Relationship Id="rId87" Type="http://schemas.openxmlformats.org/officeDocument/2006/relationships/image" Target="../media/bff2db43_403c_11ee_a4a3_047c1617b143_f50da9cb_c05b_11ee_a549_047c1617b14387.jpeg"/><Relationship Id="rId88" Type="http://schemas.openxmlformats.org/officeDocument/2006/relationships/image" Target="../media/bff2db45_403c_11ee_a4a3_047c1617b143_f50da9cc_c05b_11ee_a549_047c1617b14388.jpeg"/><Relationship Id="rId89" Type="http://schemas.openxmlformats.org/officeDocument/2006/relationships/image" Target="../media/bff2db47_403c_11ee_a4a3_047c1617b143_f50da9cd_c05b_11ee_a549_047c1617b14389.jpeg"/><Relationship Id="rId90" Type="http://schemas.openxmlformats.org/officeDocument/2006/relationships/image" Target="../media/bff2db49_403c_11ee_a4a3_047c1617b143_f50da9ce_c05b_11ee_a549_047c1617b14390.jpeg"/><Relationship Id="rId91" Type="http://schemas.openxmlformats.org/officeDocument/2006/relationships/image" Target="../media/bff2db4b_403c_11ee_a4a3_047c1617b143_f50da9cf_c05b_11ee_a549_047c1617b14391.jpeg"/><Relationship Id="rId92" Type="http://schemas.openxmlformats.org/officeDocument/2006/relationships/image" Target="../media/bff2db4d_403c_11ee_a4a3_047c1617b143_f50da9d0_c05b_11ee_a549_047c1617b14392.jpeg"/><Relationship Id="rId93" Type="http://schemas.openxmlformats.org/officeDocument/2006/relationships/image" Target="../media/bff2db4f_403c_11ee_a4a3_047c1617b143_f50da9d1_c05b_11ee_a549_047c1617b14393.jpeg"/><Relationship Id="rId94" Type="http://schemas.openxmlformats.org/officeDocument/2006/relationships/image" Target="../media/bff2db51_403c_11ee_a4a3_047c1617b143_f50da9d2_c05b_11ee_a549_047c1617b14394.jpeg"/><Relationship Id="rId95" Type="http://schemas.openxmlformats.org/officeDocument/2006/relationships/image" Target="../media/bff2db53_403c_11ee_a4a3_047c1617b143_f50da9d3_c05b_11ee_a549_047c1617b14395.jpeg"/><Relationship Id="rId96" Type="http://schemas.openxmlformats.org/officeDocument/2006/relationships/image" Target="../media/bff2db55_403c_11ee_a4a3_047c1617b143_f50da9d4_c05b_11ee_a549_047c1617b14396.jpeg"/><Relationship Id="rId97" Type="http://schemas.openxmlformats.org/officeDocument/2006/relationships/image" Target="../media/bff2db57_403c_11ee_a4a3_047c1617b143_f50da9d5_c05b_11ee_a549_047c1617b14397.jpeg"/><Relationship Id="rId98" Type="http://schemas.openxmlformats.org/officeDocument/2006/relationships/image" Target="../media/be281c7e_f776_11ee_a595_047c1617b143_14e1e0f3_f93d_11ef_a6ea_047c1617b14398.jpeg"/><Relationship Id="rId99" Type="http://schemas.openxmlformats.org/officeDocument/2006/relationships/image" Target="../media/be281c80_f776_11ee_a595_047c1617b143_14e1e0f6_f93d_11ef_a6ea_047c1617b14399.jpeg"/><Relationship Id="rId100" Type="http://schemas.openxmlformats.org/officeDocument/2006/relationships/image" Target="../media/be281c82_f776_11ee_a595_047c1617b143_14e1e0f9_f93d_11ef_a6ea_047c1617b143100.jpeg"/><Relationship Id="rId101" Type="http://schemas.openxmlformats.org/officeDocument/2006/relationships/image" Target="../media/be281c84_f776_11ee_a595_047c1617b143_14e1e0fc_f93d_11ef_a6ea_047c1617b143101.jpeg"/><Relationship Id="rId102" Type="http://schemas.openxmlformats.org/officeDocument/2006/relationships/image" Target="../media/be281c86_f776_11ee_a595_047c1617b143_14e1e0ff_f93d_11ef_a6ea_047c1617b143102.jpeg"/><Relationship Id="rId103" Type="http://schemas.openxmlformats.org/officeDocument/2006/relationships/image" Target="../media/be281c88_f776_11ee_a595_047c1617b143_14e1e102_f93d_11ef_a6ea_047c1617b143103.jpeg"/><Relationship Id="rId104" Type="http://schemas.openxmlformats.org/officeDocument/2006/relationships/image" Target="../media/be281c8a_f776_11ee_a595_047c1617b143_14e1e105_f93d_11ef_a6ea_047c1617b143104.jpeg"/><Relationship Id="rId105" Type="http://schemas.openxmlformats.org/officeDocument/2006/relationships/image" Target="../media/be281c8c_f776_11ee_a595_047c1617b143_14e1e108_f93d_11ef_a6ea_047c1617b143105.jpeg"/><Relationship Id="rId106" Type="http://schemas.openxmlformats.org/officeDocument/2006/relationships/image" Target="../media/be281c8e_f776_11ee_a595_047c1617b143_14e1e10b_f93d_11ef_a6ea_047c1617b143106.jpeg"/><Relationship Id="rId107" Type="http://schemas.openxmlformats.org/officeDocument/2006/relationships/image" Target="../media/be281c90_f776_11ee_a595_047c1617b143_14e1e10e_f93d_11ef_a6ea_047c1617b143107.jpeg"/><Relationship Id="rId108" Type="http://schemas.openxmlformats.org/officeDocument/2006/relationships/image" Target="../media/be281c92_f776_11ee_a595_047c1617b143_14e1e111_f93d_11ef_a6ea_047c1617b143108.jpeg"/><Relationship Id="rId109" Type="http://schemas.openxmlformats.org/officeDocument/2006/relationships/image" Target="../media/fa083beb_526f_11ef_a60b_047c1617b143_49c4af21_056a_11f0_a6fc_047c1617b143109.jpeg"/><Relationship Id="rId110" Type="http://schemas.openxmlformats.org/officeDocument/2006/relationships/image" Target="../media/fa083bed_526f_11ef_a60b_047c1617b143_49c4af22_056a_11f0_a6fc_047c1617b143110.jpeg"/><Relationship Id="rId111" Type="http://schemas.openxmlformats.org/officeDocument/2006/relationships/image" Target="../media/fa083bef_526f_11ef_a60b_047c1617b143_49c4af23_056a_11f0_a6fc_047c1617b143111.jpeg"/><Relationship Id="rId112" Type="http://schemas.openxmlformats.org/officeDocument/2006/relationships/image" Target="../media/fa083bf1_526f_11ef_a60b_047c1617b143_49c4af24_056a_11f0_a6fc_047c1617b143112.jpeg"/><Relationship Id="rId113" Type="http://schemas.openxmlformats.org/officeDocument/2006/relationships/image" Target="../media/fa083bf3_526f_11ef_a60b_047c1617b143_49c4af25_056a_11f0_a6fc_047c1617b143113.jpeg"/><Relationship Id="rId114" Type="http://schemas.openxmlformats.org/officeDocument/2006/relationships/image" Target="../media/fa083bf5_526f_11ef_a60b_047c1617b143_49c4af26_056a_11f0_a6fc_047c1617b143114.jpeg"/><Relationship Id="rId115" Type="http://schemas.openxmlformats.org/officeDocument/2006/relationships/image" Target="../media/fa083bf7_526f_11ef_a60b_047c1617b143_49c4af27_056a_11f0_a6fc_047c1617b143115.jpeg"/><Relationship Id="rId116" Type="http://schemas.openxmlformats.org/officeDocument/2006/relationships/image" Target="../media/fa083bf9_526f_11ef_a60b_047c1617b143_49c4af28_056a_11f0_a6fc_047c1617b143116.jpeg"/><Relationship Id="rId117" Type="http://schemas.openxmlformats.org/officeDocument/2006/relationships/image" Target="../media/fa083bfb_526f_11ef_a60b_047c1617b143_49c4af29_056a_11f0_a6fc_047c1617b143117.jpeg"/><Relationship Id="rId118" Type="http://schemas.openxmlformats.org/officeDocument/2006/relationships/image" Target="../media/fa083bfd_526f_11ef_a60b_047c1617b143_49c4af2a_056a_11f0_a6fc_047c1617b143118.jpeg"/><Relationship Id="rId119" Type="http://schemas.openxmlformats.org/officeDocument/2006/relationships/image" Target="../media/fa083bff_526f_11ef_a60b_047c1617b143_49c4af2b_056a_11f0_a6fc_047c1617b143119.jpeg"/><Relationship Id="rId120" Type="http://schemas.openxmlformats.org/officeDocument/2006/relationships/image" Target="../media/970a8f8e_ceda_11eb_82cb_003048fd731b_a1555446_602e_11ec_a20b_00259070b487120.jpeg"/><Relationship Id="rId121" Type="http://schemas.openxmlformats.org/officeDocument/2006/relationships/image" Target="../media/970a8f90_ceda_11eb_82cb_003048fd731b_a1555447_602e_11ec_a20b_00259070b487121.jpeg"/><Relationship Id="rId122" Type="http://schemas.openxmlformats.org/officeDocument/2006/relationships/image" Target="../media/970a8f92_ceda_11eb_82cb_003048fd731b_a1555448_602e_11ec_a20b_00259070b487122.jpeg"/><Relationship Id="rId123" Type="http://schemas.openxmlformats.org/officeDocument/2006/relationships/image" Target="../media/970a8f94_ceda_11eb_82cb_003048fd731b_a1555449_602e_11ec_a20b_00259070b487123.jpeg"/><Relationship Id="rId124" Type="http://schemas.openxmlformats.org/officeDocument/2006/relationships/image" Target="../media/970a8f96_ceda_11eb_82cb_003048fd731b_a155544a_602e_11ec_a20b_00259070b487124.jpeg"/><Relationship Id="rId125" Type="http://schemas.openxmlformats.org/officeDocument/2006/relationships/image" Target="../media/970a8f98_ceda_11eb_82cb_003048fd731b_a155544b_602e_11ec_a20b_00259070b487125.jpeg"/><Relationship Id="rId126" Type="http://schemas.openxmlformats.org/officeDocument/2006/relationships/image" Target="../media/970a8f9a_ceda_11eb_82cb_003048fd731b_a155544c_602e_11ec_a20b_00259070b487126.jpeg"/><Relationship Id="rId127" Type="http://schemas.openxmlformats.org/officeDocument/2006/relationships/image" Target="../media/970a8f9c_ceda_11eb_82cb_003048fd731b_a155544d_602e_11ec_a20b_00259070b487127.jpeg"/><Relationship Id="rId128" Type="http://schemas.openxmlformats.org/officeDocument/2006/relationships/image" Target="../media/970a8f9e_ceda_11eb_82cb_003048fd731b_a155544e_602e_11ec_a20b_00259070b487128.jpeg"/><Relationship Id="rId129" Type="http://schemas.openxmlformats.org/officeDocument/2006/relationships/image" Target="../media/970a8fa0_ceda_11eb_82cb_003048fd731b_a155544f_602e_11ec_a20b_00259070b487129.jpeg"/><Relationship Id="rId130" Type="http://schemas.openxmlformats.org/officeDocument/2006/relationships/image" Target="../media/970a8fa2_ceda_11eb_82cb_003048fd731b_a1555450_602e_11ec_a20b_00259070b487130.jpeg"/><Relationship Id="rId131" Type="http://schemas.openxmlformats.org/officeDocument/2006/relationships/image" Target="../media/3613e6fd_1867_11ed_a2f9_00259070b487_f50da9dc_c05b_11ee_a549_047c1617b143131.jpeg"/><Relationship Id="rId132" Type="http://schemas.openxmlformats.org/officeDocument/2006/relationships/image" Target="../media/3613e6ff_1867_11ed_a2f9_00259070b487_f50da9dd_c05b_11ee_a549_047c1617b143132.jpeg"/><Relationship Id="rId133" Type="http://schemas.openxmlformats.org/officeDocument/2006/relationships/image" Target="../media/3613e701_1867_11ed_a2f9_00259070b487_f50da9de_c05b_11ee_a549_047c1617b143133.jpeg"/><Relationship Id="rId134" Type="http://schemas.openxmlformats.org/officeDocument/2006/relationships/image" Target="../media/3613e703_1867_11ed_a2f9_00259070b487_f50da9df_c05b_11ee_a549_047c1617b143134.jpeg"/><Relationship Id="rId135" Type="http://schemas.openxmlformats.org/officeDocument/2006/relationships/image" Target="../media/3613e705_1867_11ed_a2f9_00259070b487_f50da9e0_c05b_11ee_a549_047c1617b143135.jpeg"/><Relationship Id="rId136" Type="http://schemas.openxmlformats.org/officeDocument/2006/relationships/image" Target="../media/3613e707_1867_11ed_a2f9_00259070b487_f50da9e1_c05b_11ee_a549_047c1617b143136.jpeg"/><Relationship Id="rId137" Type="http://schemas.openxmlformats.org/officeDocument/2006/relationships/image" Target="../media/3613e709_1867_11ed_a2f9_00259070b487_f50da9e2_c05b_11ee_a549_047c1617b143137.jpeg"/><Relationship Id="rId138" Type="http://schemas.openxmlformats.org/officeDocument/2006/relationships/image" Target="../media/3613e70b_1867_11ed_a2f9_00259070b487_f50da9e3_c05b_11ee_a549_047c1617b143138.jpeg"/><Relationship Id="rId139" Type="http://schemas.openxmlformats.org/officeDocument/2006/relationships/image" Target="../media/3613e70d_1867_11ed_a2f9_00259070b487_f50da9d9_c05b_11ee_a549_047c1617b143139.jpeg"/><Relationship Id="rId140" Type="http://schemas.openxmlformats.org/officeDocument/2006/relationships/image" Target="../media/3613e70f_1867_11ed_a2f9_00259070b487_f50da9da_c05b_11ee_a549_047c1617b143140.jpeg"/><Relationship Id="rId141" Type="http://schemas.openxmlformats.org/officeDocument/2006/relationships/image" Target="../media/3613e711_1867_11ed_a2f9_00259070b487_f50da9db_c05b_11ee_a549_047c1617b143141.jpeg"/><Relationship Id="rId142" Type="http://schemas.openxmlformats.org/officeDocument/2006/relationships/image" Target="../media/e7a442c7_c2d4_11ee_a54c_047c1617b143_a325963d_c48a_11f0_a801_047c1617b143142.jpeg"/><Relationship Id="rId143" Type="http://schemas.openxmlformats.org/officeDocument/2006/relationships/image" Target="../media/e7a442c9_c2d4_11ee_a54c_047c1617b143_a325963f_c48a_11f0_a801_047c1617b143143.jpeg"/><Relationship Id="rId144" Type="http://schemas.openxmlformats.org/officeDocument/2006/relationships/image" Target="../media/e7a442cb_c2d4_11ee_a54c_047c1617b143_a3259641_c48a_11f0_a801_047c1617b143144.jpeg"/><Relationship Id="rId145" Type="http://schemas.openxmlformats.org/officeDocument/2006/relationships/image" Target="../media/e7a442cd_c2d4_11ee_a54c_047c1617b143_a3259643_c48a_11f0_a801_047c1617b143145.jpeg"/><Relationship Id="rId146" Type="http://schemas.openxmlformats.org/officeDocument/2006/relationships/image" Target="../media/e7a442cf_c2d4_11ee_a54c_047c1617b143_a3259645_c48a_11f0_a801_047c1617b143146.jpeg"/><Relationship Id="rId147" Type="http://schemas.openxmlformats.org/officeDocument/2006/relationships/image" Target="../media/e7a442d1_c2d4_11ee_a54c_047c1617b143_a3259647_c48a_11f0_a801_047c1617b143147.jpeg"/><Relationship Id="rId148" Type="http://schemas.openxmlformats.org/officeDocument/2006/relationships/image" Target="../media/e7a442d3_c2d4_11ee_a54c_047c1617b143_a3259649_c48a_11f0_a801_047c1617b143148.jpeg"/><Relationship Id="rId149" Type="http://schemas.openxmlformats.org/officeDocument/2006/relationships/image" Target="../media/e7a442d5_c2d4_11ee_a54c_047c1617b143_a3259637_c48a_11f0_a801_047c1617b143149.jpeg"/><Relationship Id="rId150" Type="http://schemas.openxmlformats.org/officeDocument/2006/relationships/image" Target="../media/e7a442d7_c2d4_11ee_a54c_047c1617b143_a3259639_c48a_11f0_a801_047c1617b143150.jpeg"/><Relationship Id="rId151" Type="http://schemas.openxmlformats.org/officeDocument/2006/relationships/image" Target="../media/e7a442d9_c2d4_11ee_a54c_047c1617b143_a325963b_c48a_11f0_a801_047c1617b143151.jpeg"/><Relationship Id="rId152" Type="http://schemas.openxmlformats.org/officeDocument/2006/relationships/image" Target="../media/f06bf6dd_893e_11ef_a654_047c1617b143_21d4f578_793a_11f0_a79f_047c1617b143152.jpeg"/><Relationship Id="rId153" Type="http://schemas.openxmlformats.org/officeDocument/2006/relationships/image" Target="../media/a5fad445_86a5_11e9_8101_003048fd731b_cbd0a3ad_27ac_11ed_a30e_00259070b487153.jpeg"/><Relationship Id="rId154" Type="http://schemas.openxmlformats.org/officeDocument/2006/relationships/image" Target="../media/a5fad449_86a5_11e9_8101_003048fd731b_cbd0a3b3_27ac_11ed_a30e_00259070b487154.jpeg"/><Relationship Id="rId155" Type="http://schemas.openxmlformats.org/officeDocument/2006/relationships/image" Target="../media/3e1e3585_f95c_11e9_810b_003048fd731b_3d7c0744_0312_11ef_a5a4_047c1617b143155.jpeg"/><Relationship Id="rId156" Type="http://schemas.openxmlformats.org/officeDocument/2006/relationships/image" Target="../media/3c8d8c24_68f5_11ea_8111_003048fd731b_cbd0a3b2_27ac_11ed_a30e_00259070b487156.jpeg"/><Relationship Id="rId157" Type="http://schemas.openxmlformats.org/officeDocument/2006/relationships/image" Target="../media/3c8d8c26_68f5_11ea_8111_003048fd731b_cbd0a3b1_27ac_11ed_a30e_00259070b487157.jpeg"/><Relationship Id="rId158" Type="http://schemas.openxmlformats.org/officeDocument/2006/relationships/image" Target="../media/3c8d8c28_68f5_11ea_8111_003048fd731b_cbd0a3b0_27ac_11ed_a30e_00259070b487158.jpeg"/><Relationship Id="rId159" Type="http://schemas.openxmlformats.org/officeDocument/2006/relationships/image" Target="../media/1c9ed0ed_aad1_11ea_8138_003048fd731b_cbd0a3af_27ac_11ed_a30e_00259070b487159.jpeg"/><Relationship Id="rId160" Type="http://schemas.openxmlformats.org/officeDocument/2006/relationships/image" Target="../media/1fcb310e_5f91_11eb_822d_003048fd731b_cbd0a3ae_27ac_11ed_a30e_00259070b487160.jpeg"/><Relationship Id="rId161" Type="http://schemas.openxmlformats.org/officeDocument/2006/relationships/image" Target="../media/1fcb3110_5f91_11eb_822d_003048fd731b_7e577789_c05c_11ee_a549_047c1617b143161.jpeg"/><Relationship Id="rId162" Type="http://schemas.openxmlformats.org/officeDocument/2006/relationships/image" Target="../media/19176348_f3c8_11eb_82ff_003048fd731b_cbd0a3a3_27ac_11ed_a30e_00259070b487162.jpeg"/><Relationship Id="rId163" Type="http://schemas.openxmlformats.org/officeDocument/2006/relationships/image" Target="../media/f2cfaacb_c446_11ec_a27f_00259070b487_7e57778a_c05c_11ee_a549_047c1617b143163.jpeg"/><Relationship Id="rId164" Type="http://schemas.openxmlformats.org/officeDocument/2006/relationships/image" Target="../media/f2cfaacd_c446_11ec_a27f_00259070b487_7e57778c_c05c_11ee_a549_047c1617b143164.jpeg"/><Relationship Id="rId165" Type="http://schemas.openxmlformats.org/officeDocument/2006/relationships/image" Target="../media/a0751dff_0af9_11ee_a45c_047c1617b143_7e57778e_c05c_11ee_a549_047c1617b143165.jpeg"/><Relationship Id="rId166" Type="http://schemas.openxmlformats.org/officeDocument/2006/relationships/image" Target="../media/f65a22fb_afcb_11ef_a68d_047c1617b143_64c8bb45_5a46_11f0_a775_047c1617b143166.jpeg"/><Relationship Id="rId167" Type="http://schemas.openxmlformats.org/officeDocument/2006/relationships/image" Target="../media/9182be34_eeb6_11ef_a6dd_047c1617b143_7e424f9f_5a46_11f0_a775_047c1617b143167.jpeg"/><Relationship Id="rId168" Type="http://schemas.openxmlformats.org/officeDocument/2006/relationships/image" Target="../media/1fcb30da_5f91_11eb_822d_003048fd731b_7e577793_c05c_11ee_a549_047c1617b143168.jpeg"/><Relationship Id="rId169" Type="http://schemas.openxmlformats.org/officeDocument/2006/relationships/image" Target="../media/5eb5c5ea_7c9e_11ea_8111_003048fd731b_cbd0a3b6_27ac_11ed_a30e_00259070b487169.jpeg"/><Relationship Id="rId170" Type="http://schemas.openxmlformats.org/officeDocument/2006/relationships/image" Target="../media/a5fad44d_86a5_11e9_8101_003048fd731b_cbd0a3b9_27ac_11ed_a30e_00259070b487170.jpeg"/><Relationship Id="rId171" Type="http://schemas.openxmlformats.org/officeDocument/2006/relationships/image" Target="../media/a5fad451_86a5_11e9_8101_003048fd731b_cbd0a3bb_27ac_11ed_a30e_00259070b487171.jpeg"/><Relationship Id="rId172" Type="http://schemas.openxmlformats.org/officeDocument/2006/relationships/image" Target="../media/a5fad455_86a5_11e9_8101_003048fd731b_cbd0a3bd_27ac_11ed_a30e_00259070b487172.jpeg"/><Relationship Id="rId173" Type="http://schemas.openxmlformats.org/officeDocument/2006/relationships/image" Target="../media/a5fad459_86a5_11e9_8101_003048fd731b_cbd0a3bc_27ac_11ed_a30e_00259070b487173.jpeg"/><Relationship Id="rId174" Type="http://schemas.openxmlformats.org/officeDocument/2006/relationships/image" Target="../media/a5fad45d_86a5_11e9_8101_003048fd731b_cbd0a3be_27ac_11ed_a30e_00259070b487174.jpeg"/><Relationship Id="rId175" Type="http://schemas.openxmlformats.org/officeDocument/2006/relationships/image" Target="../media/a5fad461_86a5_11e9_8101_003048fd731b_cbd0a3ba_27ac_11ed_a30e_00259070b487175.jpeg"/><Relationship Id="rId176" Type="http://schemas.openxmlformats.org/officeDocument/2006/relationships/image" Target="../media/9182be36_eeb6_11ef_a6dd_047c1617b143_21d4f577_793a_11f0_a79f_047c1617b143176.jpeg"/><Relationship Id="rId177" Type="http://schemas.openxmlformats.org/officeDocument/2006/relationships/image" Target="../media/a5fad412_86a5_11e9_8101_003048fd731b_cbd0a3cd_27ac_11ed_a30e_00259070b487177.jpeg"/><Relationship Id="rId178" Type="http://schemas.openxmlformats.org/officeDocument/2006/relationships/image" Target="../media/a5fad417_86a5_11e9_8101_003048fd731b_ab6a883c_27ae_11ed_a30e_00259070b487178.jpeg"/><Relationship Id="rId179" Type="http://schemas.openxmlformats.org/officeDocument/2006/relationships/image" Target="../media/a5fad440_86a5_11e9_8101_003048fd731b_cbd0a3c6_27ac_11ed_a30e_00259070b487179.jpeg"/><Relationship Id="rId180" Type="http://schemas.openxmlformats.org/officeDocument/2006/relationships/image" Target="../media/a5fad442_86a5_11e9_8101_003048fd731b_4b3c1d7c_5a46_11f0_a775_047c1617b143180.jpeg"/><Relationship Id="rId181" Type="http://schemas.openxmlformats.org/officeDocument/2006/relationships/image" Target="../media/0ef53f99_9e75_11ef_a670_047c1617b143_4b3c1d80_5a46_11f0_a775_047c1617b143181.jpeg"/><Relationship Id="rId182" Type="http://schemas.openxmlformats.org/officeDocument/2006/relationships/image" Target="../media/65637da0_0b65_11ec_831e_003048fd731b_ab6a8835_27ae_11ed_a30e_00259070b487182.jpeg"/><Relationship Id="rId183" Type="http://schemas.openxmlformats.org/officeDocument/2006/relationships/image" Target="../media/a5fad434_86a5_11e9_8101_003048fd731b_ab6a8841_27ae_11ed_a30e_00259070b487183.jpeg"/><Relationship Id="rId184" Type="http://schemas.openxmlformats.org/officeDocument/2006/relationships/image" Target="../media/a5fad437_86a5_11e9_8101_003048fd731b_ab6a8848_27ae_11ed_a30e_00259070b487184.jpeg"/><Relationship Id="rId185" Type="http://schemas.openxmlformats.org/officeDocument/2006/relationships/image" Target="../media/a5fad43a_86a5_11e9_8101_003048fd731b_ab6a884f_27ae_11ed_a30e_00259070b487185.jpeg"/><Relationship Id="rId186" Type="http://schemas.openxmlformats.org/officeDocument/2006/relationships/image" Target="../media/a5fad43d_86a5_11e9_8101_003048fd731b_ab6a8856_27ae_11ed_a30e_00259070b487186.jpeg"/><Relationship Id="rId187" Type="http://schemas.openxmlformats.org/officeDocument/2006/relationships/image" Target="../media/a5fad3f8_86a5_11e9_8101_003048fd731b_ab6a8872_27ae_11ed_a30e_00259070b487187.jpeg"/><Relationship Id="rId188" Type="http://schemas.openxmlformats.org/officeDocument/2006/relationships/image" Target="../media/a5fad3fc_86a5_11e9_8101_003048fd731b_ab6a886b_27ae_11ed_a30e_00259070b487188.jpeg"/><Relationship Id="rId189" Type="http://schemas.openxmlformats.org/officeDocument/2006/relationships/image" Target="../media/a5fad400_86a5_11e9_8101_003048fd731b_ab6a8864_27ae_11ed_a30e_00259070b487189.jpeg"/><Relationship Id="rId190" Type="http://schemas.openxmlformats.org/officeDocument/2006/relationships/image" Target="../media/a5fad403_86a5_11e9_8101_003048fd731b_ab6a8879_27ae_11ed_a30e_00259070b487190.jpeg"/><Relationship Id="rId191" Type="http://schemas.openxmlformats.org/officeDocument/2006/relationships/image" Target="../media/a5fad407_86a5_11e9_8101_003048fd731b_ab6a8887_27ae_11ed_a30e_00259070b487191.jpeg"/><Relationship Id="rId192" Type="http://schemas.openxmlformats.org/officeDocument/2006/relationships/image" Target="../media/a5fad40b_86a5_11e9_8101_003048fd731b_ab6a8880_27ae_11ed_a30e_00259070b487192.jpeg"/><Relationship Id="rId193" Type="http://schemas.openxmlformats.org/officeDocument/2006/relationships/image" Target="../media/a5fad419_86a5_11e9_8101_003048fd731b_ab6a888e_27ae_11ed_a30e_00259070b487193.jpeg"/><Relationship Id="rId194" Type="http://schemas.openxmlformats.org/officeDocument/2006/relationships/image" Target="../media/a5fad41c_86a5_11e9_8101_003048fd731b_ab6a8895_27ae_11ed_a30e_00259070b487194.jpeg"/><Relationship Id="rId195" Type="http://schemas.openxmlformats.org/officeDocument/2006/relationships/image" Target="../media/a5fad41f_86a5_11e9_8101_003048fd731b_ab6a889c_27ae_11ed_a30e_00259070b487195.jpeg"/><Relationship Id="rId196" Type="http://schemas.openxmlformats.org/officeDocument/2006/relationships/image" Target="../media/a5fad422_86a5_11e9_8101_003048fd731b_ab6a88a3_27ae_11ed_a30e_00259070b487196.jpeg"/><Relationship Id="rId197" Type="http://schemas.openxmlformats.org/officeDocument/2006/relationships/image" Target="../media/a5fad425_86a5_11e9_8101_003048fd731b_ab6a88aa_27ae_11ed_a30e_00259070b487197.jpeg"/><Relationship Id="rId198" Type="http://schemas.openxmlformats.org/officeDocument/2006/relationships/image" Target="../media/a5fad428_86a5_11e9_8101_003048fd731b_ab6a88b1_27ae_11ed_a30e_00259070b487198.jpeg"/><Relationship Id="rId199" Type="http://schemas.openxmlformats.org/officeDocument/2006/relationships/image" Target="../media/a5fad42b_86a5_11e9_8101_003048fd731b_3d7c0738_0312_11ef_a5a4_047c1617b143199.jpeg"/><Relationship Id="rId200" Type="http://schemas.openxmlformats.org/officeDocument/2006/relationships/image" Target="../media/a5fad42d_86a5_11e9_8101_003048fd731b_3d7c073c_0312_11ef_a5a4_047c1617b143200.jpeg"/><Relationship Id="rId201" Type="http://schemas.openxmlformats.org/officeDocument/2006/relationships/image" Target="../media/a5fad42f_86a5_11e9_8101_003048fd731b_3d7c0740_0312_11ef_a5a4_047c1617b143201.jpeg"/><Relationship Id="rId202" Type="http://schemas.openxmlformats.org/officeDocument/2006/relationships/image" Target="../media/a5fad432_86a5_11e9_8101_003048fd731b_3d7c0734_0312_11ef_a5a4_047c1617b143202.jpeg"/><Relationship Id="rId203" Type="http://schemas.openxmlformats.org/officeDocument/2006/relationships/image" Target="../media/5540d78d_f5a0_11eb_8302_003048fd731b_a1555453_602e_11ec_a20b_00259070b487203.jpeg"/><Relationship Id="rId204" Type="http://schemas.openxmlformats.org/officeDocument/2006/relationships/image" Target="../media/a71fc60a_46c3_11ef_a5fc_047c1617b143_14e1e0cf_f93d_11ef_a6ea_047c1617b143204.jpeg"/><Relationship Id="rId205" Type="http://schemas.openxmlformats.org/officeDocument/2006/relationships/image" Target="../media/ddfdca27_f37e_11ef_a6e3_047c1617b143_49c4af99_056a_11f0_a6fc_047c1617b143205.jpeg"/><Relationship Id="rId206" Type="http://schemas.openxmlformats.org/officeDocument/2006/relationships/image" Target="../media/a5fad51f_86a5_11e9_8101_003048fd731b_e872284e_518a_11ea_810f_003048fd731b206.jpeg"/><Relationship Id="rId207" Type="http://schemas.openxmlformats.org/officeDocument/2006/relationships/image" Target="../media/a5fad521_86a5_11e9_8101_003048fd731b_ab6a88e0_27ae_11ed_a30e_00259070b487207.jpeg"/><Relationship Id="rId208" Type="http://schemas.openxmlformats.org/officeDocument/2006/relationships/image" Target="../media/a5fad524_86a5_11e9_8101_003048fd731b_e872284b_518a_11ea_810f_003048fd731b208.jpeg"/><Relationship Id="rId209" Type="http://schemas.openxmlformats.org/officeDocument/2006/relationships/image" Target="../media/a5fad52d_86a5_11e9_8101_003048fd731b_7e5777ab_c05c_11ee_a549_047c1617b143209.jpeg"/><Relationship Id="rId210" Type="http://schemas.openxmlformats.org/officeDocument/2006/relationships/image" Target="../media/a5fad530_86a5_11e9_8101_003048fd731b_e872284f_518a_11ea_810f_003048fd731b210.jpeg"/><Relationship Id="rId211" Type="http://schemas.openxmlformats.org/officeDocument/2006/relationships/image" Target="../media/a5fad510_86a5_11e9_8101_003048fd731b_ab6a88e1_27ae_11ed_a30e_00259070b487211.jpeg"/><Relationship Id="rId212" Type="http://schemas.openxmlformats.org/officeDocument/2006/relationships/image" Target="../media/a5fad513_86a5_11e9_8101_003048fd731b_ab6a88e2_27ae_11ed_a30e_00259070b487212.jpeg"/><Relationship Id="rId213" Type="http://schemas.openxmlformats.org/officeDocument/2006/relationships/image" Target="../media/a5fad515_86a5_11e9_8101_003048fd731b_634a42d6_f953_11e9_810b_003048fd731b213.jpeg"/><Relationship Id="rId214" Type="http://schemas.openxmlformats.org/officeDocument/2006/relationships/image" Target="../media/a5fad517_86a5_11e9_8101_003048fd731b_ab6a88d2_27ae_11ed_a30e_00259070b487214.jpeg"/><Relationship Id="rId215" Type="http://schemas.openxmlformats.org/officeDocument/2006/relationships/image" Target="../media/a5fad51b_86a5_11e9_8101_003048fd731b_ab6a88d9_27ae_11ed_a30e_00259070b487215.jpeg"/><Relationship Id="rId216" Type="http://schemas.openxmlformats.org/officeDocument/2006/relationships/image" Target="../media/ac33c801_86a5_11e9_8101_003048fd731b_ab6a88d1_27ae_11ed_a30e_00259070b487216.jpeg"/><Relationship Id="rId217" Type="http://schemas.openxmlformats.org/officeDocument/2006/relationships/image" Target="../media/ac33c804_86a5_11e9_8101_003048fd731b_e8722851_518a_11ea_810f_003048fd731b217.jpeg"/><Relationship Id="rId218" Type="http://schemas.openxmlformats.org/officeDocument/2006/relationships/image" Target="../media/ac33c807_86a5_11e9_8101_003048fd731b_e8722852_518a_11ea_810f_003048fd731b218.jpeg"/><Relationship Id="rId219" Type="http://schemas.openxmlformats.org/officeDocument/2006/relationships/image" Target="../media/d981da6b_77ea_11ea_8111_003048fd731b_ab6a88e3_27ae_11ed_a30e_00259070b487219.jpeg"/><Relationship Id="rId220" Type="http://schemas.openxmlformats.org/officeDocument/2006/relationships/image" Target="../media/d981da6d_77ea_11ea_8111_003048fd731b_ab6a88cb_27ae_11ed_a30e_00259070b487220.jpeg"/><Relationship Id="rId221" Type="http://schemas.openxmlformats.org/officeDocument/2006/relationships/image" Target="../media/6d083b33_3466_11eb_81f3_003048fd731b_7e577799_c05c_11ee_a549_047c1617b143221.jpeg"/><Relationship Id="rId222" Type="http://schemas.openxmlformats.org/officeDocument/2006/relationships/image" Target="../media/61991c0d_230d_11ed_a307_00259070b487_7e577797_c05c_11ee_a549_047c1617b143222.jpeg"/><Relationship Id="rId223" Type="http://schemas.openxmlformats.org/officeDocument/2006/relationships/image" Target="../media/61991c0f_230d_11ed_a307_00259070b487_7e57779e_c05c_11ee_a549_047c1617b143223.jpeg"/><Relationship Id="rId224" Type="http://schemas.openxmlformats.org/officeDocument/2006/relationships/image" Target="../media/61991c11_230d_11ed_a307_00259070b487_7e5777a0_c05c_11ee_a549_047c1617b143224.jpeg"/><Relationship Id="rId225" Type="http://schemas.openxmlformats.org/officeDocument/2006/relationships/image" Target="../media/75c1f4a9_c7a6_11ed_a3fe_047c1617b143_7e57779d_c05c_11ee_a549_047c1617b143225.jpeg"/><Relationship Id="rId226" Type="http://schemas.openxmlformats.org/officeDocument/2006/relationships/image" Target="../media/54e1daa6_3459_11ef_a5e4_047c1617b143_4e2a740e_fcc7_11ef_a6ef_047c1617b143226.jpeg"/><Relationship Id="rId227" Type="http://schemas.openxmlformats.org/officeDocument/2006/relationships/image" Target="../media/54e1daa8_3459_11ef_a5e4_047c1617b143_4e2a740c_fcc7_11ef_a6ef_047c1617b143227.jpeg"/><Relationship Id="rId228" Type="http://schemas.openxmlformats.org/officeDocument/2006/relationships/image" Target="../media/0ef53f9b_9e75_11ef_a670_047c1617b143_579e2315_5a46_11f0_a775_047c1617b143228.jpeg"/><Relationship Id="rId229" Type="http://schemas.openxmlformats.org/officeDocument/2006/relationships/image" Target="../media/f6f0e43d_c920_11ee_a554_047c1617b143_9db7fc73_42ce_11ef_a5f7_047c1617b143229.jpeg"/><Relationship Id="rId230" Type="http://schemas.openxmlformats.org/officeDocument/2006/relationships/image" Target="../media/3c8d8c2e_68f5_11ea_8111_003048fd731b_018ae8fc_7ca2_11ea_8111_003048fd731b230.jpeg"/><Relationship Id="rId231" Type="http://schemas.openxmlformats.org/officeDocument/2006/relationships/image" Target="../media/3c8d8c30_68f5_11ea_8111_003048fd731b_018ae8fd_7ca2_11ea_8111_003048fd731b231.jpeg"/><Relationship Id="rId232" Type="http://schemas.openxmlformats.org/officeDocument/2006/relationships/image" Target="../media/3c8d8c34_68f5_11ea_8111_003048fd731b_018ae8ff_7ca2_11ea_8111_003048fd731b232.jpeg"/><Relationship Id="rId233" Type="http://schemas.openxmlformats.org/officeDocument/2006/relationships/image" Target="../media/32cd9610_0918_11eb_81b8_003048fd731b_ab6a88c7_27ae_11ed_a30e_00259070b487233.jpeg"/><Relationship Id="rId234" Type="http://schemas.openxmlformats.org/officeDocument/2006/relationships/image" Target="../media/32cd9612_0918_11eb_81b8_003048fd731b_7e5777b9_c05c_11ee_a549_047c1617b143234.jpeg"/><Relationship Id="rId235" Type="http://schemas.openxmlformats.org/officeDocument/2006/relationships/image" Target="../media/32cd9614_0918_11eb_81b8_003048fd731b_ab6a88c9_27ae_11ed_a30e_00259070b487235.jpeg"/><Relationship Id="rId236" Type="http://schemas.openxmlformats.org/officeDocument/2006/relationships/image" Target="../media/32cd9616_0918_11eb_81b8_003048fd731b_ab6a88ca_27ae_11ed_a30e_00259070b487236.jpeg"/><Relationship Id="rId237" Type="http://schemas.openxmlformats.org/officeDocument/2006/relationships/image" Target="../media/d0d91a81_7762_11ec_a212_00259070b487_21d4f579_793a_11f0_a79f_047c1617b143237.jpeg"/><Relationship Id="rId238" Type="http://schemas.openxmlformats.org/officeDocument/2006/relationships/image" Target="../media/d0d91a83_7762_11ec_a212_00259070b487_21d4f57b_793a_11f0_a79f_047c1617b143238.jpeg"/><Relationship Id="rId239" Type="http://schemas.openxmlformats.org/officeDocument/2006/relationships/image" Target="../media/be281c7c_f776_11ee_a595_047c1617b143_9db7fc75_42ce_11ef_a5f7_047c1617b143239.jpeg"/><Relationship Id="rId240" Type="http://schemas.openxmlformats.org/officeDocument/2006/relationships/image" Target="../media/fa083bcf_526f_11ef_a60b_047c1617b143_64c8bb46_5a46_11f0_a775_047c1617b143240.jpeg"/><Relationship Id="rId241" Type="http://schemas.openxmlformats.org/officeDocument/2006/relationships/image" Target="../media/a9400c7b_fbb2_11ee_a59b_047c1617b143_9db7fc74_42ce_11ef_a5f7_047c1617b143241.jpeg"/><Relationship Id="rId242" Type="http://schemas.openxmlformats.org/officeDocument/2006/relationships/image" Target="../media/1af32db2_ce2b_11f0_a80d_047c1617b143_ab7d8ff7_d05b_11f0_a810_047c1617b143242.jpeg"/><Relationship Id="rId243" Type="http://schemas.openxmlformats.org/officeDocument/2006/relationships/image" Target="../media/e0aa4154_86a5_11e9_8101_003048fd731b_ad77ae66_a585_11ee_a526_047c1617b143243.jpeg"/><Relationship Id="rId244" Type="http://schemas.openxmlformats.org/officeDocument/2006/relationships/image" Target="../media/e0aa4158_86a5_11e9_8101_003048fd731b_ad77ae62_a585_11ee_a526_047c1617b143244.jpeg"/><Relationship Id="rId245" Type="http://schemas.openxmlformats.org/officeDocument/2006/relationships/image" Target="../media/a5fad469_86a5_11e9_8101_003048fd731b_634a429b_f953_11e9_810b_003048fd731b245.jpeg"/><Relationship Id="rId246" Type="http://schemas.openxmlformats.org/officeDocument/2006/relationships/image" Target="../media/a5fad46c_86a5_11e9_8101_003048fd731b_634a429c_f953_11e9_810b_003048fd731b246.jpeg"/><Relationship Id="rId247" Type="http://schemas.openxmlformats.org/officeDocument/2006/relationships/image" Target="../media/a5fad485_86a5_11e9_8101_003048fd731b_634a42a4_f953_11e9_810b_003048fd731b247.jpeg"/><Relationship Id="rId248" Type="http://schemas.openxmlformats.org/officeDocument/2006/relationships/image" Target="../media/a5fad489_86a5_11e9_8101_003048fd731b_634a42a5_f953_11e9_810b_003048fd731b248.jpeg"/><Relationship Id="rId249" Type="http://schemas.openxmlformats.org/officeDocument/2006/relationships/image" Target="../media/a5fad491_86a5_11e9_8101_003048fd731b_634a42a7_f953_11e9_810b_003048fd731b249.jpeg"/><Relationship Id="rId250" Type="http://schemas.openxmlformats.org/officeDocument/2006/relationships/image" Target="../media/a5fad495_86a5_11e9_8101_003048fd731b_ab6a893a_27ae_11ed_a30e_00259070b487250.jpeg"/><Relationship Id="rId251" Type="http://schemas.openxmlformats.org/officeDocument/2006/relationships/image" Target="../media/a5fad499_86a5_11e9_8101_003048fd731b_ab6a8964_27ae_11ed_a30e_00259070b487251.jpeg"/><Relationship Id="rId252" Type="http://schemas.openxmlformats.org/officeDocument/2006/relationships/image" Target="../media/a5fad49d_86a5_11e9_8101_003048fd731b_634a42aa_f953_11e9_810b_003048fd731b252.jpeg"/><Relationship Id="rId253" Type="http://schemas.openxmlformats.org/officeDocument/2006/relationships/image" Target="../media/a5fad4a1_86a5_11e9_8101_003048fd731b_ab6a895d_27ae_11ed_a30e_00259070b487253.jpeg"/><Relationship Id="rId254" Type="http://schemas.openxmlformats.org/officeDocument/2006/relationships/image" Target="../media/a5fad4a4_86a5_11e9_8101_003048fd731b_ab6a88f4_27ae_11ed_a30e_00259070b487254.jpeg"/><Relationship Id="rId255" Type="http://schemas.openxmlformats.org/officeDocument/2006/relationships/image" Target="../media/a5fad4a7_86a5_11e9_8101_003048fd731b_ab6a88ed_27ae_11ed_a30e_00259070b487255.jpeg"/><Relationship Id="rId256" Type="http://schemas.openxmlformats.org/officeDocument/2006/relationships/image" Target="../media/a5fad4aa_86a5_11e9_8101_003048fd731b_634a42ae_f953_11e9_810b_003048fd731b256.jpeg"/><Relationship Id="rId257" Type="http://schemas.openxmlformats.org/officeDocument/2006/relationships/image" Target="../media/a5fad4bb_86a5_11e9_8101_003048fd731b_634a42b4_f953_11e9_810b_003048fd731b257.jpeg"/><Relationship Id="rId258" Type="http://schemas.openxmlformats.org/officeDocument/2006/relationships/image" Target="../media/a5fad4bf_86a5_11e9_8101_003048fd731b_634a42b5_f953_11e9_810b_003048fd731b258.jpeg"/><Relationship Id="rId259" Type="http://schemas.openxmlformats.org/officeDocument/2006/relationships/image" Target="../media/a5fad4c3_86a5_11e9_8101_003048fd731b_634a42b6_f953_11e9_810b_003048fd731b259.jpeg"/><Relationship Id="rId260" Type="http://schemas.openxmlformats.org/officeDocument/2006/relationships/image" Target="../media/a5fad4c7_86a5_11e9_8101_003048fd731b_ab6a8948_27ae_11ed_a30e_00259070b487260.jpeg"/><Relationship Id="rId261" Type="http://schemas.openxmlformats.org/officeDocument/2006/relationships/image" Target="../media/a5fad4c9_86a5_11e9_8101_003048fd731b_ab6a894f_27ae_11ed_a30e_00259070b487261.jpeg"/><Relationship Id="rId262" Type="http://schemas.openxmlformats.org/officeDocument/2006/relationships/image" Target="../media/662b154e_3466_11eb_81f3_003048fd731b_f50da9e5_c05b_11ee_a549_047c1617b143262.jpeg"/><Relationship Id="rId263" Type="http://schemas.openxmlformats.org/officeDocument/2006/relationships/image" Target="../media/02a66c2e_db0d_11ec_a2a2_00259070b487_f6cf4dfa_a596_11ee_a526_047c1617b143263.jpeg"/><Relationship Id="rId264" Type="http://schemas.openxmlformats.org/officeDocument/2006/relationships/image" Target="../media/b8435c6e_55c2_11ed_a35f_047c1617b143_f50da9ea_c05b_11ee_a549_047c1617b143264.jpeg"/><Relationship Id="rId265" Type="http://schemas.openxmlformats.org/officeDocument/2006/relationships/image" Target="../media/d83ddbed_92b8_11ed_a3b9_047c1617b143_f50da9e6_c05b_11ee_a549_047c1617b143265.jpeg"/><Relationship Id="rId266" Type="http://schemas.openxmlformats.org/officeDocument/2006/relationships/image" Target="../media/46f300af_ce6a_11ef_a6b4_047c1617b143_4b3c1d84_5a46_11f0_a775_047c1617b143266.jpeg"/><Relationship Id="rId267" Type="http://schemas.openxmlformats.org/officeDocument/2006/relationships/image" Target="../media/f7c1cd83_7932_11f0_a79f_047c1617b143_85576934_7c1e_11f0_a7a3_047c1617b143267.jpeg"/><Relationship Id="rId268" Type="http://schemas.openxmlformats.org/officeDocument/2006/relationships/image" Target="../media/f7c1cd85_7932_11f0_a79f_047c1617b143_85576938_7c1e_11f0_a7a3_047c1617b143268.jpeg"/><Relationship Id="rId269" Type="http://schemas.openxmlformats.org/officeDocument/2006/relationships/image" Target="../media/f7c1cdb3_7932_11f0_a79f_047c1617b143_a26f33c0_7c1e_11f0_a7a3_047c1617b143269.jpeg"/><Relationship Id="rId270" Type="http://schemas.openxmlformats.org/officeDocument/2006/relationships/image" Target="../media/b7995f8f_96ee_11f0_a7c5_047c1617b143_fafd7690_b70d_11f0_a7ef_047c1617b143270.jpeg"/><Relationship Id="rId271" Type="http://schemas.openxmlformats.org/officeDocument/2006/relationships/image" Target="../media/65637d8a_0b65_11ec_831e_003048fd731b_ab6a8933_27ae_11ed_a30e_00259070b487271.jpeg"/><Relationship Id="rId272" Type="http://schemas.openxmlformats.org/officeDocument/2006/relationships/image" Target="../media/65637d8c_0b65_11ec_831e_003048fd731b_ab6a892c_27ae_11ed_a30e_00259070b487272.jpeg"/><Relationship Id="rId273" Type="http://schemas.openxmlformats.org/officeDocument/2006/relationships/image" Target="../media/65637d8e_0b65_11ec_831e_003048fd731b_ab6a88fb_27ae_11ed_a30e_00259070b487273.jpeg"/><Relationship Id="rId274" Type="http://schemas.openxmlformats.org/officeDocument/2006/relationships/image" Target="../media/65637d90_0b65_11ec_831e_003048fd731b_ab6a8902_27ae_11ed_a30e_00259070b487274.jpeg"/><Relationship Id="rId275" Type="http://schemas.openxmlformats.org/officeDocument/2006/relationships/image" Target="../media/65637d92_0b65_11ec_831e_003048fd731b_b22990cc_27ae_11ed_a30e_00259070b487275.jpeg"/><Relationship Id="rId276" Type="http://schemas.openxmlformats.org/officeDocument/2006/relationships/image" Target="../media/65637d94_0b65_11ec_831e_003048fd731b_b22990da_27ae_11ed_a30e_00259070b487276.jpeg"/><Relationship Id="rId277" Type="http://schemas.openxmlformats.org/officeDocument/2006/relationships/image" Target="../media/65637d96_0b65_11ec_831e_003048fd731b_b22990be_27ae_11ed_a30e_00259070b487277.jpeg"/><Relationship Id="rId278" Type="http://schemas.openxmlformats.org/officeDocument/2006/relationships/image" Target="../media/65637d98_0b65_11ec_831e_003048fd731b_b22990d3_27ae_11ed_a30e_00259070b487278.jpeg"/><Relationship Id="rId279" Type="http://schemas.openxmlformats.org/officeDocument/2006/relationships/image" Target="../media/65637d9c_0b65_11ec_831e_003048fd731b_b22990c0_27ae_11ed_a30e_00259070b487279.jpeg"/><Relationship Id="rId280" Type="http://schemas.openxmlformats.org/officeDocument/2006/relationships/image" Target="../media/65637d9e_0b65_11ec_831e_003048fd731b_b22990c6_27ae_11ed_a30e_00259070b487280.jpeg"/><Relationship Id="rId281" Type="http://schemas.openxmlformats.org/officeDocument/2006/relationships/image" Target="../media/0b44dd4f_0c78_11ec_8321_003048fd731b_7e577780_c05c_11ee_a549_047c1617b143281.jpeg"/><Relationship Id="rId282" Type="http://schemas.openxmlformats.org/officeDocument/2006/relationships/image" Target="../media/a5fad4ea_86a5_11e9_8101_003048fd731b_4829b045_0627_11ea_810d_003048fd731b282.jpeg"/><Relationship Id="rId283" Type="http://schemas.openxmlformats.org/officeDocument/2006/relationships/image" Target="../media/a5fad4ee_86a5_11e9_8101_003048fd731b_4829b046_0627_11ea_810d_003048fd731b283.jpeg"/><Relationship Id="rId284" Type="http://schemas.openxmlformats.org/officeDocument/2006/relationships/image" Target="../media/a5fad4f2_86a5_11e9_8101_003048fd731b_7e5777aa_c05c_11ee_a549_047c1617b143284.jpeg"/><Relationship Id="rId285" Type="http://schemas.openxmlformats.org/officeDocument/2006/relationships/image" Target="../media/a5fad4f6_86a5_11e9_8101_003048fd731b_b22990e1_27ae_11ed_a30e_00259070b487285.jpeg"/><Relationship Id="rId286" Type="http://schemas.openxmlformats.org/officeDocument/2006/relationships/image" Target="../media/a5fad4fa_86a5_11e9_8101_003048fd731b_b22990f0_27ae_11ed_a30e_00259070b487286.jpeg"/><Relationship Id="rId287" Type="http://schemas.openxmlformats.org/officeDocument/2006/relationships/image" Target="../media/a5fad4fe_86a5_11e9_8101_003048fd731b_b22990e4_27ae_11ed_a30e_00259070b487287.jpeg"/><Relationship Id="rId288" Type="http://schemas.openxmlformats.org/officeDocument/2006/relationships/image" Target="../media/a5fad506_86a5_11e9_8101_003048fd731b_b22990e6_27ae_11ed_a30e_00259070b487288.jpeg"/><Relationship Id="rId289" Type="http://schemas.openxmlformats.org/officeDocument/2006/relationships/image" Target="../media/a5fad50a_86a5_11e9_8101_003048fd731b_b22990e5_27ae_11ed_a30e_00259070b487289.jpeg"/><Relationship Id="rId290" Type="http://schemas.openxmlformats.org/officeDocument/2006/relationships/image" Target="../media/60a9d7a6_d53f_11e9_8109_003048fd731b_b22990ee_27ae_11ed_a30e_00259070b487290.jpeg"/><Relationship Id="rId291" Type="http://schemas.openxmlformats.org/officeDocument/2006/relationships/image" Target="../media/60a9d7a8_d53f_11e9_8109_003048fd731b_4829b04f_0627_11ea_810d_003048fd731b291.jpeg"/><Relationship Id="rId292" Type="http://schemas.openxmlformats.org/officeDocument/2006/relationships/image" Target="../media/60a9d7aa_d53f_11e9_8109_003048fd731b_b22990ef_27ae_11ed_a30e_00259070b487292.jpeg"/><Relationship Id="rId293" Type="http://schemas.openxmlformats.org/officeDocument/2006/relationships/image" Target="../media/60a9d7ac_d53f_11e9_8109_003048fd731b_b22990e2_27ae_11ed_a30e_00259070b487293.jpeg"/><Relationship Id="rId294" Type="http://schemas.openxmlformats.org/officeDocument/2006/relationships/image" Target="../media/60a9d7ae_d53f_11e9_8109_003048fd731b_b22990e3_27ae_11ed_a30e_00259070b487294.jpeg"/><Relationship Id="rId295" Type="http://schemas.openxmlformats.org/officeDocument/2006/relationships/image" Target="../media/b6b0b29f_419a_11ea_810f_003048fd731b_e24a3655_518a_11ea_810f_003048fd731b295.jpeg"/><Relationship Id="rId296" Type="http://schemas.openxmlformats.org/officeDocument/2006/relationships/image" Target="../media/b6b0b2a1_419a_11ea_810f_003048fd731b_e24a3656_518a_11ea_810f_003048fd731b296.jpeg"/><Relationship Id="rId297" Type="http://schemas.openxmlformats.org/officeDocument/2006/relationships/image" Target="../media/5eb5c5ec_7c9e_11ea_8111_003048fd731b_0794add3_27b2_11ed_a30e_00259070b487297.jpeg"/><Relationship Id="rId298" Type="http://schemas.openxmlformats.org/officeDocument/2006/relationships/image" Target="../media/32cd960e_0918_11eb_81b8_003048fd731b_b22990f7_27ae_11ed_a30e_00259070b487298.jpeg"/><Relationship Id="rId299" Type="http://schemas.openxmlformats.org/officeDocument/2006/relationships/image" Target="../media/b3858dbb_8705_11ea_8112_003048fd731b_b22990eb_27ae_11ed_a30e_00259070b487299.jpeg"/><Relationship Id="rId300" Type="http://schemas.openxmlformats.org/officeDocument/2006/relationships/image" Target="../media/b3858dbd_8705_11ea_8112_003048fd731b_b22990e7_27ae_11ed_a30e_00259070b487300.jpeg"/><Relationship Id="rId301" Type="http://schemas.openxmlformats.org/officeDocument/2006/relationships/image" Target="../media/f3d2eb80_7759_11ec_a212_00259070b487_7e5777b6_c05c_11ee_a549_047c1617b143301.jpeg"/><Relationship Id="rId302" Type="http://schemas.openxmlformats.org/officeDocument/2006/relationships/image" Target="../media/f3d2eb82_7759_11ec_a212_00259070b487_7e5777b3_c05c_11ee_a549_047c1617b143302.jpeg"/><Relationship Id="rId303" Type="http://schemas.openxmlformats.org/officeDocument/2006/relationships/image" Target="../media/f2cfaacf_c446_11ec_a27f_00259070b487_f50da9fa_c05b_11ee_a549_047c1617b143303.jpeg"/><Relationship Id="rId304" Type="http://schemas.openxmlformats.org/officeDocument/2006/relationships/image" Target="../media/13e8ca4a_5853_11ed_a364_047c1617b143_f50da9f2_c05b_11ee_a549_047c1617b143304.jpeg"/><Relationship Id="rId305" Type="http://schemas.openxmlformats.org/officeDocument/2006/relationships/image" Target="../media/f0fe18a6_3248_11ee_a490_047c1617b143_7e577782_c05c_11ee_a549_047c1617b143305.jpeg"/><Relationship Id="rId306" Type="http://schemas.openxmlformats.org/officeDocument/2006/relationships/image" Target="../media/efe04986_729c_11ee_a4e3_047c1617b143_f50da9f5_c05b_11ee_a549_047c1617b143306.jpeg"/><Relationship Id="rId307" Type="http://schemas.openxmlformats.org/officeDocument/2006/relationships/image" Target="../media/efe04988_729c_11ee_a4e3_047c1617b143_f50da9f6_c05b_11ee_a549_047c1617b143307.jpeg"/><Relationship Id="rId308" Type="http://schemas.openxmlformats.org/officeDocument/2006/relationships/image" Target="../media/6f6da40d_c29f_11ee_a54c_047c1617b143_9db7fc70_42ce_11ef_a5f7_047c1617b143308.png"/><Relationship Id="rId309" Type="http://schemas.openxmlformats.org/officeDocument/2006/relationships/image" Target="../media/be281c50_f776_11ee_a595_047c1617b143_9db7fc6c_42ce_11ef_a5f7_047c1617b143309.jpeg"/><Relationship Id="rId310" Type="http://schemas.openxmlformats.org/officeDocument/2006/relationships/image" Target="../media/a5fad4da_86a5_11e9_8101_003048fd731b_0794add6_27b2_11ed_a30e_00259070b487310.jpeg"/><Relationship Id="rId311" Type="http://schemas.openxmlformats.org/officeDocument/2006/relationships/image" Target="../media/a5fad4de_86a5_11e9_8101_003048fd731b_1b5db488_f93d_11ef_a6ea_047c1617b143311.jpeg"/><Relationship Id="rId312" Type="http://schemas.openxmlformats.org/officeDocument/2006/relationships/image" Target="../media/a5fad4e2_86a5_11e9_8101_003048fd731b_0794add5_27b2_11ed_a30e_00259070b487312.jpeg"/><Relationship Id="rId313" Type="http://schemas.openxmlformats.org/officeDocument/2006/relationships/image" Target="../media/a5fad4e6_86a5_11e9_8101_003048fd731b_0794adc7_27b2_11ed_a30e_00259070b487313.jpeg"/><Relationship Id="rId314" Type="http://schemas.openxmlformats.org/officeDocument/2006/relationships/image" Target="../media/45f59294_4009_11ec_8370_003048fd731b_1b5db487_f93d_11ef_a6ea_047c1617b143314.jpeg"/><Relationship Id="rId315" Type="http://schemas.openxmlformats.org/officeDocument/2006/relationships/image" Target="../media/13e8ca48_5853_11ed_a364_047c1617b143_f50da9d6_c05b_11ee_a549_047c1617b143315.jpeg"/><Relationship Id="rId316" Type="http://schemas.openxmlformats.org/officeDocument/2006/relationships/image" Target="../media/5a6d7b25_847d_11ef_a64e_047c1617b143_1b5db365_f93d_11ef_a6ea_047c1617b143316.jpeg"/><Relationship Id="rId317" Type="http://schemas.openxmlformats.org/officeDocument/2006/relationships/image" Target="../media/5a6d7b27_847d_11ef_a64e_047c1617b143_1b5db366_f93d_11ef_a6ea_047c1617b143317.jpeg"/><Relationship Id="rId318" Type="http://schemas.openxmlformats.org/officeDocument/2006/relationships/image" Target="../media/9182be2a_eeb6_11ef_a6dd_047c1617b143_21d4f576_793a_11f0_a79f_047c1617b143318.jpeg"/><Relationship Id="rId319" Type="http://schemas.openxmlformats.org/officeDocument/2006/relationships/image" Target="../media/970a8fa6_ceda_11eb_82cb_003048fd731b_a1555451_602e_11ec_a20b_00259070b487319.jpeg"/><Relationship Id="rId320" Type="http://schemas.openxmlformats.org/officeDocument/2006/relationships/image" Target="../media/04037912_ceeb_11eb_82cb_003048fd731b_a1555452_602e_11ec_a20b_00259070b487320.jpeg"/><Relationship Id="rId321" Type="http://schemas.openxmlformats.org/officeDocument/2006/relationships/image" Target="../media/3613e6f3_1867_11ed_a2f9_00259070b487_f50da9e4_c05b_11ee_a549_047c1617b143321.jpeg"/><Relationship Id="rId322" Type="http://schemas.openxmlformats.org/officeDocument/2006/relationships/image" Target="../media/a5fad4d6_86a5_11e9_8101_003048fd731b_b22990ed_27ae_11ed_a30e_00259070b487322.jpeg"/><Relationship Id="rId323" Type="http://schemas.openxmlformats.org/officeDocument/2006/relationships/image" Target="../media/3c8d8c2a_68f5_11ea_8111_003048fd731b_7e5777b0_c05c_11ee_a549_047c1617b143323.jpeg"/><Relationship Id="rId324" Type="http://schemas.openxmlformats.org/officeDocument/2006/relationships/image" Target="../media/3c8d8c2c_68f5_11ea_8111_003048fd731b_7e5777b2_c05c_11ee_a549_047c1617b143324.jpeg"/><Relationship Id="rId325" Type="http://schemas.openxmlformats.org/officeDocument/2006/relationships/image" Target="../media/1fcb3128_5f91_11eb_822d_003048fd731b_b22990ec_27ae_11ed_a30e_00259070b487325.jpeg"/><Relationship Id="rId326" Type="http://schemas.openxmlformats.org/officeDocument/2006/relationships/image" Target="../media/45f59296_4009_11ec_8370_003048fd731b_f50da9f7_c05b_11ee_a549_047c1617b143326.jpeg"/><Relationship Id="rId327" Type="http://schemas.openxmlformats.org/officeDocument/2006/relationships/image" Target="../media/cb15cc5f_f760_11ee_a595_047c1617b143_9db7fc6f_42ce_11ef_a5f7_047c1617b143327.jpeg"/><Relationship Id="rId328" Type="http://schemas.openxmlformats.org/officeDocument/2006/relationships/image" Target="../media/a5fad470_86a5_11e9_8101_003048fd731b_ab6a8910_27ae_11ed_a30e_00259070b487328.jpeg"/><Relationship Id="rId329" Type="http://schemas.openxmlformats.org/officeDocument/2006/relationships/image" Target="../media/a5fad473_86a5_11e9_8101_003048fd731b_ab6a891e_27ae_11ed_a30e_00259070b487329.jpeg"/><Relationship Id="rId330" Type="http://schemas.openxmlformats.org/officeDocument/2006/relationships/image" Target="../media/a5fad476_86a5_11e9_8101_003048fd731b_ab6a8917_27ae_11ed_a30e_00259070b487330.jpeg"/><Relationship Id="rId331" Type="http://schemas.openxmlformats.org/officeDocument/2006/relationships/image" Target="../media/a5fad479_86a5_11e9_8101_003048fd731b_ab6a8925_27ae_11ed_a30e_00259070b487331.jpeg"/><Relationship Id="rId332" Type="http://schemas.openxmlformats.org/officeDocument/2006/relationships/image" Target="../media/a5fad40f_86a5_11e9_8101_003048fd731b_ab6a8971_27ae_11ed_a30e_00259070b487332.jpeg"/><Relationship Id="rId333" Type="http://schemas.openxmlformats.org/officeDocument/2006/relationships/image" Target="../media/6d083b2b_3466_11eb_81f3_003048fd731b_ab6a88ef_27ae_11ed_a30e_00259070b487333.jpeg"/><Relationship Id="rId334" Type="http://schemas.openxmlformats.org/officeDocument/2006/relationships/image" Target="../media/6d083b2d_3466_11eb_81f3_003048fd731b_ab6a88f0_27ae_11ed_a30e_00259070b487334.jpeg"/><Relationship Id="rId335" Type="http://schemas.openxmlformats.org/officeDocument/2006/relationships/image" Target="../media/6d083b2f_3466_11eb_81f3_003048fd731b_ab6a88f1_27ae_11ed_a30e_00259070b487335.jpeg"/><Relationship Id="rId336" Type="http://schemas.openxmlformats.org/officeDocument/2006/relationships/image" Target="../media/6d083b31_3466_11eb_81f3_003048fd731b_ab6a88f2_27ae_11ed_a30e_00259070b487336.jpeg"/><Relationship Id="rId337" Type="http://schemas.openxmlformats.org/officeDocument/2006/relationships/image" Target="../media/3d53e991_449e_11f0_a750_047c1617b143_e06885a0_ce73_11f0_a80e_047c1617b143337.jpeg"/><Relationship Id="rId338" Type="http://schemas.openxmlformats.org/officeDocument/2006/relationships/image" Target="../media/a5fad4ce_86a5_11e9_8101_003048fd731b_b22990f1_27ae_11ed_a30e_00259070b487338.jpeg"/><Relationship Id="rId339" Type="http://schemas.openxmlformats.org/officeDocument/2006/relationships/image" Target="../media/a5fad4d2_86a5_11e9_8101_003048fd731b_b22990f3_27ae_11ed_a30e_00259070b487339.jpeg"/><Relationship Id="rId340" Type="http://schemas.openxmlformats.org/officeDocument/2006/relationships/image" Target="../media/60a9d7a0_d53f_11e9_8109_003048fd731b_b22990f2_27ae_11ed_a30e_00259070b487340.jpeg"/><Relationship Id="rId341" Type="http://schemas.openxmlformats.org/officeDocument/2006/relationships/image" Target="../media/60a9d7a2_d53f_11e9_8109_003048fd731b_4829b03e_0627_11ea_810d_003048fd731b341.png"/><Relationship Id="rId342" Type="http://schemas.openxmlformats.org/officeDocument/2006/relationships/image" Target="../media/60a9d7a4_d53f_11e9_8109_003048fd731b_b22990f5_27ae_11ed_a30e_00259070b487342.jpeg"/><Relationship Id="rId343" Type="http://schemas.openxmlformats.org/officeDocument/2006/relationships/image" Target="../media/f093114a_0c72_11ec_8321_003048fd731b_f50daa05_c05b_11ee_a549_047c1617b143343.jpeg"/><Relationship Id="rId344" Type="http://schemas.openxmlformats.org/officeDocument/2006/relationships/image" Target="../media/e3f40c0e_5308_11ee_a4bb_047c1617b143_f50da9fd_c05b_11ee_a549_047c1617b143344.jpeg"/><Relationship Id="rId345" Type="http://schemas.openxmlformats.org/officeDocument/2006/relationships/image" Target="../media/e3f40c10_5308_11ee_a4bb_047c1617b143_f50daa01_c05b_11ee_a549_047c1617b143345.jpeg"/><Relationship Id="rId346" Type="http://schemas.openxmlformats.org/officeDocument/2006/relationships/image" Target="../media/1f13c3f9_37d2_11ef_a5e9_047c1617b143_83eb967e_5d58_11f0_a779_047c1617b143346.jpeg"/><Relationship Id="rId347" Type="http://schemas.openxmlformats.org/officeDocument/2006/relationships/image" Target="../media/1f13c3fb_37d2_11ef_a5e9_047c1617b143_83eb967d_5d58_11f0_a779_047c1617b143347.jpeg"/><Relationship Id="rId348" Type="http://schemas.openxmlformats.org/officeDocument/2006/relationships/image" Target="../media/3e8472d0_afd7_11ef_a68d_047c1617b143_83eb967f_5d58_11f0_a779_047c1617b143348.jpeg"/><Relationship Id="rId349" Type="http://schemas.openxmlformats.org/officeDocument/2006/relationships/image" Target="../media/a5fad4ad_86a5_11e9_8101_003048fd731b_ab6a8941_27ae_11ed_a30e_00259070b487349.jpeg"/><Relationship Id="rId350" Type="http://schemas.openxmlformats.org/officeDocument/2006/relationships/image" Target="../media/a5fad4b0_86a5_11e9_8101_003048fd731b_634a42b0_f953_11e9_810b_003048fd731b350.jpeg"/><Relationship Id="rId351" Type="http://schemas.openxmlformats.org/officeDocument/2006/relationships/image" Target="../media/a5fad4b3_86a5_11e9_8101_003048fd731b_ab6a88f3_27ae_11ed_a30e_00259070b487351.jpeg"/><Relationship Id="rId352" Type="http://schemas.openxmlformats.org/officeDocument/2006/relationships/image" Target="../media/a5fad4b6_86a5_11e9_8101_003048fd731b_ab6a896b_27ae_11ed_a30e_00259070b487352.jpeg"/><Relationship Id="rId353" Type="http://schemas.openxmlformats.org/officeDocument/2006/relationships/image" Target="../media/a5fad4b9_86a5_11e9_8101_003048fd731b_ab6a8909_27ae_11ed_a30e_00259070b487353.jpeg"/><Relationship Id="rId354" Type="http://schemas.openxmlformats.org/officeDocument/2006/relationships/image" Target="../media/02a66c24_db0d_11ec_a2a2_00259070b487_f50da9ee_c05b_11ee_a549_047c1617b143354.jpeg"/><Relationship Id="rId355" Type="http://schemas.openxmlformats.org/officeDocument/2006/relationships/image" Target="../media/46f300ad_ce6a_11ef_a6b4_047c1617b143_1b5db499_f93d_11ef_a6ea_047c1617b143355.jpeg"/><Relationship Id="rId356" Type="http://schemas.openxmlformats.org/officeDocument/2006/relationships/image" Target="../media/145c8a0e_551c_11f0_a76e_047c1617b143_579e2400_5a46_11f0_a775_047c1617b143356.jpeg"/><Relationship Id="rId357" Type="http://schemas.openxmlformats.org/officeDocument/2006/relationships/image" Target="../media/f7c1cd9f_7932_11f0_a79f_047c1617b143_a26f3398_7c1e_11f0_a7a3_047c1617b143357.jpeg"/><Relationship Id="rId358" Type="http://schemas.openxmlformats.org/officeDocument/2006/relationships/image" Target="../media/f7c1cda1_7932_11f0_a79f_047c1617b143_a26f339c_7c1e_11f0_a7a3_047c1617b143358.jpeg"/><Relationship Id="rId359" Type="http://schemas.openxmlformats.org/officeDocument/2006/relationships/image" Target="../media/f7c1cda3_7932_11f0_a79f_047c1617b143_a26f33a0_7c1e_11f0_a7a3_047c1617b143359.jpeg"/><Relationship Id="rId360" Type="http://schemas.openxmlformats.org/officeDocument/2006/relationships/image" Target="../media/f7c1cda5_7932_11f0_a79f_047c1617b143_a26f33a4_7c1e_11f0_a7a3_047c1617b143360.jpeg"/><Relationship Id="rId361" Type="http://schemas.openxmlformats.org/officeDocument/2006/relationships/image" Target="../media/f7c1cda7_7932_11f0_a79f_047c1617b143_a26f33a8_7c1e_11f0_a7a3_047c1617b143361.jpeg"/><Relationship Id="rId362" Type="http://schemas.openxmlformats.org/officeDocument/2006/relationships/image" Target="../media/f7c1cda9_7932_11f0_a79f_047c1617b143_a26f33ac_7c1e_11f0_a7a3_047c1617b143362.jpeg"/><Relationship Id="rId363" Type="http://schemas.openxmlformats.org/officeDocument/2006/relationships/image" Target="../media/f7c1cdab_7932_11f0_a79f_047c1617b143_a26f33b0_7c1e_11f0_a7a3_047c1617b143363.jpeg"/><Relationship Id="rId364" Type="http://schemas.openxmlformats.org/officeDocument/2006/relationships/image" Target="../media/f7c1cdad_7932_11f0_a79f_047c1617b143_a26f33b4_7c1e_11f0_a7a3_047c1617b143364.jpeg"/><Relationship Id="rId365" Type="http://schemas.openxmlformats.org/officeDocument/2006/relationships/image" Target="../media/65637d88_0b65_11ec_831e_003048fd731b_ab6a8956_27ae_11ed_a30e_00259070b487365.jpeg"/><Relationship Id="rId366" Type="http://schemas.openxmlformats.org/officeDocument/2006/relationships/image" Target="../media/01c954fb_ce2b_11f0_a80d_047c1617b143_ab7d8fd2_d05b_11f0_a810_047c1617b14336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7" name="Image_36" descr="Image_3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8" name="Image_37" descr="Image_3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9" name="Image_38" descr="Image_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1" name="Image_40" descr="Image_4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2" name="Image_41" descr="Image_4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3" name="Image_42" descr="Image_4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8" name="Image_48" descr="Image_4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9" name="Image_49" descr="Image_4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0" name="Image_50" descr="Image_5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1" name="Image_51" descr="Image_5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7" name="Image_57" descr="Image_57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8" name="Image_58" descr="Image_5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9" name="Image_59" descr="Image_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0" name="Image_60" descr="Image_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1" name="Image_62" descr="Image_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2" name="Image_63" descr="Image_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3" name="Image_64" descr="Image_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5" name="Image_66" descr="Image_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6" name="Image_67" descr="Image_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8" name="Image_69" descr="Image_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9" name="Image_70" descr="Image_7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0" name="Image_71" descr="Image_7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1" name="Image_72" descr="Image_72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2" name="Image_75" descr="Image_7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3" name="Image_76" descr="Image_7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4" name="Image_77" descr="Image_7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5" name="Image_78" descr="Image_7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6" name="Image_79" descr="Image_7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7" name="Image_80" descr="Image_8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8" name="Image_81" descr="Image_8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9" name="Image_82" descr="Image_8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0" name="Image_83" descr="Image_8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1" name="Image_84" descr="Image_8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2" name="Image_85" descr="Image_8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3" name="Image_86" descr="Image_8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4" name="Image_87" descr="Image_8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5" name="Image_88" descr="Image_8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6" name="Image_90" descr="Image_9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7" name="Image_91" descr="Image_9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8" name="Image_92" descr="Image_9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9" name="Image_93" descr="Image_9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0" name="Image_94" descr="Image_9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1" name="Image_95" descr="Image_9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2" name="Image_96" descr="Image_9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3" name="Image_97" descr="Image_9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4" name="Image_98" descr="Image_9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5" name="Image_99" descr="Image_9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6" name="Image_100" descr="Image_10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7" name="Image_101" descr="Image_10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8" name="Image_102" descr="Image_10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9" name="Image_103" descr="Image_10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0" name="Image_104" descr="Image_10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1" name="Image_105" descr="Image_10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2" name="Image_106" descr="Image_10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3" name="Image_107" descr="Image_10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4" name="Image_108" descr="Image_10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5" name="Image_109" descr="Image_10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6" name="Image_110" descr="Image_11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7" name="Image_111" descr="Image_11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8" name="Image_112" descr="Image_11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9" name="Image_113" descr="Image_11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0" name="Image_114" descr="Image_11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1" name="Image_115" descr="Image_11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2" name="Image_116" descr="Image_11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3" name="Image_117" descr="Image_11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4" name="Image_118" descr="Image_11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5" name="Image_119" descr="Image_11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6" name="Image_120" descr="Image_12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7" name="Image_121" descr="Image_12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8" name="Image_122" descr="Image_12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9" name="Image_123" descr="Image_12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0" name="Image_124" descr="Image_12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1" name="Image_125" descr="Image_12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2" name="Image_126" descr="Image_12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3" name="Image_127" descr="Image_12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4" name="Image_128" descr="Image_12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5" name="Image_129" descr="Image_12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6" name="Image_130" descr="Image_13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7" name="Image_131" descr="Image_13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8" name="Image_132" descr="Image_13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9" name="Image_133" descr="Image_13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0" name="Image_136" descr="Image_136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1" name="Image_137" descr="Image_137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2" name="Image_138" descr="Image_138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3" name="Image_139" descr="Image_139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4" name="Image_140" descr="Image_14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5" name="Image_141" descr="Image_14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6" name="Image_142" descr="Image_14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7" name="Image_143" descr="Image_14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8" name="Image_144" descr="Image_14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9" name="Image_145" descr="Image_14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0" name="Image_146" descr="Image_146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1" name="Image_148" descr="Image_148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2" name="Image_149" descr="Image_149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3" name="Image_150" descr="Image_150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4" name="Image_151" descr="Image_15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5" name="Image_152" descr="Image_15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6" name="Image_153" descr="Image_15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7" name="Image_154" descr="Image_15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8" name="Image_155" descr="Image_155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9" name="Image_156" descr="Image_156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0" name="Image_157" descr="Image_157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1" name="Image_158" descr="Image_158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2" name="Image_160" descr="Image_160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3" name="Image_161" descr="Image_16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4" name="Image_162" descr="Image_16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5" name="Image_163" descr="Image_163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6" name="Image_164" descr="Image_164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7" name="Image_165" descr="Image_16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8" name="Image_166" descr="Image_16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9" name="Image_167" descr="Image_167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0" name="Image_168" descr="Image_168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1" name="Image_169" descr="Image_169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2" name="Image_171" descr="Image_171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3" name="Image_174" descr="Image_174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4" name="Image_175" descr="Image_175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5" name="Image_176" descr="Image_176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6" name="Image_177" descr="Image_177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7" name="Image_178" descr="Image_178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8" name="Image_179" descr="Image_17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9" name="Image_180" descr="Image_18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0" name="Image_181" descr="Image_18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1" name="Image_182" descr="Image_18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2" name="Image_183" descr="Image_18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3" name="Image_184" descr="Image_18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4" name="Image_185" descr="Image_18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5" name="Image_186" descr="Image_18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6" name="Image_187" descr="Image_18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7" name="Image_188" descr="Image_18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8" name="Image_190" descr="Image_190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69" name="Image_191" descr="Image_191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0" name="Image_193" descr="Image_19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1" name="Image_194" descr="Image_19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2" name="Image_195" descr="Image_19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3" name="Image_196" descr="Image_19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4" name="Image_197" descr="Image_19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5" name="Image_198" descr="Image_19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6" name="Image_199" descr="Image_19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7" name="Image_202" descr="Image_202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8" name="Image_203" descr="Image_203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9" name="Image_204" descr="Image_204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0" name="Image_205" descr="Image_205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1" name="Image_206" descr="Image_206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2" name="Image_207" descr="Image_207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3" name="Image_209" descr="Image_209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4" name="Image_210" descr="Image_210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5" name="Image_211" descr="Image_211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6" name="Image_212" descr="Image_212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7" name="Image_214" descr="Image_214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8" name="Image_215" descr="Image_215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9" name="Image_216" descr="Image_216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0" name="Image_217" descr="Image_217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1" name="Image_218" descr="Image_218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2" name="Image_219" descr="Image_219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3" name="Image_220" descr="Image_220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4" name="Image_221" descr="Image_221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5" name="Image_222" descr="Image_222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6" name="Image_223" descr="Image_223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7" name="Image_224" descr="Image_224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8" name="Image_225" descr="Image_225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9" name="Image_226" descr="Image_226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0" name="Image_227" descr="Image_227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1" name="Image_228" descr="Image_228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2" name="Image_229" descr="Image_229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3" name="Image_231" descr="Image_231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4" name="Image_232" descr="Image_232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5" name="Image_235" descr="Image_235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6" name="Image_236" descr="Image_236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7" name="Image_237" descr="Image_237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08" name="Image_238" descr="Image_238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09" name="Image_239" descr="Image_239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10" name="Image_240" descr="Image_240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1" name="Image_241" descr="Image_241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2" name="Image_242" descr="Image_242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3" name="Image_243" descr="Image_243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4" name="Image_244" descr="Image_244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5" name="Image_245" descr="Image_245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6" name="Image_246" descr="Image_246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7" name="Image_247" descr="Image_247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8" name="Image_248" descr="Image_248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19" name="Image_249" descr="Image_249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0" name="Image_250" descr="Image_250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1" name="Image_251" descr="Image_251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2" name="Image_252" descr="Image_252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3" name="Image_253" descr="Image_253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4" name="Image_254" descr="Image_254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5" name="Image_255" descr="Image_255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6" name="Image_256" descr="Image_256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7" name="Image_257" descr="Image_257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8" name="Image_258" descr="Image_258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29" name="Image_261" descr="Image_261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0" name="Image_262" descr="Image_262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1" name="Image_263" descr="Image_263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2" name="Image_264" descr="Image_264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3" name="Image_265" descr="Image_265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4" name="Image_266" descr="Image_266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5" name="Image_267" descr="Image_267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6" name="Image_268" descr="Image_268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7" name="Image_269" descr="Image_269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8" name="Image_270" descr="Image_270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39" name="Image_271" descr="Image_271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40" name="Image_272" descr="Image_272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1" name="Image_273" descr="Image_273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42" name="Image_275" descr="Image_27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3" name="Image_277" descr="Image_27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4" name="Image_278" descr="Image_27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45" name="Image_279" descr="Image_27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46" name="Image_280" descr="Image_28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47" name="Image_281" descr="Image_28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48" name="Image_282" descr="Image_282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49" name="Image_283" descr="Image_283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50" name="Image_284" descr="Image_284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51" name="Image_285" descr="Image_285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52" name="Image_286" descr="Image_286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3" name="Image_287" descr="Image_287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4" name="Image_288" descr="Image_288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55" name="Image_289" descr="Image_289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56" name="Image_290" descr="Image_290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57" name="Image_291" descr="Image_291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58" name="Image_292" descr="Image_292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59" name="Image_293" descr="Image_293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60" name="Image_294" descr="Image_294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61" name="Image_295" descr="Image_295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62" name="Image_296" descr="Image_296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63" name="Image_297" descr="Image_297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64" name="Image_298" descr="Image_298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65" name="Image_299" descr="Image_299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66" name="Image_300" descr="Image_300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67" name="Image_301" descr="Image_301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68" name="Image_302" descr="Image_302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69" name="Image_303" descr="Image_303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70" name="Image_304" descr="Image_304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71" name="Image_305" descr="Image_305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72" name="Image_306" descr="Image_306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73" name="Image_307" descr="Image_307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74" name="Image_308" descr="Image_308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75" name="Image_309" descr="Image_309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76" name="Image_310" descr="Image_310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77" name="Image_311" descr="Image_311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78" name="Image_312" descr="Image_312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79" name="Image_313" descr="Image_313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80" name="Image_314" descr="Image_314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81" name="Image_316" descr="Image_316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82" name="Image_317" descr="Image_317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83" name="Image_318" descr="Image_318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84" name="Image_319" descr="Image_319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85" name="Image_320" descr="Image_320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286" name="Image_321" descr="Image_321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287" name="Image_322" descr="Image_322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288" name="Image_323" descr="Image_323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289" name="Image_324" descr="Image_324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290" name="Image_325" descr="Image_325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291" name="Image_326" descr="Image_326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292" name="Image_327" descr="Image_327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293" name="Image_328" descr="Image_328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294" name="Image_329" descr="Image_329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295" name="Image_330" descr="Image_330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296" name="Image_331" descr="Image_331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297" name="Image_332" descr="Image_332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298" name="Image_333" descr="Image_333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299" name="Image_334" descr="Image_334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00" name="Image_335" descr="Image_335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01" name="Image_336" descr="Image_336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02" name="Image_337" descr="Image_337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03" name="Image_338" descr="Image_338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04" name="Image_339" descr="Image_339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05" name="Image_340" descr="Image_340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06" name="Image_341" descr="Image_341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07" name="Image_342" descr="Image_342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08" name="Image_343" descr="Image_343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09" name="Image_344" descr="Image_344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10" name="Image_346" descr="Image_346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11" name="Image_347" descr="Image_347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12" name="Image_348" descr="Image_348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13" name="Image_349" descr="Image_349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14" name="Image_350" descr="Image_350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15" name="Image_351" descr="Image_351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16" name="Image_352" descr="Image_352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17" name="Image_353" descr="Image_353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18" name="Image_354" descr="Image_354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19" name="Image_356" descr="Image_356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20" name="Image_357" descr="Image_357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21" name="Image_358" descr="Image_358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22" name="Image_362" descr="Image_362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23" name="Image_363" descr="Image_363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24" name="Image_364" descr="Image_364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25" name="Image_365" descr="Image_365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26" name="Image_366" descr="Image_366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27" name="Image_367" descr="Image_367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28" name="Image_368" descr="Image_368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29" name="Image_369" descr="Image_369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30" name="Image_370" descr="Image_370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31" name="Image_371" descr="Image_371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32" name="Image_372" descr="Image_372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33" name="Image_373" descr="Image_373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34" name="Image_374" descr="Image_374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35" name="Image_375" descr="Image_375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36" name="Image_376" descr="Image_376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37" name="Image_378" descr="Image_378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38" name="Image_379" descr="Image_379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39" name="Image_380" descr="Image_380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40" name="Image_381" descr="Image_381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41" name="Image_382" descr="Image_382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42" name="Image_383" descr="Image_383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43" name="Image_384" descr="Image_384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44" name="Image_385" descr="Image_385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45" name="Image_386" descr="Image_386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46" name="Image_387" descr="Image_387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47" name="Image_388" descr="Image_388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48" name="Image_389" descr="Image_389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49" name="Image_390" descr="Image_390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50" name="Image_391" descr="Image_391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51" name="Image_392" descr="Image_392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52" name="Image_393" descr="Image_393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53" name="Image_394" descr="Image_394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54" name="Image_395" descr="Image_395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55" name="Image_396" descr="Image_396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56" name="Image_397" descr="Image_397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57" name="Image_398" descr="Image_398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58" name="Image_399" descr="Image_399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59" name="Image_400" descr="Image_400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60" name="Image_401" descr="Image_401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61" name="Image_402" descr="Image_402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62" name="Image_403" descr="Image_403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63" name="Image_404" descr="Image_404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64" name="Image_405" descr="Image_405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65" name="Image_406" descr="Image_406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66" name="Image_408" descr="Image_408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0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SUM(J2:J408)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819262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J5*315.00</f>
        <v>0</v>
      </c>
      <c r="L5" s="5"/>
    </row>
    <row r="6" spans="1:12" customHeight="1" ht="105" outlineLevel="4">
      <c r="A6" s="1"/>
      <c r="B6" s="1">
        <v>819263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 t="s">
        <v>17</v>
      </c>
      <c r="I6" s="1">
        <v>0</v>
      </c>
      <c r="J6" s="3" t="s">
        <v>18</v>
      </c>
      <c r="K6" s="2" t="str">
        <f>J6*207.00</f>
        <v>0</v>
      </c>
      <c r="L6" s="5"/>
    </row>
    <row r="7" spans="1:12" customHeight="1" ht="105" outlineLevel="4">
      <c r="A7" s="1"/>
      <c r="B7" s="1">
        <v>819264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 t="s">
        <v>17</v>
      </c>
      <c r="I7" s="1">
        <v>0</v>
      </c>
      <c r="J7" s="3" t="s">
        <v>18</v>
      </c>
      <c r="K7" s="2" t="str">
        <f>J7*369.00</f>
        <v>0</v>
      </c>
      <c r="L7" s="5"/>
    </row>
    <row r="8" spans="1:12" customHeight="1" ht="105" outlineLevel="4">
      <c r="A8" s="1"/>
      <c r="B8" s="1">
        <v>819265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23</v>
      </c>
      <c r="H8" s="2" t="s">
        <v>32</v>
      </c>
      <c r="I8" s="1">
        <v>0</v>
      </c>
      <c r="J8" s="3" t="s">
        <v>18</v>
      </c>
      <c r="K8" s="2" t="str">
        <f>J8*218.00</f>
        <v>0</v>
      </c>
      <c r="L8" s="5"/>
    </row>
    <row r="9" spans="1:12" customHeight="1" ht="105" outlineLevel="4">
      <c r="A9" s="1"/>
      <c r="B9" s="1">
        <v>819266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9</v>
      </c>
      <c r="H9" s="2" t="s">
        <v>32</v>
      </c>
      <c r="I9" s="1">
        <v>0</v>
      </c>
      <c r="J9" s="3" t="s">
        <v>18</v>
      </c>
      <c r="K9" s="2" t="str">
        <f>J9*340.00</f>
        <v>0</v>
      </c>
      <c r="L9" s="5"/>
    </row>
    <row r="10" spans="1:12" customHeight="1" ht="105" outlineLevel="4">
      <c r="A10" s="1"/>
      <c r="B10" s="1">
        <v>819267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41</v>
      </c>
      <c r="H10" s="2" t="s">
        <v>42</v>
      </c>
      <c r="I10" s="1">
        <v>0</v>
      </c>
      <c r="J10" s="3" t="s">
        <v>18</v>
      </c>
      <c r="K10" s="2" t="str">
        <f>J10*194.00</f>
        <v>0</v>
      </c>
      <c r="L10" s="5"/>
    </row>
    <row r="11" spans="1:12" customHeight="1" ht="105" outlineLevel="4">
      <c r="A11" s="1"/>
      <c r="B11" s="1">
        <v>819268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47</v>
      </c>
      <c r="H11" s="2" t="s">
        <v>48</v>
      </c>
      <c r="I11" s="1">
        <v>0</v>
      </c>
      <c r="J11" s="3" t="s">
        <v>18</v>
      </c>
      <c r="K11" s="2" t="str">
        <f>J11*364.00</f>
        <v>0</v>
      </c>
      <c r="L11" s="5"/>
    </row>
    <row r="12" spans="1:12" customHeight="1" ht="105" outlineLevel="4">
      <c r="A12" s="1"/>
      <c r="B12" s="1">
        <v>819269</v>
      </c>
      <c r="C12" s="1" t="s">
        <v>49</v>
      </c>
      <c r="D12" s="1" t="s">
        <v>50</v>
      </c>
      <c r="E12" s="2" t="s">
        <v>51</v>
      </c>
      <c r="F12" s="2" t="s">
        <v>52</v>
      </c>
      <c r="G12" s="2" t="s">
        <v>41</v>
      </c>
      <c r="H12" s="2" t="s">
        <v>32</v>
      </c>
      <c r="I12" s="1">
        <v>0</v>
      </c>
      <c r="J12" s="3" t="s">
        <v>18</v>
      </c>
      <c r="K12" s="2" t="str">
        <f>J12*237.00</f>
        <v>0</v>
      </c>
      <c r="L12" s="5"/>
    </row>
    <row r="13" spans="1:12" customHeight="1" ht="105" outlineLevel="4">
      <c r="A13" s="1"/>
      <c r="B13" s="1">
        <v>819270</v>
      </c>
      <c r="C13" s="1" t="s">
        <v>53</v>
      </c>
      <c r="D13" s="1" t="s">
        <v>54</v>
      </c>
      <c r="E13" s="2" t="s">
        <v>55</v>
      </c>
      <c r="F13" s="2" t="s">
        <v>56</v>
      </c>
      <c r="G13" s="2">
        <v>0</v>
      </c>
      <c r="H13" s="2" t="s">
        <v>17</v>
      </c>
      <c r="I13" s="1">
        <v>0</v>
      </c>
      <c r="J13" s="3" t="s">
        <v>18</v>
      </c>
      <c r="K13" s="2" t="str">
        <f>J13*289.00</f>
        <v>0</v>
      </c>
      <c r="L13" s="5"/>
    </row>
    <row r="14" spans="1:12" customHeight="1" ht="105" outlineLevel="4">
      <c r="A14" s="1"/>
      <c r="B14" s="1">
        <v>819271</v>
      </c>
      <c r="C14" s="1" t="s">
        <v>57</v>
      </c>
      <c r="D14" s="1" t="s">
        <v>58</v>
      </c>
      <c r="E14" s="2" t="s">
        <v>59</v>
      </c>
      <c r="F14" s="2" t="s">
        <v>60</v>
      </c>
      <c r="G14" s="2" t="s">
        <v>41</v>
      </c>
      <c r="H14" s="2" t="s">
        <v>17</v>
      </c>
      <c r="I14" s="1">
        <v>0</v>
      </c>
      <c r="J14" s="3" t="s">
        <v>18</v>
      </c>
      <c r="K14" s="2" t="str">
        <f>J14*163.00</f>
        <v>0</v>
      </c>
      <c r="L14" s="5"/>
    </row>
    <row r="15" spans="1:12" customHeight="1" ht="105" outlineLevel="4">
      <c r="A15" s="1"/>
      <c r="B15" s="1">
        <v>824500</v>
      </c>
      <c r="C15" s="1" t="s">
        <v>61</v>
      </c>
      <c r="D15" s="1" t="s">
        <v>62</v>
      </c>
      <c r="E15" s="2" t="s">
        <v>63</v>
      </c>
      <c r="F15" s="2" t="s">
        <v>16</v>
      </c>
      <c r="G15" s="2">
        <v>0</v>
      </c>
      <c r="H15" s="2">
        <v>0</v>
      </c>
      <c r="I15" s="1">
        <v>0</v>
      </c>
      <c r="J15" s="3" t="s">
        <v>18</v>
      </c>
      <c r="K15" s="2" t="str">
        <f>J15*315.00</f>
        <v>0</v>
      </c>
      <c r="L15" s="5"/>
    </row>
    <row r="16" spans="1:12" customHeight="1" ht="105" outlineLevel="4">
      <c r="A16" s="1"/>
      <c r="B16" s="1">
        <v>825462</v>
      </c>
      <c r="C16" s="1" t="s">
        <v>64</v>
      </c>
      <c r="D16" s="1" t="s">
        <v>65</v>
      </c>
      <c r="E16" s="2" t="s">
        <v>63</v>
      </c>
      <c r="F16" s="2" t="s">
        <v>22</v>
      </c>
      <c r="G16" s="2">
        <v>5</v>
      </c>
      <c r="H16" s="2">
        <v>0</v>
      </c>
      <c r="I16" s="1">
        <v>0</v>
      </c>
      <c r="J16" s="3" t="s">
        <v>18</v>
      </c>
      <c r="K16" s="2" t="str">
        <f>J16*207.00</f>
        <v>0</v>
      </c>
      <c r="L16" s="5"/>
    </row>
    <row r="17" spans="1:12" customHeight="1" ht="105" outlineLevel="4">
      <c r="A17" s="1"/>
      <c r="B17" s="1">
        <v>825463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7</v>
      </c>
      <c r="H17" s="2" t="s">
        <v>48</v>
      </c>
      <c r="I17" s="1">
        <v>0</v>
      </c>
      <c r="J17" s="3" t="s">
        <v>18</v>
      </c>
      <c r="K17" s="2" t="str">
        <f>J17*356.00</f>
        <v>0</v>
      </c>
      <c r="L17" s="5"/>
    </row>
    <row r="18" spans="1:12" customHeight="1" ht="105" outlineLevel="4">
      <c r="A18" s="1"/>
      <c r="B18" s="1">
        <v>877717</v>
      </c>
      <c r="C18" s="1" t="s">
        <v>70</v>
      </c>
      <c r="D18" s="1" t="s">
        <v>71</v>
      </c>
      <c r="E18" s="2" t="s">
        <v>68</v>
      </c>
      <c r="F18" s="2" t="s">
        <v>72</v>
      </c>
      <c r="G18" s="2" t="s">
        <v>23</v>
      </c>
      <c r="H18" s="2" t="s">
        <v>32</v>
      </c>
      <c r="I18" s="1">
        <v>0</v>
      </c>
      <c r="J18" s="3" t="s">
        <v>18</v>
      </c>
      <c r="K18" s="2" t="str">
        <f>J18*250.00</f>
        <v>0</v>
      </c>
      <c r="L18" s="5"/>
    </row>
    <row r="19" spans="1:12" outlineLevel="2">
      <c r="A19" s="8" t="s">
        <v>73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5"/>
    </row>
    <row r="20" spans="1:12" customHeight="1" ht="105" outlineLevel="4">
      <c r="A20" s="1"/>
      <c r="B20" s="1">
        <v>826747</v>
      </c>
      <c r="C20" s="1" t="s">
        <v>74</v>
      </c>
      <c r="D20" s="1" t="s">
        <v>75</v>
      </c>
      <c r="E20" s="2" t="s">
        <v>76</v>
      </c>
      <c r="F20" s="2" t="s">
        <v>77</v>
      </c>
      <c r="G20" s="2" t="s">
        <v>48</v>
      </c>
      <c r="H20" s="2">
        <v>0</v>
      </c>
      <c r="I20" s="1">
        <v>0</v>
      </c>
      <c r="J20" s="3" t="s">
        <v>18</v>
      </c>
      <c r="K20" s="2" t="str">
        <f>J20*157.68</f>
        <v>0</v>
      </c>
      <c r="L20" s="5"/>
    </row>
    <row r="21" spans="1:12" customHeight="1" ht="105" outlineLevel="4">
      <c r="A21" s="1"/>
      <c r="B21" s="1">
        <v>819272</v>
      </c>
      <c r="C21" s="1" t="s">
        <v>78</v>
      </c>
      <c r="D21" s="1" t="s">
        <v>79</v>
      </c>
      <c r="E21" s="2" t="s">
        <v>80</v>
      </c>
      <c r="F21" s="2" t="s">
        <v>81</v>
      </c>
      <c r="G21" s="2" t="s">
        <v>48</v>
      </c>
      <c r="H21" s="2">
        <v>0</v>
      </c>
      <c r="I21" s="1">
        <v>0</v>
      </c>
      <c r="J21" s="3" t="s">
        <v>18</v>
      </c>
      <c r="K21" s="2" t="str">
        <f>J21*136.85</f>
        <v>0</v>
      </c>
      <c r="L21" s="5"/>
    </row>
    <row r="22" spans="1:12" customHeight="1" ht="105" outlineLevel="4">
      <c r="A22" s="1"/>
      <c r="B22" s="1">
        <v>819273</v>
      </c>
      <c r="C22" s="1" t="s">
        <v>82</v>
      </c>
      <c r="D22" s="1" t="s">
        <v>83</v>
      </c>
      <c r="E22" s="2" t="s">
        <v>84</v>
      </c>
      <c r="F22" s="2" t="s">
        <v>85</v>
      </c>
      <c r="G22" s="2" t="s">
        <v>48</v>
      </c>
      <c r="H22" s="2">
        <v>0</v>
      </c>
      <c r="I22" s="1">
        <v>0</v>
      </c>
      <c r="J22" s="3" t="s">
        <v>18</v>
      </c>
      <c r="K22" s="2" t="str">
        <f>J22*150.24</f>
        <v>0</v>
      </c>
      <c r="L22" s="5"/>
    </row>
    <row r="23" spans="1:12" customHeight="1" ht="105" outlineLevel="4">
      <c r="A23" s="1"/>
      <c r="B23" s="1">
        <v>834442</v>
      </c>
      <c r="C23" s="1" t="s">
        <v>86</v>
      </c>
      <c r="D23" s="1" t="s">
        <v>87</v>
      </c>
      <c r="E23" s="2" t="s">
        <v>88</v>
      </c>
      <c r="F23" s="2" t="s">
        <v>89</v>
      </c>
      <c r="G23" s="2" t="s">
        <v>48</v>
      </c>
      <c r="H23" s="2">
        <v>0</v>
      </c>
      <c r="I23" s="1">
        <v>0</v>
      </c>
      <c r="J23" s="3" t="s">
        <v>18</v>
      </c>
      <c r="K23" s="2" t="str">
        <f>J23*127.93</f>
        <v>0</v>
      </c>
      <c r="L23" s="5"/>
    </row>
    <row r="24" spans="1:12" customHeight="1" ht="105" outlineLevel="4">
      <c r="A24" s="1"/>
      <c r="B24" s="1">
        <v>834443</v>
      </c>
      <c r="C24" s="1" t="s">
        <v>90</v>
      </c>
      <c r="D24" s="1" t="s">
        <v>91</v>
      </c>
      <c r="E24" s="2" t="s">
        <v>92</v>
      </c>
      <c r="F24" s="2" t="s">
        <v>93</v>
      </c>
      <c r="G24" s="2" t="s">
        <v>48</v>
      </c>
      <c r="H24" s="2">
        <v>0</v>
      </c>
      <c r="I24" s="1">
        <v>0</v>
      </c>
      <c r="J24" s="3" t="s">
        <v>18</v>
      </c>
      <c r="K24" s="2" t="str">
        <f>J24*113.05</f>
        <v>0</v>
      </c>
      <c r="L24" s="5"/>
    </row>
    <row r="25" spans="1:12" customHeight="1" ht="105" outlineLevel="4">
      <c r="A25" s="1"/>
      <c r="B25" s="1">
        <v>836375</v>
      </c>
      <c r="C25" s="1" t="s">
        <v>94</v>
      </c>
      <c r="D25" s="1" t="s">
        <v>95</v>
      </c>
      <c r="E25" s="2" t="s">
        <v>96</v>
      </c>
      <c r="F25" s="2" t="s">
        <v>97</v>
      </c>
      <c r="G25" s="2" t="s">
        <v>47</v>
      </c>
      <c r="H25" s="2">
        <v>0</v>
      </c>
      <c r="I25" s="1">
        <v>0</v>
      </c>
      <c r="J25" s="3" t="s">
        <v>18</v>
      </c>
      <c r="K25" s="2" t="str">
        <f>J25*182.96</f>
        <v>0</v>
      </c>
      <c r="L25" s="5"/>
    </row>
    <row r="26" spans="1:12" customHeight="1" ht="105" outlineLevel="4">
      <c r="A26" s="1"/>
      <c r="B26" s="1">
        <v>836376</v>
      </c>
      <c r="C26" s="1" t="s">
        <v>98</v>
      </c>
      <c r="D26" s="1" t="s">
        <v>99</v>
      </c>
      <c r="E26" s="2" t="s">
        <v>100</v>
      </c>
      <c r="F26" s="2" t="s">
        <v>97</v>
      </c>
      <c r="G26" s="2" t="s">
        <v>48</v>
      </c>
      <c r="H26" s="2">
        <v>0</v>
      </c>
      <c r="I26" s="1">
        <v>0</v>
      </c>
      <c r="J26" s="3" t="s">
        <v>18</v>
      </c>
      <c r="K26" s="2" t="str">
        <f>J26*182.96</f>
        <v>0</v>
      </c>
      <c r="L26" s="5"/>
    </row>
    <row r="27" spans="1:12" customHeight="1" ht="105" outlineLevel="4">
      <c r="A27" s="1"/>
      <c r="B27" s="1">
        <v>836377</v>
      </c>
      <c r="C27" s="1" t="s">
        <v>101</v>
      </c>
      <c r="D27" s="1" t="s">
        <v>102</v>
      </c>
      <c r="E27" s="2" t="s">
        <v>103</v>
      </c>
      <c r="F27" s="2" t="s">
        <v>104</v>
      </c>
      <c r="G27" s="2" t="s">
        <v>48</v>
      </c>
      <c r="H27" s="2">
        <v>0</v>
      </c>
      <c r="I27" s="1">
        <v>0</v>
      </c>
      <c r="J27" s="3" t="s">
        <v>18</v>
      </c>
      <c r="K27" s="2" t="str">
        <f>J27*168.09</f>
        <v>0</v>
      </c>
      <c r="L27" s="5"/>
    </row>
    <row r="28" spans="1:12" customHeight="1" ht="105" outlineLevel="4">
      <c r="A28" s="1"/>
      <c r="B28" s="1">
        <v>834441</v>
      </c>
      <c r="C28" s="1" t="s">
        <v>105</v>
      </c>
      <c r="D28" s="1" t="s">
        <v>106</v>
      </c>
      <c r="E28" s="2" t="s">
        <v>107</v>
      </c>
      <c r="F28" s="2" t="s">
        <v>108</v>
      </c>
      <c r="G28" s="2" t="s">
        <v>23</v>
      </c>
      <c r="H28" s="2">
        <v>0</v>
      </c>
      <c r="I28" s="1">
        <v>0</v>
      </c>
      <c r="J28" s="3" t="s">
        <v>18</v>
      </c>
      <c r="K28" s="2" t="str">
        <f>J28*185.94</f>
        <v>0</v>
      </c>
      <c r="L28" s="5"/>
    </row>
    <row r="29" spans="1:12" outlineLevel="2">
      <c r="A29" s="8" t="s">
        <v>109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"/>
    </row>
    <row r="30" spans="1:12" customHeight="1" ht="105" outlineLevel="4">
      <c r="A30" s="1"/>
      <c r="B30" s="1">
        <v>835187</v>
      </c>
      <c r="C30" s="1" t="s">
        <v>110</v>
      </c>
      <c r="D30" s="1" t="s">
        <v>111</v>
      </c>
      <c r="E30" s="2" t="s">
        <v>112</v>
      </c>
      <c r="F30" s="2" t="s">
        <v>113</v>
      </c>
      <c r="G30" s="2" t="s">
        <v>48</v>
      </c>
      <c r="H30" s="2">
        <v>0</v>
      </c>
      <c r="I30" s="1">
        <v>0</v>
      </c>
      <c r="J30" s="3" t="s">
        <v>18</v>
      </c>
      <c r="K30" s="2" t="str">
        <f>J30*137.09</f>
        <v>0</v>
      </c>
      <c r="L30" s="5"/>
    </row>
    <row r="31" spans="1:12" customHeight="1" ht="105" outlineLevel="4">
      <c r="A31" s="1"/>
      <c r="B31" s="1">
        <v>873434</v>
      </c>
      <c r="C31" s="1" t="s">
        <v>114</v>
      </c>
      <c r="D31" s="1" t="s">
        <v>115</v>
      </c>
      <c r="E31" s="2" t="s">
        <v>116</v>
      </c>
      <c r="F31" s="2" t="s">
        <v>117</v>
      </c>
      <c r="G31" s="2" t="s">
        <v>48</v>
      </c>
      <c r="H31" s="2">
        <v>0</v>
      </c>
      <c r="I31" s="1">
        <v>0</v>
      </c>
      <c r="J31" s="3" t="s">
        <v>18</v>
      </c>
      <c r="K31" s="2" t="str">
        <f>J31*167.43</f>
        <v>0</v>
      </c>
      <c r="L31" s="5"/>
    </row>
    <row r="32" spans="1:12" customHeight="1" ht="105" outlineLevel="4">
      <c r="A32" s="1"/>
      <c r="B32" s="1">
        <v>873435</v>
      </c>
      <c r="C32" s="1" t="s">
        <v>118</v>
      </c>
      <c r="D32" s="1" t="s">
        <v>119</v>
      </c>
      <c r="E32" s="2" t="s">
        <v>120</v>
      </c>
      <c r="F32" s="2" t="s">
        <v>121</v>
      </c>
      <c r="G32" s="2" t="s">
        <v>47</v>
      </c>
      <c r="H32" s="2">
        <v>0</v>
      </c>
      <c r="I32" s="1">
        <v>0</v>
      </c>
      <c r="J32" s="3" t="s">
        <v>18</v>
      </c>
      <c r="K32" s="2" t="str">
        <f>J32*148.24</f>
        <v>0</v>
      </c>
      <c r="L32" s="5"/>
    </row>
    <row r="33" spans="1:12" outlineLevel="1">
      <c r="A33" s="7" t="s">
        <v>122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5"/>
    </row>
    <row r="34" spans="1:12" outlineLevel="2">
      <c r="A34" s="8" t="s">
        <v>123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5"/>
    </row>
    <row r="35" spans="1:12" outlineLevel="3">
      <c r="A35" s="9" t="s">
        <v>124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5"/>
    </row>
    <row r="36" spans="1:12" customHeight="1" ht="105" outlineLevel="5">
      <c r="A36" s="1"/>
      <c r="B36" s="1">
        <v>882284</v>
      </c>
      <c r="C36" s="1" t="s">
        <v>125</v>
      </c>
      <c r="D36" s="1" t="s">
        <v>126</v>
      </c>
      <c r="E36" s="2" t="s">
        <v>127</v>
      </c>
      <c r="F36" s="2" t="s">
        <v>128</v>
      </c>
      <c r="G36" s="2">
        <v>1</v>
      </c>
      <c r="H36" s="2">
        <v>0</v>
      </c>
      <c r="I36" s="1">
        <v>0</v>
      </c>
      <c r="J36" s="3" t="s">
        <v>18</v>
      </c>
      <c r="K36" s="2" t="str">
        <f>J36*3953.28</f>
        <v>0</v>
      </c>
      <c r="L36" s="5"/>
    </row>
    <row r="37" spans="1:12" customHeight="1" ht="105" outlineLevel="5">
      <c r="A37" s="1"/>
      <c r="B37" s="1">
        <v>882285</v>
      </c>
      <c r="C37" s="1" t="s">
        <v>129</v>
      </c>
      <c r="D37" s="1" t="s">
        <v>130</v>
      </c>
      <c r="E37" s="2" t="s">
        <v>131</v>
      </c>
      <c r="F37" s="2" t="s">
        <v>132</v>
      </c>
      <c r="G37" s="2">
        <v>4</v>
      </c>
      <c r="H37" s="2">
        <v>0</v>
      </c>
      <c r="I37" s="1">
        <v>0</v>
      </c>
      <c r="J37" s="3" t="s">
        <v>18</v>
      </c>
      <c r="K37" s="2" t="str">
        <f>J37*4911.48</f>
        <v>0</v>
      </c>
      <c r="L37" s="5"/>
    </row>
    <row r="38" spans="1:12" customHeight="1" ht="105" outlineLevel="5">
      <c r="A38" s="1"/>
      <c r="B38" s="1">
        <v>882286</v>
      </c>
      <c r="C38" s="1" t="s">
        <v>133</v>
      </c>
      <c r="D38" s="1" t="s">
        <v>134</v>
      </c>
      <c r="E38" s="2" t="s">
        <v>135</v>
      </c>
      <c r="F38" s="2" t="s">
        <v>136</v>
      </c>
      <c r="G38" s="2">
        <v>3</v>
      </c>
      <c r="H38" s="2">
        <v>0</v>
      </c>
      <c r="I38" s="1">
        <v>0</v>
      </c>
      <c r="J38" s="3" t="s">
        <v>18</v>
      </c>
      <c r="K38" s="2" t="str">
        <f>J38*5866.88</f>
        <v>0</v>
      </c>
      <c r="L38" s="5"/>
    </row>
    <row r="39" spans="1:12" customHeight="1" ht="105" outlineLevel="5">
      <c r="A39" s="1"/>
      <c r="B39" s="1">
        <v>882287</v>
      </c>
      <c r="C39" s="1" t="s">
        <v>137</v>
      </c>
      <c r="D39" s="1" t="s">
        <v>138</v>
      </c>
      <c r="E39" s="2" t="s">
        <v>139</v>
      </c>
      <c r="F39" s="2" t="s">
        <v>140</v>
      </c>
      <c r="G39" s="2">
        <v>4</v>
      </c>
      <c r="H39" s="2">
        <v>0</v>
      </c>
      <c r="I39" s="1">
        <v>0</v>
      </c>
      <c r="J39" s="3" t="s">
        <v>18</v>
      </c>
      <c r="K39" s="2" t="str">
        <f>J39*6861.51</f>
        <v>0</v>
      </c>
      <c r="L39" s="5"/>
    </row>
    <row r="40" spans="1:12" customHeight="1" ht="105" outlineLevel="5">
      <c r="A40" s="1"/>
      <c r="B40" s="1">
        <v>882288</v>
      </c>
      <c r="C40" s="1" t="s">
        <v>141</v>
      </c>
      <c r="D40" s="1" t="s">
        <v>142</v>
      </c>
      <c r="E40" s="2" t="s">
        <v>143</v>
      </c>
      <c r="F40" s="2" t="s">
        <v>144</v>
      </c>
      <c r="G40" s="2">
        <v>3</v>
      </c>
      <c r="H40" s="2">
        <v>0</v>
      </c>
      <c r="I40" s="1">
        <v>0</v>
      </c>
      <c r="J40" s="3" t="s">
        <v>18</v>
      </c>
      <c r="K40" s="2" t="str">
        <f>J40*7816.91</f>
        <v>0</v>
      </c>
      <c r="L40" s="5"/>
    </row>
    <row r="41" spans="1:12" customHeight="1" ht="105" outlineLevel="5">
      <c r="A41" s="1"/>
      <c r="B41" s="1">
        <v>882289</v>
      </c>
      <c r="C41" s="1" t="s">
        <v>145</v>
      </c>
      <c r="D41" s="1" t="s">
        <v>146</v>
      </c>
      <c r="E41" s="2" t="s">
        <v>147</v>
      </c>
      <c r="F41" s="2" t="s">
        <v>148</v>
      </c>
      <c r="G41" s="2">
        <v>2</v>
      </c>
      <c r="H41" s="2">
        <v>0</v>
      </c>
      <c r="I41" s="1">
        <v>0</v>
      </c>
      <c r="J41" s="3" t="s">
        <v>18</v>
      </c>
      <c r="K41" s="2" t="str">
        <f>J41*8984.30</f>
        <v>0</v>
      </c>
      <c r="L41" s="5"/>
    </row>
    <row r="42" spans="1:12" customHeight="1" ht="105" outlineLevel="5">
      <c r="A42" s="1"/>
      <c r="B42" s="1">
        <v>882290</v>
      </c>
      <c r="C42" s="1" t="s">
        <v>149</v>
      </c>
      <c r="D42" s="1" t="s">
        <v>150</v>
      </c>
      <c r="E42" s="2" t="s">
        <v>151</v>
      </c>
      <c r="F42" s="2" t="s">
        <v>152</v>
      </c>
      <c r="G42" s="2">
        <v>3</v>
      </c>
      <c r="H42" s="2">
        <v>0</v>
      </c>
      <c r="I42" s="1">
        <v>0</v>
      </c>
      <c r="J42" s="3" t="s">
        <v>18</v>
      </c>
      <c r="K42" s="2" t="str">
        <f>J42*10030.69</f>
        <v>0</v>
      </c>
      <c r="L42" s="5"/>
    </row>
    <row r="43" spans="1:12" customHeight="1" ht="105" outlineLevel="5">
      <c r="A43" s="1"/>
      <c r="B43" s="1">
        <v>882291</v>
      </c>
      <c r="C43" s="1" t="s">
        <v>153</v>
      </c>
      <c r="D43" s="1" t="s">
        <v>154</v>
      </c>
      <c r="E43" s="2" t="s">
        <v>155</v>
      </c>
      <c r="F43" s="2" t="s">
        <v>156</v>
      </c>
      <c r="G43" s="2">
        <v>2</v>
      </c>
      <c r="H43" s="2">
        <v>0</v>
      </c>
      <c r="I43" s="1">
        <v>0</v>
      </c>
      <c r="J43" s="3" t="s">
        <v>18</v>
      </c>
      <c r="K43" s="2" t="str">
        <f>J43*11216.56</f>
        <v>0</v>
      </c>
      <c r="L43" s="5"/>
    </row>
    <row r="44" spans="1:12" customHeight="1" ht="105" outlineLevel="5">
      <c r="A44" s="1"/>
      <c r="B44" s="1">
        <v>882292</v>
      </c>
      <c r="C44" s="1" t="s">
        <v>157</v>
      </c>
      <c r="D44" s="1" t="s">
        <v>158</v>
      </c>
      <c r="E44" s="2" t="s">
        <v>159</v>
      </c>
      <c r="F44" s="2" t="s">
        <v>160</v>
      </c>
      <c r="G44" s="2">
        <v>3</v>
      </c>
      <c r="H44" s="2">
        <v>0</v>
      </c>
      <c r="I44" s="1">
        <v>0</v>
      </c>
      <c r="J44" s="3" t="s">
        <v>18</v>
      </c>
      <c r="K44" s="2" t="str">
        <f>J44*12217.67</f>
        <v>0</v>
      </c>
      <c r="L44" s="5"/>
    </row>
    <row r="45" spans="1:12" customHeight="1" ht="105" outlineLevel="5">
      <c r="A45" s="1"/>
      <c r="B45" s="1">
        <v>882293</v>
      </c>
      <c r="C45" s="1" t="s">
        <v>161</v>
      </c>
      <c r="D45" s="1" t="s">
        <v>162</v>
      </c>
      <c r="E45" s="2" t="s">
        <v>163</v>
      </c>
      <c r="F45" s="2" t="s">
        <v>164</v>
      </c>
      <c r="G45" s="2">
        <v>4</v>
      </c>
      <c r="H45" s="2">
        <v>0</v>
      </c>
      <c r="I45" s="1">
        <v>0</v>
      </c>
      <c r="J45" s="3" t="s">
        <v>18</v>
      </c>
      <c r="K45" s="2" t="str">
        <f>J45*13203.97</f>
        <v>0</v>
      </c>
      <c r="L45" s="5"/>
    </row>
    <row r="46" spans="1:12" customHeight="1" ht="105" outlineLevel="5">
      <c r="A46" s="1"/>
      <c r="B46" s="1">
        <v>882294</v>
      </c>
      <c r="C46" s="1" t="s">
        <v>165</v>
      </c>
      <c r="D46" s="1" t="s">
        <v>166</v>
      </c>
      <c r="E46" s="2" t="s">
        <v>167</v>
      </c>
      <c r="F46" s="2" t="s">
        <v>168</v>
      </c>
      <c r="G46" s="2">
        <v>4</v>
      </c>
      <c r="H46" s="2">
        <v>0</v>
      </c>
      <c r="I46" s="1">
        <v>0</v>
      </c>
      <c r="J46" s="3" t="s">
        <v>18</v>
      </c>
      <c r="K46" s="2" t="str">
        <f>J46*14139.91</f>
        <v>0</v>
      </c>
      <c r="L46" s="5"/>
    </row>
    <row r="47" spans="1:12" outlineLevel="3">
      <c r="A47" s="9" t="s">
        <v>169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5"/>
    </row>
    <row r="48" spans="1:12" customHeight="1" ht="105" outlineLevel="5">
      <c r="A48" s="1"/>
      <c r="B48" s="1">
        <v>819275</v>
      </c>
      <c r="C48" s="1" t="s">
        <v>170</v>
      </c>
      <c r="D48" s="1" t="s">
        <v>171</v>
      </c>
      <c r="E48" s="2" t="s">
        <v>172</v>
      </c>
      <c r="F48" s="2" t="s">
        <v>173</v>
      </c>
      <c r="G48" s="2">
        <v>0</v>
      </c>
      <c r="H48" s="2" t="s">
        <v>47</v>
      </c>
      <c r="I48" s="1">
        <v>0</v>
      </c>
      <c r="J48" s="3" t="s">
        <v>18</v>
      </c>
      <c r="K48" s="2" t="str">
        <f>J48*9028.00</f>
        <v>0</v>
      </c>
      <c r="L48" s="5"/>
    </row>
    <row r="49" spans="1:12" customHeight="1" ht="105" outlineLevel="5">
      <c r="A49" s="1"/>
      <c r="B49" s="1">
        <v>819276</v>
      </c>
      <c r="C49" s="1" t="s">
        <v>174</v>
      </c>
      <c r="D49" s="1" t="s">
        <v>175</v>
      </c>
      <c r="E49" s="2" t="s">
        <v>176</v>
      </c>
      <c r="F49" s="2" t="s">
        <v>177</v>
      </c>
      <c r="G49" s="2">
        <v>0</v>
      </c>
      <c r="H49" s="2" t="s">
        <v>47</v>
      </c>
      <c r="I49" s="1">
        <v>0</v>
      </c>
      <c r="J49" s="3" t="s">
        <v>18</v>
      </c>
      <c r="K49" s="2" t="str">
        <f>J49*10818.00</f>
        <v>0</v>
      </c>
      <c r="L49" s="5"/>
    </row>
    <row r="50" spans="1:12" customHeight="1" ht="105" outlineLevel="5">
      <c r="A50" s="1"/>
      <c r="B50" s="1">
        <v>819277</v>
      </c>
      <c r="C50" s="1" t="s">
        <v>178</v>
      </c>
      <c r="D50" s="1" t="s">
        <v>179</v>
      </c>
      <c r="E50" s="2" t="s">
        <v>180</v>
      </c>
      <c r="F50" s="2" t="s">
        <v>181</v>
      </c>
      <c r="G50" s="2">
        <v>0</v>
      </c>
      <c r="H50" s="2" t="s">
        <v>23</v>
      </c>
      <c r="I50" s="1">
        <v>0</v>
      </c>
      <c r="J50" s="3" t="s">
        <v>18</v>
      </c>
      <c r="K50" s="2" t="str">
        <f>J50*11454.00</f>
        <v>0</v>
      </c>
      <c r="L50" s="5"/>
    </row>
    <row r="51" spans="1:12" customHeight="1" ht="105" outlineLevel="5">
      <c r="A51" s="1"/>
      <c r="B51" s="1">
        <v>819278</v>
      </c>
      <c r="C51" s="1" t="s">
        <v>182</v>
      </c>
      <c r="D51" s="1" t="s">
        <v>183</v>
      </c>
      <c r="E51" s="2" t="s">
        <v>184</v>
      </c>
      <c r="F51" s="2" t="s">
        <v>185</v>
      </c>
      <c r="G51" s="2">
        <v>0</v>
      </c>
      <c r="H51" s="2" t="s">
        <v>47</v>
      </c>
      <c r="I51" s="1">
        <v>0</v>
      </c>
      <c r="J51" s="3" t="s">
        <v>18</v>
      </c>
      <c r="K51" s="2" t="str">
        <f>J51*15110.00</f>
        <v>0</v>
      </c>
      <c r="L51" s="5"/>
    </row>
    <row r="52" spans="1:12" customHeight="1" ht="105" outlineLevel="5">
      <c r="A52" s="1"/>
      <c r="B52" s="1">
        <v>819279</v>
      </c>
      <c r="C52" s="1" t="s">
        <v>186</v>
      </c>
      <c r="D52" s="1" t="s">
        <v>187</v>
      </c>
      <c r="E52" s="2" t="s">
        <v>188</v>
      </c>
      <c r="F52" s="2" t="s">
        <v>189</v>
      </c>
      <c r="G52" s="2">
        <v>1</v>
      </c>
      <c r="H52" s="2" t="s">
        <v>47</v>
      </c>
      <c r="I52" s="1">
        <v>0</v>
      </c>
      <c r="J52" s="3" t="s">
        <v>18</v>
      </c>
      <c r="K52" s="2" t="str">
        <f>J52*15669.00</f>
        <v>0</v>
      </c>
      <c r="L52" s="5"/>
    </row>
    <row r="53" spans="1:12" customHeight="1" ht="105" outlineLevel="5">
      <c r="A53" s="1"/>
      <c r="B53" s="1">
        <v>819280</v>
      </c>
      <c r="C53" s="1" t="s">
        <v>190</v>
      </c>
      <c r="D53" s="1" t="s">
        <v>191</v>
      </c>
      <c r="E53" s="2" t="s">
        <v>192</v>
      </c>
      <c r="F53" s="2" t="s">
        <v>193</v>
      </c>
      <c r="G53" s="2">
        <v>1</v>
      </c>
      <c r="H53" s="2" t="s">
        <v>47</v>
      </c>
      <c r="I53" s="1">
        <v>0</v>
      </c>
      <c r="J53" s="3" t="s">
        <v>18</v>
      </c>
      <c r="K53" s="2" t="str">
        <f>J53*17915.00</f>
        <v>0</v>
      </c>
      <c r="L53" s="5"/>
    </row>
    <row r="54" spans="1:12" customHeight="1" ht="105" outlineLevel="5">
      <c r="A54" s="1"/>
      <c r="B54" s="1">
        <v>819281</v>
      </c>
      <c r="C54" s="1" t="s">
        <v>194</v>
      </c>
      <c r="D54" s="1" t="s">
        <v>195</v>
      </c>
      <c r="E54" s="2" t="s">
        <v>196</v>
      </c>
      <c r="F54" s="2" t="s">
        <v>197</v>
      </c>
      <c r="G54" s="2">
        <v>0</v>
      </c>
      <c r="H54" s="2">
        <v>8</v>
      </c>
      <c r="I54" s="1">
        <v>0</v>
      </c>
      <c r="J54" s="3" t="s">
        <v>18</v>
      </c>
      <c r="K54" s="2" t="str">
        <f>J54*20197.00</f>
        <v>0</v>
      </c>
      <c r="L54" s="5"/>
    </row>
    <row r="55" spans="1:12" customHeight="1" ht="105" outlineLevel="5">
      <c r="A55" s="1"/>
      <c r="B55" s="1">
        <v>819282</v>
      </c>
      <c r="C55" s="1" t="s">
        <v>198</v>
      </c>
      <c r="D55" s="1" t="s">
        <v>199</v>
      </c>
      <c r="E55" s="2" t="s">
        <v>200</v>
      </c>
      <c r="F55" s="2" t="s">
        <v>201</v>
      </c>
      <c r="G55" s="2">
        <v>0</v>
      </c>
      <c r="H55" s="2" t="s">
        <v>47</v>
      </c>
      <c r="I55" s="1">
        <v>0</v>
      </c>
      <c r="J55" s="3" t="s">
        <v>18</v>
      </c>
      <c r="K55" s="2" t="str">
        <f>J55*22265.00</f>
        <v>0</v>
      </c>
      <c r="L55" s="5"/>
    </row>
    <row r="56" spans="1:12" customHeight="1" ht="105" outlineLevel="5">
      <c r="A56" s="1"/>
      <c r="B56" s="1">
        <v>819305</v>
      </c>
      <c r="C56" s="1" t="s">
        <v>202</v>
      </c>
      <c r="D56" s="1" t="s">
        <v>203</v>
      </c>
      <c r="E56" s="2" t="s">
        <v>204</v>
      </c>
      <c r="F56" s="2" t="s">
        <v>205</v>
      </c>
      <c r="G56" s="2">
        <v>0</v>
      </c>
      <c r="H56" s="2">
        <v>8</v>
      </c>
      <c r="I56" s="1">
        <v>0</v>
      </c>
      <c r="J56" s="3" t="s">
        <v>18</v>
      </c>
      <c r="K56" s="2" t="str">
        <f>J56*27009.00</f>
        <v>0</v>
      </c>
      <c r="L56" s="5"/>
    </row>
    <row r="57" spans="1:12" customHeight="1" ht="105" outlineLevel="5">
      <c r="A57" s="1"/>
      <c r="B57" s="1">
        <v>819307</v>
      </c>
      <c r="C57" s="1" t="s">
        <v>206</v>
      </c>
      <c r="D57" s="1" t="s">
        <v>207</v>
      </c>
      <c r="E57" s="2" t="s">
        <v>208</v>
      </c>
      <c r="F57" s="2" t="s">
        <v>209</v>
      </c>
      <c r="G57" s="2">
        <v>0</v>
      </c>
      <c r="H57" s="2">
        <v>3</v>
      </c>
      <c r="I57" s="1">
        <v>0</v>
      </c>
      <c r="J57" s="3" t="s">
        <v>18</v>
      </c>
      <c r="K57" s="2" t="str">
        <f>J57*34710.00</f>
        <v>0</v>
      </c>
      <c r="L57" s="5"/>
    </row>
    <row r="58" spans="1:12" customHeight="1" ht="105" outlineLevel="5">
      <c r="A58" s="1"/>
      <c r="B58" s="1">
        <v>819309</v>
      </c>
      <c r="C58" s="1" t="s">
        <v>210</v>
      </c>
      <c r="D58" s="1" t="s">
        <v>211</v>
      </c>
      <c r="E58" s="2" t="s">
        <v>212</v>
      </c>
      <c r="F58" s="2" t="s">
        <v>213</v>
      </c>
      <c r="G58" s="2">
        <v>0</v>
      </c>
      <c r="H58" s="2">
        <v>7</v>
      </c>
      <c r="I58" s="1">
        <v>0</v>
      </c>
      <c r="J58" s="3" t="s">
        <v>18</v>
      </c>
      <c r="K58" s="2" t="str">
        <f>J58*38731.00</f>
        <v>0</v>
      </c>
      <c r="L58" s="5"/>
    </row>
    <row r="59" spans="1:12" customHeight="1" ht="105" outlineLevel="5">
      <c r="A59" s="1"/>
      <c r="B59" s="1">
        <v>825466</v>
      </c>
      <c r="C59" s="1" t="s">
        <v>214</v>
      </c>
      <c r="D59" s="1" t="s">
        <v>215</v>
      </c>
      <c r="E59" s="2" t="s">
        <v>216</v>
      </c>
      <c r="F59" s="2" t="s">
        <v>217</v>
      </c>
      <c r="G59" s="2">
        <v>0</v>
      </c>
      <c r="H59" s="2">
        <v>10</v>
      </c>
      <c r="I59" s="1">
        <v>0</v>
      </c>
      <c r="J59" s="3" t="s">
        <v>18</v>
      </c>
      <c r="K59" s="2" t="str">
        <f>J59*9129.00</f>
        <v>0</v>
      </c>
      <c r="L59" s="5"/>
    </row>
    <row r="60" spans="1:12" customHeight="1" ht="105" outlineLevel="5">
      <c r="A60" s="1"/>
      <c r="B60" s="1">
        <v>825467</v>
      </c>
      <c r="C60" s="1" t="s">
        <v>218</v>
      </c>
      <c r="D60" s="1" t="s">
        <v>219</v>
      </c>
      <c r="E60" s="2" t="s">
        <v>220</v>
      </c>
      <c r="F60" s="2" t="s">
        <v>221</v>
      </c>
      <c r="G60" s="2">
        <v>0</v>
      </c>
      <c r="H60" s="2" t="s">
        <v>47</v>
      </c>
      <c r="I60" s="1">
        <v>0</v>
      </c>
      <c r="J60" s="3" t="s">
        <v>18</v>
      </c>
      <c r="K60" s="2" t="str">
        <f>J60*11200.00</f>
        <v>0</v>
      </c>
      <c r="L60" s="5"/>
    </row>
    <row r="61" spans="1:12" outlineLevel="3">
      <c r="A61" s="9" t="s">
        <v>222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5"/>
    </row>
    <row r="62" spans="1:12" customHeight="1" ht="105" outlineLevel="5">
      <c r="A62" s="1"/>
      <c r="B62" s="1">
        <v>825252</v>
      </c>
      <c r="C62" s="1" t="s">
        <v>223</v>
      </c>
      <c r="D62" s="1" t="s">
        <v>224</v>
      </c>
      <c r="E62" s="2" t="s">
        <v>225</v>
      </c>
      <c r="F62" s="2" t="s">
        <v>226</v>
      </c>
      <c r="G62" s="2">
        <v>2</v>
      </c>
      <c r="H62" s="2">
        <v>0</v>
      </c>
      <c r="I62" s="1">
        <v>0</v>
      </c>
      <c r="J62" s="3" t="s">
        <v>18</v>
      </c>
      <c r="K62" s="2" t="str">
        <f>J62*5117.00</f>
        <v>0</v>
      </c>
      <c r="L62" s="5"/>
    </row>
    <row r="63" spans="1:12" customHeight="1" ht="105" outlineLevel="5">
      <c r="A63" s="1"/>
      <c r="B63" s="1">
        <v>825253</v>
      </c>
      <c r="C63" s="1" t="s">
        <v>227</v>
      </c>
      <c r="D63" s="1" t="s">
        <v>228</v>
      </c>
      <c r="E63" s="2" t="s">
        <v>229</v>
      </c>
      <c r="F63" s="2" t="s">
        <v>230</v>
      </c>
      <c r="G63" s="2">
        <v>0</v>
      </c>
      <c r="H63" s="2">
        <v>0</v>
      </c>
      <c r="I63" s="1">
        <v>0</v>
      </c>
      <c r="J63" s="3" t="s">
        <v>18</v>
      </c>
      <c r="K63" s="2" t="str">
        <f>J63*5926.20</f>
        <v>0</v>
      </c>
      <c r="L63" s="5"/>
    </row>
    <row r="64" spans="1:12" customHeight="1" ht="105" outlineLevel="5">
      <c r="A64" s="1"/>
      <c r="B64" s="1">
        <v>825254</v>
      </c>
      <c r="C64" s="1" t="s">
        <v>231</v>
      </c>
      <c r="D64" s="1" t="s">
        <v>232</v>
      </c>
      <c r="E64" s="2" t="s">
        <v>233</v>
      </c>
      <c r="F64" s="2" t="s">
        <v>234</v>
      </c>
      <c r="G64" s="2">
        <v>0</v>
      </c>
      <c r="H64" s="2">
        <v>0</v>
      </c>
      <c r="I64" s="1">
        <v>0</v>
      </c>
      <c r="J64" s="3" t="s">
        <v>18</v>
      </c>
      <c r="K64" s="2" t="str">
        <f>J64*6736.89</f>
        <v>0</v>
      </c>
      <c r="L64" s="5"/>
    </row>
    <row r="65" spans="1:12" customHeight="1" ht="105" outlineLevel="5">
      <c r="A65" s="1"/>
      <c r="B65" s="1">
        <v>825255</v>
      </c>
      <c r="C65" s="1" t="s">
        <v>235</v>
      </c>
      <c r="D65" s="1" t="s">
        <v>236</v>
      </c>
      <c r="E65" s="2" t="s">
        <v>237</v>
      </c>
      <c r="F65" s="2" t="s">
        <v>238</v>
      </c>
      <c r="G65" s="2">
        <v>0</v>
      </c>
      <c r="H65" s="2">
        <v>0</v>
      </c>
      <c r="I65" s="1">
        <v>0</v>
      </c>
      <c r="J65" s="3" t="s">
        <v>18</v>
      </c>
      <c r="K65" s="2" t="str">
        <f>J65*7552.04</f>
        <v>0</v>
      </c>
      <c r="L65" s="5"/>
    </row>
    <row r="66" spans="1:12" customHeight="1" ht="105" outlineLevel="5">
      <c r="A66" s="1"/>
      <c r="B66" s="1">
        <v>825256</v>
      </c>
      <c r="C66" s="1" t="s">
        <v>239</v>
      </c>
      <c r="D66" s="1" t="s">
        <v>240</v>
      </c>
      <c r="E66" s="2" t="s">
        <v>241</v>
      </c>
      <c r="F66" s="2" t="s">
        <v>242</v>
      </c>
      <c r="G66" s="2">
        <v>1</v>
      </c>
      <c r="H66" s="2">
        <v>0</v>
      </c>
      <c r="I66" s="1">
        <v>0</v>
      </c>
      <c r="J66" s="3" t="s">
        <v>18</v>
      </c>
      <c r="K66" s="2" t="str">
        <f>J66*8361.24</f>
        <v>0</v>
      </c>
      <c r="L66" s="5"/>
    </row>
    <row r="67" spans="1:12" customHeight="1" ht="105" outlineLevel="5">
      <c r="A67" s="1"/>
      <c r="B67" s="1">
        <v>825257</v>
      </c>
      <c r="C67" s="1" t="s">
        <v>243</v>
      </c>
      <c r="D67" s="1" t="s">
        <v>244</v>
      </c>
      <c r="E67" s="2" t="s">
        <v>245</v>
      </c>
      <c r="F67" s="2" t="s">
        <v>246</v>
      </c>
      <c r="G67" s="2">
        <v>1</v>
      </c>
      <c r="H67" s="2">
        <v>0</v>
      </c>
      <c r="I67" s="1">
        <v>0</v>
      </c>
      <c r="J67" s="3" t="s">
        <v>18</v>
      </c>
      <c r="K67" s="2" t="str">
        <f>J67*9168.95</f>
        <v>0</v>
      </c>
      <c r="L67" s="5"/>
    </row>
    <row r="68" spans="1:12" customHeight="1" ht="105" outlineLevel="5">
      <c r="A68" s="1"/>
      <c r="B68" s="1">
        <v>825258</v>
      </c>
      <c r="C68" s="1" t="s">
        <v>247</v>
      </c>
      <c r="D68" s="1" t="s">
        <v>248</v>
      </c>
      <c r="E68" s="2" t="s">
        <v>249</v>
      </c>
      <c r="F68" s="2" t="s">
        <v>250</v>
      </c>
      <c r="G68" s="2">
        <v>0</v>
      </c>
      <c r="H68" s="2">
        <v>0</v>
      </c>
      <c r="I68" s="1">
        <v>0</v>
      </c>
      <c r="J68" s="3" t="s">
        <v>18</v>
      </c>
      <c r="K68" s="2" t="str">
        <f>J68*9985.59</f>
        <v>0</v>
      </c>
      <c r="L68" s="5"/>
    </row>
    <row r="69" spans="1:12" customHeight="1" ht="105" outlineLevel="5">
      <c r="A69" s="1"/>
      <c r="B69" s="1">
        <v>825259</v>
      </c>
      <c r="C69" s="1" t="s">
        <v>251</v>
      </c>
      <c r="D69" s="1" t="s">
        <v>252</v>
      </c>
      <c r="E69" s="2" t="s">
        <v>253</v>
      </c>
      <c r="F69" s="2" t="s">
        <v>254</v>
      </c>
      <c r="G69" s="2">
        <v>0</v>
      </c>
      <c r="H69" s="2">
        <v>0</v>
      </c>
      <c r="I69" s="1">
        <v>0</v>
      </c>
      <c r="J69" s="3" t="s">
        <v>18</v>
      </c>
      <c r="K69" s="2" t="str">
        <f>J69*10889.99</f>
        <v>0</v>
      </c>
      <c r="L69" s="5"/>
    </row>
    <row r="70" spans="1:12" customHeight="1" ht="105" outlineLevel="5">
      <c r="A70" s="1"/>
      <c r="B70" s="1">
        <v>825260</v>
      </c>
      <c r="C70" s="1" t="s">
        <v>255</v>
      </c>
      <c r="D70" s="1" t="s">
        <v>256</v>
      </c>
      <c r="E70" s="2" t="s">
        <v>257</v>
      </c>
      <c r="F70" s="2" t="s">
        <v>258</v>
      </c>
      <c r="G70" s="2">
        <v>1</v>
      </c>
      <c r="H70" s="2">
        <v>0</v>
      </c>
      <c r="I70" s="1">
        <v>0</v>
      </c>
      <c r="J70" s="3" t="s">
        <v>18</v>
      </c>
      <c r="K70" s="2" t="str">
        <f>J70*11699.19</f>
        <v>0</v>
      </c>
      <c r="L70" s="5"/>
    </row>
    <row r="71" spans="1:12" customHeight="1" ht="105" outlineLevel="5">
      <c r="A71" s="1"/>
      <c r="B71" s="1">
        <v>825261</v>
      </c>
      <c r="C71" s="1" t="s">
        <v>259</v>
      </c>
      <c r="D71" s="1" t="s">
        <v>260</v>
      </c>
      <c r="E71" s="2" t="s">
        <v>261</v>
      </c>
      <c r="F71" s="2" t="s">
        <v>262</v>
      </c>
      <c r="G71" s="2">
        <v>2</v>
      </c>
      <c r="H71" s="2">
        <v>0</v>
      </c>
      <c r="I71" s="1">
        <v>0</v>
      </c>
      <c r="J71" s="3" t="s">
        <v>18</v>
      </c>
      <c r="K71" s="2" t="str">
        <f>J71*12518.80</f>
        <v>0</v>
      </c>
      <c r="L71" s="5"/>
    </row>
    <row r="72" spans="1:12" customHeight="1" ht="105" outlineLevel="5">
      <c r="A72" s="1"/>
      <c r="B72" s="1">
        <v>825262</v>
      </c>
      <c r="C72" s="1" t="s">
        <v>263</v>
      </c>
      <c r="D72" s="1" t="s">
        <v>264</v>
      </c>
      <c r="E72" s="2" t="s">
        <v>265</v>
      </c>
      <c r="F72" s="2" t="s">
        <v>266</v>
      </c>
      <c r="G72" s="2">
        <v>3</v>
      </c>
      <c r="H72" s="2">
        <v>0</v>
      </c>
      <c r="I72" s="1">
        <v>0</v>
      </c>
      <c r="J72" s="3" t="s">
        <v>18</v>
      </c>
      <c r="K72" s="2" t="str">
        <f>J72*13333.95</f>
        <v>0</v>
      </c>
      <c r="L72" s="5"/>
    </row>
    <row r="73" spans="1:12" outlineLevel="2">
      <c r="A73" s="8" t="s">
        <v>267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2" outlineLevel="3">
      <c r="A74" s="9" t="s">
        <v>268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5"/>
    </row>
    <row r="75" spans="1:12" customHeight="1" ht="105" outlineLevel="5">
      <c r="A75" s="1"/>
      <c r="B75" s="1">
        <v>819287</v>
      </c>
      <c r="C75" s="1" t="s">
        <v>269</v>
      </c>
      <c r="D75" s="1" t="s">
        <v>270</v>
      </c>
      <c r="E75" s="2" t="s">
        <v>271</v>
      </c>
      <c r="F75" s="2" t="s">
        <v>272</v>
      </c>
      <c r="G75" s="2">
        <v>2</v>
      </c>
      <c r="H75" s="2" t="s">
        <v>23</v>
      </c>
      <c r="I75" s="1">
        <v>0</v>
      </c>
      <c r="J75" s="3" t="s">
        <v>18</v>
      </c>
      <c r="K75" s="2" t="str">
        <f>J75*25719.00</f>
        <v>0</v>
      </c>
      <c r="L75" s="5"/>
    </row>
    <row r="76" spans="1:12" customHeight="1" ht="105" outlineLevel="5">
      <c r="A76" s="1"/>
      <c r="B76" s="1">
        <v>819301</v>
      </c>
      <c r="C76" s="1" t="s">
        <v>273</v>
      </c>
      <c r="D76" s="1" t="s">
        <v>274</v>
      </c>
      <c r="E76" s="2" t="s">
        <v>275</v>
      </c>
      <c r="F76" s="2" t="s">
        <v>276</v>
      </c>
      <c r="G76" s="2">
        <v>0</v>
      </c>
      <c r="H76" s="2">
        <v>0</v>
      </c>
      <c r="I76" s="1">
        <v>0</v>
      </c>
      <c r="J76" s="3" t="s">
        <v>18</v>
      </c>
      <c r="K76" s="2" t="str">
        <f>J76*20474.00</f>
        <v>0</v>
      </c>
      <c r="L76" s="5"/>
    </row>
    <row r="77" spans="1:12" customHeight="1" ht="105" outlineLevel="5">
      <c r="A77" s="1"/>
      <c r="B77" s="1">
        <v>819320</v>
      </c>
      <c r="C77" s="1" t="s">
        <v>277</v>
      </c>
      <c r="D77" s="1" t="s">
        <v>278</v>
      </c>
      <c r="E77" s="2" t="s">
        <v>279</v>
      </c>
      <c r="F77" s="2" t="s">
        <v>280</v>
      </c>
      <c r="G77" s="2">
        <v>0</v>
      </c>
      <c r="H77" s="2">
        <v>2</v>
      </c>
      <c r="I77" s="1">
        <v>0</v>
      </c>
      <c r="J77" s="3" t="s">
        <v>18</v>
      </c>
      <c r="K77" s="2" t="str">
        <f>J77*60839.00</f>
        <v>0</v>
      </c>
      <c r="L77" s="5"/>
    </row>
    <row r="78" spans="1:12" customHeight="1" ht="105" outlineLevel="5">
      <c r="A78" s="1"/>
      <c r="B78" s="1">
        <v>883773</v>
      </c>
      <c r="C78" s="1" t="s">
        <v>281</v>
      </c>
      <c r="D78" s="1" t="s">
        <v>282</v>
      </c>
      <c r="E78" s="2" t="s">
        <v>283</v>
      </c>
      <c r="F78" s="2" t="s">
        <v>284</v>
      </c>
      <c r="G78" s="2">
        <v>2</v>
      </c>
      <c r="H78" s="2" t="s">
        <v>48</v>
      </c>
      <c r="I78" s="1">
        <v>0</v>
      </c>
      <c r="J78" s="3" t="s">
        <v>18</v>
      </c>
      <c r="K78" s="2" t="str">
        <f>J78*6939.00</f>
        <v>0</v>
      </c>
      <c r="L78" s="5"/>
    </row>
    <row r="79" spans="1:12" customHeight="1" ht="105" outlineLevel="5">
      <c r="A79" s="1"/>
      <c r="B79" s="1">
        <v>883774</v>
      </c>
      <c r="C79" s="1" t="s">
        <v>285</v>
      </c>
      <c r="D79" s="1" t="s">
        <v>286</v>
      </c>
      <c r="E79" s="2" t="s">
        <v>287</v>
      </c>
      <c r="F79" s="2" t="s">
        <v>288</v>
      </c>
      <c r="G79" s="2">
        <v>2</v>
      </c>
      <c r="H79" s="2" t="s">
        <v>41</v>
      </c>
      <c r="I79" s="1">
        <v>0</v>
      </c>
      <c r="J79" s="3" t="s">
        <v>18</v>
      </c>
      <c r="K79" s="2" t="str">
        <f>J79*7939.00</f>
        <v>0</v>
      </c>
      <c r="L79" s="5"/>
    </row>
    <row r="80" spans="1:12" customHeight="1" ht="105" outlineLevel="5">
      <c r="A80" s="1"/>
      <c r="B80" s="1">
        <v>883775</v>
      </c>
      <c r="C80" s="1" t="s">
        <v>289</v>
      </c>
      <c r="D80" s="1" t="s">
        <v>290</v>
      </c>
      <c r="E80" s="2" t="s">
        <v>291</v>
      </c>
      <c r="F80" s="2" t="s">
        <v>292</v>
      </c>
      <c r="G80" s="2">
        <v>1</v>
      </c>
      <c r="H80" s="2" t="s">
        <v>41</v>
      </c>
      <c r="I80" s="1">
        <v>0</v>
      </c>
      <c r="J80" s="3" t="s">
        <v>18</v>
      </c>
      <c r="K80" s="2" t="str">
        <f>J80*9021.00</f>
        <v>0</v>
      </c>
      <c r="L80" s="5"/>
    </row>
    <row r="81" spans="1:12" customHeight="1" ht="105" outlineLevel="5">
      <c r="A81" s="1"/>
      <c r="B81" s="1">
        <v>883776</v>
      </c>
      <c r="C81" s="1" t="s">
        <v>293</v>
      </c>
      <c r="D81" s="1" t="s">
        <v>294</v>
      </c>
      <c r="E81" s="2" t="s">
        <v>295</v>
      </c>
      <c r="F81" s="2" t="s">
        <v>296</v>
      </c>
      <c r="G81" s="2">
        <v>1</v>
      </c>
      <c r="H81" s="2" t="s">
        <v>41</v>
      </c>
      <c r="I81" s="1">
        <v>0</v>
      </c>
      <c r="J81" s="3" t="s">
        <v>18</v>
      </c>
      <c r="K81" s="2" t="str">
        <f>J81*10161.00</f>
        <v>0</v>
      </c>
      <c r="L81" s="5"/>
    </row>
    <row r="82" spans="1:12" customHeight="1" ht="105" outlineLevel="5">
      <c r="A82" s="1"/>
      <c r="B82" s="1">
        <v>883777</v>
      </c>
      <c r="C82" s="1" t="s">
        <v>297</v>
      </c>
      <c r="D82" s="1" t="s">
        <v>298</v>
      </c>
      <c r="E82" s="2" t="s">
        <v>299</v>
      </c>
      <c r="F82" s="2" t="s">
        <v>300</v>
      </c>
      <c r="G82" s="2">
        <v>1</v>
      </c>
      <c r="H82" s="2" t="s">
        <v>23</v>
      </c>
      <c r="I82" s="1">
        <v>0</v>
      </c>
      <c r="J82" s="3" t="s">
        <v>18</v>
      </c>
      <c r="K82" s="2" t="str">
        <f>J82*11465.00</f>
        <v>0</v>
      </c>
      <c r="L82" s="5"/>
    </row>
    <row r="83" spans="1:12" customHeight="1" ht="105" outlineLevel="5">
      <c r="A83" s="1"/>
      <c r="B83" s="1">
        <v>883778</v>
      </c>
      <c r="C83" s="1" t="s">
        <v>301</v>
      </c>
      <c r="D83" s="1" t="s">
        <v>302</v>
      </c>
      <c r="E83" s="2" t="s">
        <v>303</v>
      </c>
      <c r="F83" s="2" t="s">
        <v>304</v>
      </c>
      <c r="G83" s="2">
        <v>3</v>
      </c>
      <c r="H83" s="2" t="s">
        <v>41</v>
      </c>
      <c r="I83" s="1">
        <v>0</v>
      </c>
      <c r="J83" s="3" t="s">
        <v>18</v>
      </c>
      <c r="K83" s="2" t="str">
        <f>J83*12858.00</f>
        <v>0</v>
      </c>
      <c r="L83" s="5"/>
    </row>
    <row r="84" spans="1:12" customHeight="1" ht="105" outlineLevel="5">
      <c r="A84" s="1"/>
      <c r="B84" s="1">
        <v>883779</v>
      </c>
      <c r="C84" s="1" t="s">
        <v>305</v>
      </c>
      <c r="D84" s="1" t="s">
        <v>306</v>
      </c>
      <c r="E84" s="2" t="s">
        <v>307</v>
      </c>
      <c r="F84" s="2" t="s">
        <v>308</v>
      </c>
      <c r="G84" s="2">
        <v>3</v>
      </c>
      <c r="H84" s="2" t="s">
        <v>47</v>
      </c>
      <c r="I84" s="1">
        <v>0</v>
      </c>
      <c r="J84" s="3" t="s">
        <v>18</v>
      </c>
      <c r="K84" s="2" t="str">
        <f>J84*13908.00</f>
        <v>0</v>
      </c>
      <c r="L84" s="5"/>
    </row>
    <row r="85" spans="1:12" customHeight="1" ht="105" outlineLevel="5">
      <c r="A85" s="1"/>
      <c r="B85" s="1">
        <v>883780</v>
      </c>
      <c r="C85" s="1" t="s">
        <v>309</v>
      </c>
      <c r="D85" s="1" t="s">
        <v>310</v>
      </c>
      <c r="E85" s="2" t="s">
        <v>311</v>
      </c>
      <c r="F85" s="2" t="s">
        <v>312</v>
      </c>
      <c r="G85" s="2">
        <v>3</v>
      </c>
      <c r="H85" s="2" t="s">
        <v>41</v>
      </c>
      <c r="I85" s="1">
        <v>0</v>
      </c>
      <c r="J85" s="3" t="s">
        <v>18</v>
      </c>
      <c r="K85" s="2" t="str">
        <f>J85*15068.00</f>
        <v>0</v>
      </c>
      <c r="L85" s="5"/>
    </row>
    <row r="86" spans="1:12" customHeight="1" ht="105" outlineLevel="5">
      <c r="A86" s="1"/>
      <c r="B86" s="1">
        <v>883781</v>
      </c>
      <c r="C86" s="1" t="s">
        <v>313</v>
      </c>
      <c r="D86" s="1" t="s">
        <v>314</v>
      </c>
      <c r="E86" s="2" t="s">
        <v>315</v>
      </c>
      <c r="F86" s="2" t="s">
        <v>316</v>
      </c>
      <c r="G86" s="2">
        <v>3</v>
      </c>
      <c r="H86" s="2" t="s">
        <v>47</v>
      </c>
      <c r="I86" s="1">
        <v>0</v>
      </c>
      <c r="J86" s="3" t="s">
        <v>18</v>
      </c>
      <c r="K86" s="2" t="str">
        <f>J86*16583.00</f>
        <v>0</v>
      </c>
      <c r="L86" s="5"/>
    </row>
    <row r="87" spans="1:12" customHeight="1" ht="105" outlineLevel="5">
      <c r="A87" s="1"/>
      <c r="B87" s="1">
        <v>883782</v>
      </c>
      <c r="C87" s="1" t="s">
        <v>317</v>
      </c>
      <c r="D87" s="1" t="s">
        <v>318</v>
      </c>
      <c r="E87" s="2" t="s">
        <v>319</v>
      </c>
      <c r="F87" s="2" t="s">
        <v>320</v>
      </c>
      <c r="G87" s="2">
        <v>3</v>
      </c>
      <c r="H87" s="2" t="s">
        <v>47</v>
      </c>
      <c r="I87" s="1">
        <v>0</v>
      </c>
      <c r="J87" s="3" t="s">
        <v>18</v>
      </c>
      <c r="K87" s="2" t="str">
        <f>J87*17784.00</f>
        <v>0</v>
      </c>
      <c r="L87" s="5"/>
    </row>
    <row r="88" spans="1:12" customHeight="1" ht="105" outlineLevel="5">
      <c r="A88" s="1"/>
      <c r="B88" s="1">
        <v>890079</v>
      </c>
      <c r="C88" s="1" t="s">
        <v>321</v>
      </c>
      <c r="D88" s="1" t="s">
        <v>322</v>
      </c>
      <c r="E88" s="2" t="s">
        <v>323</v>
      </c>
      <c r="F88" s="2" t="s">
        <v>324</v>
      </c>
      <c r="G88" s="2">
        <v>2</v>
      </c>
      <c r="H88" s="2" t="s">
        <v>47</v>
      </c>
      <c r="I88" s="1">
        <v>0</v>
      </c>
      <c r="J88" s="3" t="s">
        <v>18</v>
      </c>
      <c r="K88" s="2" t="str">
        <f>J88*5767.00</f>
        <v>0</v>
      </c>
      <c r="L88" s="5"/>
    </row>
    <row r="89" spans="1:12" outlineLevel="3">
      <c r="A89" s="9" t="s">
        <v>325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5"/>
    </row>
    <row r="90" spans="1:12" customHeight="1" ht="105" outlineLevel="5">
      <c r="A90" s="1"/>
      <c r="B90" s="1">
        <v>819322</v>
      </c>
      <c r="C90" s="1" t="s">
        <v>326</v>
      </c>
      <c r="D90" s="1" t="s">
        <v>327</v>
      </c>
      <c r="E90" s="2" t="s">
        <v>328</v>
      </c>
      <c r="F90" s="2" t="s">
        <v>329</v>
      </c>
      <c r="G90" s="2">
        <v>3</v>
      </c>
      <c r="H90" s="2">
        <v>0</v>
      </c>
      <c r="I90" s="1">
        <v>0</v>
      </c>
      <c r="J90" s="3" t="s">
        <v>18</v>
      </c>
      <c r="K90" s="2" t="str">
        <f>J90*5478.46</f>
        <v>0</v>
      </c>
      <c r="L90" s="5"/>
    </row>
    <row r="91" spans="1:12" customHeight="1" ht="105" outlineLevel="5">
      <c r="A91" s="1"/>
      <c r="B91" s="1">
        <v>819323</v>
      </c>
      <c r="C91" s="1" t="s">
        <v>330</v>
      </c>
      <c r="D91" s="1" t="s">
        <v>331</v>
      </c>
      <c r="E91" s="2" t="s">
        <v>332</v>
      </c>
      <c r="F91" s="2" t="s">
        <v>333</v>
      </c>
      <c r="G91" s="2">
        <v>0</v>
      </c>
      <c r="H91" s="2">
        <v>0</v>
      </c>
      <c r="I91" s="1">
        <v>0</v>
      </c>
      <c r="J91" s="3" t="s">
        <v>18</v>
      </c>
      <c r="K91" s="2" t="str">
        <f>J91*6397.74</f>
        <v>0</v>
      </c>
      <c r="L91" s="5"/>
    </row>
    <row r="92" spans="1:12" customHeight="1" ht="105" outlineLevel="5">
      <c r="A92" s="1"/>
      <c r="B92" s="1">
        <v>819324</v>
      </c>
      <c r="C92" s="1" t="s">
        <v>334</v>
      </c>
      <c r="D92" s="1" t="s">
        <v>335</v>
      </c>
      <c r="E92" s="2" t="s">
        <v>336</v>
      </c>
      <c r="F92" s="2" t="s">
        <v>337</v>
      </c>
      <c r="G92" s="2">
        <v>1</v>
      </c>
      <c r="H92" s="2">
        <v>0</v>
      </c>
      <c r="I92" s="1">
        <v>0</v>
      </c>
      <c r="J92" s="3" t="s">
        <v>18</v>
      </c>
      <c r="K92" s="2" t="str">
        <f>J92*7406.26</f>
        <v>0</v>
      </c>
      <c r="L92" s="5"/>
    </row>
    <row r="93" spans="1:12" customHeight="1" ht="105" outlineLevel="5">
      <c r="A93" s="1"/>
      <c r="B93" s="1">
        <v>819325</v>
      </c>
      <c r="C93" s="1" t="s">
        <v>338</v>
      </c>
      <c r="D93" s="1" t="s">
        <v>339</v>
      </c>
      <c r="E93" s="2" t="s">
        <v>340</v>
      </c>
      <c r="F93" s="2" t="s">
        <v>341</v>
      </c>
      <c r="G93" s="2">
        <v>0</v>
      </c>
      <c r="H93" s="2">
        <v>0</v>
      </c>
      <c r="I93" s="1">
        <v>0</v>
      </c>
      <c r="J93" s="3" t="s">
        <v>18</v>
      </c>
      <c r="K93" s="2" t="str">
        <f>J93*8411.81</f>
        <v>0</v>
      </c>
      <c r="L93" s="5"/>
    </row>
    <row r="94" spans="1:12" customHeight="1" ht="105" outlineLevel="5">
      <c r="A94" s="1"/>
      <c r="B94" s="1">
        <v>819326</v>
      </c>
      <c r="C94" s="1" t="s">
        <v>342</v>
      </c>
      <c r="D94" s="1" t="s">
        <v>343</v>
      </c>
      <c r="E94" s="2" t="s">
        <v>344</v>
      </c>
      <c r="F94" s="2" t="s">
        <v>345</v>
      </c>
      <c r="G94" s="2">
        <v>4</v>
      </c>
      <c r="H94" s="2">
        <v>0</v>
      </c>
      <c r="I94" s="1">
        <v>0</v>
      </c>
      <c r="J94" s="3" t="s">
        <v>18</v>
      </c>
      <c r="K94" s="2" t="str">
        <f>J94*9417.36</f>
        <v>0</v>
      </c>
      <c r="L94" s="5"/>
    </row>
    <row r="95" spans="1:12" customHeight="1" ht="105" outlineLevel="5">
      <c r="A95" s="1"/>
      <c r="B95" s="1">
        <v>819327</v>
      </c>
      <c r="C95" s="1" t="s">
        <v>346</v>
      </c>
      <c r="D95" s="1" t="s">
        <v>347</v>
      </c>
      <c r="E95" s="2" t="s">
        <v>348</v>
      </c>
      <c r="F95" s="2" t="s">
        <v>349</v>
      </c>
      <c r="G95" s="2">
        <v>0</v>
      </c>
      <c r="H95" s="2">
        <v>0</v>
      </c>
      <c r="I95" s="1">
        <v>0</v>
      </c>
      <c r="J95" s="3" t="s">
        <v>18</v>
      </c>
      <c r="K95" s="2" t="str">
        <f>J95*10315.81</f>
        <v>0</v>
      </c>
      <c r="L95" s="5"/>
    </row>
    <row r="96" spans="1:12" customHeight="1" ht="105" outlineLevel="5">
      <c r="A96" s="1"/>
      <c r="B96" s="1">
        <v>819328</v>
      </c>
      <c r="C96" s="1" t="s">
        <v>350</v>
      </c>
      <c r="D96" s="1" t="s">
        <v>351</v>
      </c>
      <c r="E96" s="2" t="s">
        <v>352</v>
      </c>
      <c r="F96" s="2" t="s">
        <v>353</v>
      </c>
      <c r="G96" s="2">
        <v>0</v>
      </c>
      <c r="H96" s="2">
        <v>0</v>
      </c>
      <c r="I96" s="1">
        <v>0</v>
      </c>
      <c r="J96" s="3" t="s">
        <v>18</v>
      </c>
      <c r="K96" s="2" t="str">
        <f>J96*11212.78</f>
        <v>0</v>
      </c>
      <c r="L96" s="5"/>
    </row>
    <row r="97" spans="1:12" customHeight="1" ht="105" outlineLevel="5">
      <c r="A97" s="1"/>
      <c r="B97" s="1">
        <v>819329</v>
      </c>
      <c r="C97" s="1" t="s">
        <v>354</v>
      </c>
      <c r="D97" s="1" t="s">
        <v>355</v>
      </c>
      <c r="E97" s="2" t="s">
        <v>356</v>
      </c>
      <c r="F97" s="2" t="s">
        <v>357</v>
      </c>
      <c r="G97" s="2">
        <v>4</v>
      </c>
      <c r="H97" s="2">
        <v>0</v>
      </c>
      <c r="I97" s="1">
        <v>0</v>
      </c>
      <c r="J97" s="3" t="s">
        <v>18</v>
      </c>
      <c r="K97" s="2" t="str">
        <f>J97*12292.70</f>
        <v>0</v>
      </c>
      <c r="L97" s="5"/>
    </row>
    <row r="98" spans="1:12" customHeight="1" ht="105" outlineLevel="5">
      <c r="A98" s="1"/>
      <c r="B98" s="1">
        <v>819330</v>
      </c>
      <c r="C98" s="1" t="s">
        <v>358</v>
      </c>
      <c r="D98" s="1" t="s">
        <v>359</v>
      </c>
      <c r="E98" s="2" t="s">
        <v>360</v>
      </c>
      <c r="F98" s="2" t="s">
        <v>361</v>
      </c>
      <c r="G98" s="2">
        <v>2</v>
      </c>
      <c r="H98" s="2">
        <v>0</v>
      </c>
      <c r="I98" s="1">
        <v>0</v>
      </c>
      <c r="J98" s="3" t="s">
        <v>18</v>
      </c>
      <c r="K98" s="2" t="str">
        <f>J98*13335.44</f>
        <v>0</v>
      </c>
      <c r="L98" s="5"/>
    </row>
    <row r="99" spans="1:12" customHeight="1" ht="105" outlineLevel="5">
      <c r="A99" s="1"/>
      <c r="B99" s="1">
        <v>819331</v>
      </c>
      <c r="C99" s="1" t="s">
        <v>362</v>
      </c>
      <c r="D99" s="1" t="s">
        <v>363</v>
      </c>
      <c r="E99" s="2" t="s">
        <v>364</v>
      </c>
      <c r="F99" s="2" t="s">
        <v>365</v>
      </c>
      <c r="G99" s="2">
        <v>2</v>
      </c>
      <c r="H99" s="2">
        <v>0</v>
      </c>
      <c r="I99" s="1">
        <v>0</v>
      </c>
      <c r="J99" s="3" t="s">
        <v>18</v>
      </c>
      <c r="K99" s="2" t="str">
        <f>J99*14382.64</f>
        <v>0</v>
      </c>
      <c r="L99" s="5"/>
    </row>
    <row r="100" spans="1:12" customHeight="1" ht="105" outlineLevel="5">
      <c r="A100" s="1"/>
      <c r="B100" s="1">
        <v>819332</v>
      </c>
      <c r="C100" s="1" t="s">
        <v>366</v>
      </c>
      <c r="D100" s="1" t="s">
        <v>367</v>
      </c>
      <c r="E100" s="2" t="s">
        <v>368</v>
      </c>
      <c r="F100" s="2" t="s">
        <v>369</v>
      </c>
      <c r="G100" s="2">
        <v>3</v>
      </c>
      <c r="H100" s="2">
        <v>0</v>
      </c>
      <c r="I100" s="1">
        <v>0</v>
      </c>
      <c r="J100" s="3" t="s">
        <v>18</v>
      </c>
      <c r="K100" s="2" t="str">
        <f>J100*15416.45</f>
        <v>0</v>
      </c>
      <c r="L100" s="5"/>
    </row>
    <row r="101" spans="1:12" customHeight="1" ht="105" outlineLevel="5">
      <c r="A101" s="1"/>
      <c r="B101" s="1">
        <v>879376</v>
      </c>
      <c r="C101" s="1" t="s">
        <v>370</v>
      </c>
      <c r="D101" s="1" t="s">
        <v>371</v>
      </c>
      <c r="E101" s="2" t="s">
        <v>372</v>
      </c>
      <c r="F101" s="2" t="s">
        <v>373</v>
      </c>
      <c r="G101" s="2">
        <v>3</v>
      </c>
      <c r="H101" s="2">
        <v>0</v>
      </c>
      <c r="I101" s="1">
        <v>0</v>
      </c>
      <c r="J101" s="3" t="s">
        <v>18</v>
      </c>
      <c r="K101" s="2" t="str">
        <f>J101*4907.26</f>
        <v>0</v>
      </c>
      <c r="L101" s="5"/>
    </row>
    <row r="102" spans="1:12" customHeight="1" ht="105" outlineLevel="5">
      <c r="A102" s="1"/>
      <c r="B102" s="1">
        <v>879377</v>
      </c>
      <c r="C102" s="1" t="s">
        <v>374</v>
      </c>
      <c r="D102" s="1" t="s">
        <v>375</v>
      </c>
      <c r="E102" s="2" t="s">
        <v>376</v>
      </c>
      <c r="F102" s="2" t="s">
        <v>377</v>
      </c>
      <c r="G102" s="2">
        <v>3</v>
      </c>
      <c r="H102" s="2">
        <v>0</v>
      </c>
      <c r="I102" s="1">
        <v>0</v>
      </c>
      <c r="J102" s="3" t="s">
        <v>18</v>
      </c>
      <c r="K102" s="2" t="str">
        <f>J102*5911.33</f>
        <v>0</v>
      </c>
      <c r="L102" s="5"/>
    </row>
    <row r="103" spans="1:12" customHeight="1" ht="105" outlineLevel="5">
      <c r="A103" s="1"/>
      <c r="B103" s="1">
        <v>879378</v>
      </c>
      <c r="C103" s="1" t="s">
        <v>378</v>
      </c>
      <c r="D103" s="1" t="s">
        <v>379</v>
      </c>
      <c r="E103" s="2" t="s">
        <v>380</v>
      </c>
      <c r="F103" s="2" t="s">
        <v>381</v>
      </c>
      <c r="G103" s="2">
        <v>8</v>
      </c>
      <c r="H103" s="2">
        <v>0</v>
      </c>
      <c r="I103" s="1">
        <v>0</v>
      </c>
      <c r="J103" s="3" t="s">
        <v>18</v>
      </c>
      <c r="K103" s="2" t="str">
        <f>J103*6845.48</f>
        <v>0</v>
      </c>
      <c r="L103" s="5"/>
    </row>
    <row r="104" spans="1:12" customHeight="1" ht="105" outlineLevel="5">
      <c r="A104" s="1"/>
      <c r="B104" s="1">
        <v>879379</v>
      </c>
      <c r="C104" s="1" t="s">
        <v>382</v>
      </c>
      <c r="D104" s="1" t="s">
        <v>383</v>
      </c>
      <c r="E104" s="2" t="s">
        <v>384</v>
      </c>
      <c r="F104" s="2" t="s">
        <v>385</v>
      </c>
      <c r="G104" s="2">
        <v>3</v>
      </c>
      <c r="H104" s="2">
        <v>0</v>
      </c>
      <c r="I104" s="1">
        <v>0</v>
      </c>
      <c r="J104" s="3" t="s">
        <v>18</v>
      </c>
      <c r="K104" s="2" t="str">
        <f>J104*7743.93</f>
        <v>0</v>
      </c>
      <c r="L104" s="5"/>
    </row>
    <row r="105" spans="1:12" customHeight="1" ht="105" outlineLevel="5">
      <c r="A105" s="1"/>
      <c r="B105" s="1">
        <v>879380</v>
      </c>
      <c r="C105" s="1" t="s">
        <v>386</v>
      </c>
      <c r="D105" s="1" t="s">
        <v>387</v>
      </c>
      <c r="E105" s="2" t="s">
        <v>388</v>
      </c>
      <c r="F105" s="2" t="s">
        <v>389</v>
      </c>
      <c r="G105" s="2">
        <v>3</v>
      </c>
      <c r="H105" s="2">
        <v>0</v>
      </c>
      <c r="I105" s="1">
        <v>0</v>
      </c>
      <c r="J105" s="3" t="s">
        <v>18</v>
      </c>
      <c r="K105" s="2" t="str">
        <f>J105*8618.58</f>
        <v>0</v>
      </c>
      <c r="L105" s="5"/>
    </row>
    <row r="106" spans="1:12" customHeight="1" ht="105" outlineLevel="5">
      <c r="A106" s="1"/>
      <c r="B106" s="1">
        <v>879381</v>
      </c>
      <c r="C106" s="1" t="s">
        <v>390</v>
      </c>
      <c r="D106" s="1" t="s">
        <v>391</v>
      </c>
      <c r="E106" s="2" t="s">
        <v>392</v>
      </c>
      <c r="F106" s="2" t="s">
        <v>393</v>
      </c>
      <c r="G106" s="2">
        <v>4</v>
      </c>
      <c r="H106" s="2">
        <v>0</v>
      </c>
      <c r="I106" s="1">
        <v>0</v>
      </c>
      <c r="J106" s="3" t="s">
        <v>18</v>
      </c>
      <c r="K106" s="2" t="str">
        <f>J106*9662.80</f>
        <v>0</v>
      </c>
      <c r="L106" s="5"/>
    </row>
    <row r="107" spans="1:12" customHeight="1" ht="105" outlineLevel="5">
      <c r="A107" s="1"/>
      <c r="B107" s="1">
        <v>879382</v>
      </c>
      <c r="C107" s="1" t="s">
        <v>394</v>
      </c>
      <c r="D107" s="1" t="s">
        <v>395</v>
      </c>
      <c r="E107" s="2" t="s">
        <v>396</v>
      </c>
      <c r="F107" s="2" t="s">
        <v>397</v>
      </c>
      <c r="G107" s="2">
        <v>4</v>
      </c>
      <c r="H107" s="2">
        <v>0</v>
      </c>
      <c r="I107" s="1">
        <v>0</v>
      </c>
      <c r="J107" s="3" t="s">
        <v>18</v>
      </c>
      <c r="K107" s="2" t="str">
        <f>J107*10562.74</f>
        <v>0</v>
      </c>
      <c r="L107" s="5"/>
    </row>
    <row r="108" spans="1:12" customHeight="1" ht="105" outlineLevel="5">
      <c r="A108" s="1"/>
      <c r="B108" s="1">
        <v>879383</v>
      </c>
      <c r="C108" s="1" t="s">
        <v>398</v>
      </c>
      <c r="D108" s="1" t="s">
        <v>399</v>
      </c>
      <c r="E108" s="2" t="s">
        <v>400</v>
      </c>
      <c r="F108" s="2" t="s">
        <v>401</v>
      </c>
      <c r="G108" s="2">
        <v>1</v>
      </c>
      <c r="H108" s="2">
        <v>0</v>
      </c>
      <c r="I108" s="1">
        <v>0</v>
      </c>
      <c r="J108" s="3" t="s">
        <v>18</v>
      </c>
      <c r="K108" s="2" t="str">
        <f>J108*11477.55</f>
        <v>0</v>
      </c>
      <c r="L108" s="5"/>
    </row>
    <row r="109" spans="1:12" customHeight="1" ht="105" outlineLevel="5">
      <c r="A109" s="1"/>
      <c r="B109" s="1">
        <v>879384</v>
      </c>
      <c r="C109" s="1" t="s">
        <v>402</v>
      </c>
      <c r="D109" s="1" t="s">
        <v>403</v>
      </c>
      <c r="E109" s="2" t="s">
        <v>404</v>
      </c>
      <c r="F109" s="2" t="s">
        <v>405</v>
      </c>
      <c r="G109" s="2">
        <v>3</v>
      </c>
      <c r="H109" s="2">
        <v>0</v>
      </c>
      <c r="I109" s="1">
        <v>0</v>
      </c>
      <c r="J109" s="3" t="s">
        <v>18</v>
      </c>
      <c r="K109" s="2" t="str">
        <f>J109*12542.60</f>
        <v>0</v>
      </c>
      <c r="L109" s="5"/>
    </row>
    <row r="110" spans="1:12" customHeight="1" ht="105" outlineLevel="5">
      <c r="A110" s="1"/>
      <c r="B110" s="1">
        <v>879385</v>
      </c>
      <c r="C110" s="1" t="s">
        <v>406</v>
      </c>
      <c r="D110" s="1" t="s">
        <v>407</v>
      </c>
      <c r="E110" s="2" t="s">
        <v>408</v>
      </c>
      <c r="F110" s="2" t="s">
        <v>409</v>
      </c>
      <c r="G110" s="2">
        <v>2</v>
      </c>
      <c r="H110" s="2">
        <v>0</v>
      </c>
      <c r="I110" s="1">
        <v>0</v>
      </c>
      <c r="J110" s="3" t="s">
        <v>18</v>
      </c>
      <c r="K110" s="2" t="str">
        <f>J110*13449.98</f>
        <v>0</v>
      </c>
      <c r="L110" s="5"/>
    </row>
    <row r="111" spans="1:12" customHeight="1" ht="105" outlineLevel="5">
      <c r="A111" s="1"/>
      <c r="B111" s="1">
        <v>879386</v>
      </c>
      <c r="C111" s="1" t="s">
        <v>410</v>
      </c>
      <c r="D111" s="1" t="s">
        <v>411</v>
      </c>
      <c r="E111" s="2" t="s">
        <v>412</v>
      </c>
      <c r="F111" s="2" t="s">
        <v>413</v>
      </c>
      <c r="G111" s="2">
        <v>3</v>
      </c>
      <c r="H111" s="2">
        <v>0</v>
      </c>
      <c r="I111" s="1">
        <v>0</v>
      </c>
      <c r="J111" s="3" t="s">
        <v>18</v>
      </c>
      <c r="K111" s="2" t="str">
        <f>J111*14355.86</f>
        <v>0</v>
      </c>
      <c r="L111" s="5"/>
    </row>
    <row r="112" spans="1:12" customHeight="1" ht="105" outlineLevel="5">
      <c r="A112" s="1"/>
      <c r="B112" s="1">
        <v>885807</v>
      </c>
      <c r="C112" s="1" t="s">
        <v>414</v>
      </c>
      <c r="D112" s="1" t="s">
        <v>415</v>
      </c>
      <c r="E112" s="2" t="s">
        <v>416</v>
      </c>
      <c r="F112" s="2" t="s">
        <v>417</v>
      </c>
      <c r="G112" s="2">
        <v>2</v>
      </c>
      <c r="H112" s="2">
        <v>0</v>
      </c>
      <c r="I112" s="1">
        <v>0</v>
      </c>
      <c r="J112" s="3" t="s">
        <v>18</v>
      </c>
      <c r="K112" s="2" t="str">
        <f>J112*4615.71</f>
        <v>0</v>
      </c>
      <c r="L112" s="5"/>
    </row>
    <row r="113" spans="1:12" customHeight="1" ht="105" outlineLevel="5">
      <c r="A113" s="1"/>
      <c r="B113" s="1">
        <v>885808</v>
      </c>
      <c r="C113" s="1" t="s">
        <v>418</v>
      </c>
      <c r="D113" s="1" t="s">
        <v>419</v>
      </c>
      <c r="E113" s="2" t="s">
        <v>420</v>
      </c>
      <c r="F113" s="2" t="s">
        <v>421</v>
      </c>
      <c r="G113" s="2">
        <v>2</v>
      </c>
      <c r="H113" s="2">
        <v>0</v>
      </c>
      <c r="I113" s="1">
        <v>0</v>
      </c>
      <c r="J113" s="3" t="s">
        <v>18</v>
      </c>
      <c r="K113" s="2" t="str">
        <f>J113*5447.23</f>
        <v>0</v>
      </c>
      <c r="L113" s="5"/>
    </row>
    <row r="114" spans="1:12" customHeight="1" ht="105" outlineLevel="5">
      <c r="A114" s="1"/>
      <c r="B114" s="1">
        <v>885809</v>
      </c>
      <c r="C114" s="1" t="s">
        <v>422</v>
      </c>
      <c r="D114" s="1" t="s">
        <v>423</v>
      </c>
      <c r="E114" s="2" t="s">
        <v>424</v>
      </c>
      <c r="F114" s="2" t="s">
        <v>425</v>
      </c>
      <c r="G114" s="2">
        <v>2</v>
      </c>
      <c r="H114" s="2">
        <v>0</v>
      </c>
      <c r="I114" s="1">
        <v>0</v>
      </c>
      <c r="J114" s="3" t="s">
        <v>18</v>
      </c>
      <c r="K114" s="2" t="str">
        <f>J114*6491.45</f>
        <v>0</v>
      </c>
      <c r="L114" s="5"/>
    </row>
    <row r="115" spans="1:12" customHeight="1" ht="105" outlineLevel="5">
      <c r="A115" s="1"/>
      <c r="B115" s="1">
        <v>885810</v>
      </c>
      <c r="C115" s="1" t="s">
        <v>426</v>
      </c>
      <c r="D115" s="1" t="s">
        <v>427</v>
      </c>
      <c r="E115" s="2" t="s">
        <v>428</v>
      </c>
      <c r="F115" s="2" t="s">
        <v>429</v>
      </c>
      <c r="G115" s="2">
        <v>1</v>
      </c>
      <c r="H115" s="2">
        <v>0</v>
      </c>
      <c r="I115" s="1">
        <v>0</v>
      </c>
      <c r="J115" s="3" t="s">
        <v>18</v>
      </c>
      <c r="K115" s="2" t="str">
        <f>J115*7339.33</f>
        <v>0</v>
      </c>
      <c r="L115" s="5"/>
    </row>
    <row r="116" spans="1:12" customHeight="1" ht="105" outlineLevel="5">
      <c r="A116" s="1"/>
      <c r="B116" s="1">
        <v>885811</v>
      </c>
      <c r="C116" s="1" t="s">
        <v>430</v>
      </c>
      <c r="D116" s="1" t="s">
        <v>431</v>
      </c>
      <c r="E116" s="2" t="s">
        <v>432</v>
      </c>
      <c r="F116" s="2" t="s">
        <v>433</v>
      </c>
      <c r="G116" s="2">
        <v>2</v>
      </c>
      <c r="H116" s="2">
        <v>0</v>
      </c>
      <c r="I116" s="1">
        <v>0</v>
      </c>
      <c r="J116" s="3" t="s">
        <v>18</v>
      </c>
      <c r="K116" s="2" t="str">
        <f>J116*8193.15</f>
        <v>0</v>
      </c>
      <c r="L116" s="5"/>
    </row>
    <row r="117" spans="1:12" customHeight="1" ht="105" outlineLevel="5">
      <c r="A117" s="1"/>
      <c r="B117" s="1">
        <v>885812</v>
      </c>
      <c r="C117" s="1" t="s">
        <v>434</v>
      </c>
      <c r="D117" s="1" t="s">
        <v>435</v>
      </c>
      <c r="E117" s="2" t="s">
        <v>436</v>
      </c>
      <c r="F117" s="2" t="s">
        <v>437</v>
      </c>
      <c r="G117" s="2">
        <v>2</v>
      </c>
      <c r="H117" s="2">
        <v>0</v>
      </c>
      <c r="I117" s="1">
        <v>0</v>
      </c>
      <c r="J117" s="3" t="s">
        <v>18</v>
      </c>
      <c r="K117" s="2" t="str">
        <f>J117*9044.00</f>
        <v>0</v>
      </c>
      <c r="L117" s="5"/>
    </row>
    <row r="118" spans="1:12" customHeight="1" ht="105" outlineLevel="5">
      <c r="A118" s="1"/>
      <c r="B118" s="1">
        <v>885813</v>
      </c>
      <c r="C118" s="1" t="s">
        <v>438</v>
      </c>
      <c r="D118" s="1" t="s">
        <v>439</v>
      </c>
      <c r="E118" s="2" t="s">
        <v>440</v>
      </c>
      <c r="F118" s="2" t="s">
        <v>441</v>
      </c>
      <c r="G118" s="2">
        <v>2</v>
      </c>
      <c r="H118" s="2">
        <v>0</v>
      </c>
      <c r="I118" s="1">
        <v>0</v>
      </c>
      <c r="J118" s="3" t="s">
        <v>18</v>
      </c>
      <c r="K118" s="2" t="str">
        <f>J118*9905.26</f>
        <v>0</v>
      </c>
      <c r="L118" s="5"/>
    </row>
    <row r="119" spans="1:12" customHeight="1" ht="105" outlineLevel="5">
      <c r="A119" s="1"/>
      <c r="B119" s="1">
        <v>885814</v>
      </c>
      <c r="C119" s="1" t="s">
        <v>442</v>
      </c>
      <c r="D119" s="1" t="s">
        <v>443</v>
      </c>
      <c r="E119" s="2" t="s">
        <v>444</v>
      </c>
      <c r="F119" s="2" t="s">
        <v>445</v>
      </c>
      <c r="G119" s="2">
        <v>2</v>
      </c>
      <c r="H119" s="2">
        <v>0</v>
      </c>
      <c r="I119" s="1">
        <v>0</v>
      </c>
      <c r="J119" s="3" t="s">
        <v>18</v>
      </c>
      <c r="K119" s="2" t="str">
        <f>J119*11025.35</f>
        <v>0</v>
      </c>
      <c r="L119" s="5"/>
    </row>
    <row r="120" spans="1:12" customHeight="1" ht="105" outlineLevel="5">
      <c r="A120" s="1"/>
      <c r="B120" s="1">
        <v>885815</v>
      </c>
      <c r="C120" s="1" t="s">
        <v>446</v>
      </c>
      <c r="D120" s="1" t="s">
        <v>447</v>
      </c>
      <c r="E120" s="2" t="s">
        <v>448</v>
      </c>
      <c r="F120" s="2" t="s">
        <v>449</v>
      </c>
      <c r="G120" s="2">
        <v>1</v>
      </c>
      <c r="H120" s="2">
        <v>0</v>
      </c>
      <c r="I120" s="1">
        <v>0</v>
      </c>
      <c r="J120" s="3" t="s">
        <v>18</v>
      </c>
      <c r="K120" s="2" t="str">
        <f>J120*11900.00</f>
        <v>0</v>
      </c>
      <c r="L120" s="5"/>
    </row>
    <row r="121" spans="1:12" customHeight="1" ht="105" outlineLevel="5">
      <c r="A121" s="1"/>
      <c r="B121" s="1">
        <v>885816</v>
      </c>
      <c r="C121" s="1" t="s">
        <v>450</v>
      </c>
      <c r="D121" s="1" t="s">
        <v>451</v>
      </c>
      <c r="E121" s="2" t="s">
        <v>452</v>
      </c>
      <c r="F121" s="2" t="s">
        <v>453</v>
      </c>
      <c r="G121" s="2">
        <v>1</v>
      </c>
      <c r="H121" s="2">
        <v>0</v>
      </c>
      <c r="I121" s="1">
        <v>0</v>
      </c>
      <c r="J121" s="3" t="s">
        <v>18</v>
      </c>
      <c r="K121" s="2" t="str">
        <f>J121*12767.21</f>
        <v>0</v>
      </c>
      <c r="L121" s="5"/>
    </row>
    <row r="122" spans="1:12" customHeight="1" ht="105" outlineLevel="5">
      <c r="A122" s="1"/>
      <c r="B122" s="1">
        <v>885817</v>
      </c>
      <c r="C122" s="1" t="s">
        <v>454</v>
      </c>
      <c r="D122" s="1" t="s">
        <v>455</v>
      </c>
      <c r="E122" s="2" t="s">
        <v>456</v>
      </c>
      <c r="F122" s="2" t="s">
        <v>457</v>
      </c>
      <c r="G122" s="2">
        <v>1</v>
      </c>
      <c r="H122" s="2">
        <v>0</v>
      </c>
      <c r="I122" s="1">
        <v>0</v>
      </c>
      <c r="J122" s="3" t="s">
        <v>18</v>
      </c>
      <c r="K122" s="2" t="str">
        <f>J122*13646.33</f>
        <v>0</v>
      </c>
      <c r="L122" s="5"/>
    </row>
    <row r="123" spans="1:12" customHeight="1" ht="105" outlineLevel="5">
      <c r="A123" s="1"/>
      <c r="B123" s="1">
        <v>885021</v>
      </c>
      <c r="C123" s="1" t="s">
        <v>458</v>
      </c>
      <c r="D123" s="1" t="s">
        <v>459</v>
      </c>
      <c r="E123" s="2" t="s">
        <v>460</v>
      </c>
      <c r="F123" s="2" t="s">
        <v>461</v>
      </c>
      <c r="G123" s="2">
        <v>3</v>
      </c>
      <c r="H123" s="2">
        <v>0</v>
      </c>
      <c r="I123" s="1">
        <v>0</v>
      </c>
      <c r="J123" s="3" t="s">
        <v>18</v>
      </c>
      <c r="K123" s="2" t="str">
        <f>J123*4487.79</f>
        <v>0</v>
      </c>
      <c r="L123" s="5"/>
    </row>
    <row r="124" spans="1:12" customHeight="1" ht="105" outlineLevel="5">
      <c r="A124" s="1"/>
      <c r="B124" s="1">
        <v>885022</v>
      </c>
      <c r="C124" s="1" t="s">
        <v>462</v>
      </c>
      <c r="D124" s="1" t="s">
        <v>463</v>
      </c>
      <c r="E124" s="2" t="s">
        <v>464</v>
      </c>
      <c r="F124" s="2" t="s">
        <v>465</v>
      </c>
      <c r="G124" s="2">
        <v>3</v>
      </c>
      <c r="H124" s="2">
        <v>0</v>
      </c>
      <c r="I124" s="1">
        <v>0</v>
      </c>
      <c r="J124" s="3" t="s">
        <v>18</v>
      </c>
      <c r="K124" s="2" t="str">
        <f>J124*5359.46</f>
        <v>0</v>
      </c>
      <c r="L124" s="5"/>
    </row>
    <row r="125" spans="1:12" customHeight="1" ht="105" outlineLevel="5">
      <c r="A125" s="1"/>
      <c r="B125" s="1">
        <v>885023</v>
      </c>
      <c r="C125" s="1" t="s">
        <v>466</v>
      </c>
      <c r="D125" s="1" t="s">
        <v>467</v>
      </c>
      <c r="E125" s="2" t="s">
        <v>468</v>
      </c>
      <c r="F125" s="2" t="s">
        <v>469</v>
      </c>
      <c r="G125" s="2">
        <v>2</v>
      </c>
      <c r="H125" s="2">
        <v>0</v>
      </c>
      <c r="I125" s="1">
        <v>0</v>
      </c>
      <c r="J125" s="3" t="s">
        <v>18</v>
      </c>
      <c r="K125" s="2" t="str">
        <f>J125*6216.26</f>
        <v>0</v>
      </c>
      <c r="L125" s="5"/>
    </row>
    <row r="126" spans="1:12" customHeight="1" ht="105" outlineLevel="5">
      <c r="A126" s="1"/>
      <c r="B126" s="1">
        <v>885024</v>
      </c>
      <c r="C126" s="1" t="s">
        <v>470</v>
      </c>
      <c r="D126" s="1" t="s">
        <v>471</v>
      </c>
      <c r="E126" s="2" t="s">
        <v>472</v>
      </c>
      <c r="F126" s="2" t="s">
        <v>473</v>
      </c>
      <c r="G126" s="2">
        <v>3</v>
      </c>
      <c r="H126" s="2">
        <v>0</v>
      </c>
      <c r="I126" s="1">
        <v>0</v>
      </c>
      <c r="J126" s="3" t="s">
        <v>18</v>
      </c>
      <c r="K126" s="2" t="str">
        <f>J126*7071.58</f>
        <v>0</v>
      </c>
      <c r="L126" s="5"/>
    </row>
    <row r="127" spans="1:12" customHeight="1" ht="105" outlineLevel="5">
      <c r="A127" s="1"/>
      <c r="B127" s="1">
        <v>885025</v>
      </c>
      <c r="C127" s="1" t="s">
        <v>474</v>
      </c>
      <c r="D127" s="1" t="s">
        <v>475</v>
      </c>
      <c r="E127" s="2" t="s">
        <v>476</v>
      </c>
      <c r="F127" s="2" t="s">
        <v>477</v>
      </c>
      <c r="G127" s="2">
        <v>3</v>
      </c>
      <c r="H127" s="2">
        <v>0</v>
      </c>
      <c r="I127" s="1">
        <v>0</v>
      </c>
      <c r="J127" s="3" t="s">
        <v>18</v>
      </c>
      <c r="K127" s="2" t="str">
        <f>J127*7932.84</f>
        <v>0</v>
      </c>
      <c r="L127" s="5"/>
    </row>
    <row r="128" spans="1:12" customHeight="1" ht="105" outlineLevel="5">
      <c r="A128" s="1"/>
      <c r="B128" s="1">
        <v>885026</v>
      </c>
      <c r="C128" s="1" t="s">
        <v>478</v>
      </c>
      <c r="D128" s="1" t="s">
        <v>479</v>
      </c>
      <c r="E128" s="2" t="s">
        <v>480</v>
      </c>
      <c r="F128" s="2" t="s">
        <v>481</v>
      </c>
      <c r="G128" s="2">
        <v>3</v>
      </c>
      <c r="H128" s="2">
        <v>0</v>
      </c>
      <c r="I128" s="1">
        <v>0</v>
      </c>
      <c r="J128" s="3" t="s">
        <v>18</v>
      </c>
      <c r="K128" s="2" t="str">
        <f>J128*8801.54</f>
        <v>0</v>
      </c>
      <c r="L128" s="5"/>
    </row>
    <row r="129" spans="1:12" customHeight="1" ht="105" outlineLevel="5">
      <c r="A129" s="1"/>
      <c r="B129" s="1">
        <v>885027</v>
      </c>
      <c r="C129" s="1" t="s">
        <v>482</v>
      </c>
      <c r="D129" s="1" t="s">
        <v>483</v>
      </c>
      <c r="E129" s="2" t="s">
        <v>484</v>
      </c>
      <c r="F129" s="2" t="s">
        <v>485</v>
      </c>
      <c r="G129" s="2">
        <v>2</v>
      </c>
      <c r="H129" s="2">
        <v>0</v>
      </c>
      <c r="I129" s="1">
        <v>0</v>
      </c>
      <c r="J129" s="3" t="s">
        <v>18</v>
      </c>
      <c r="K129" s="2" t="str">
        <f>J129*9655.36</f>
        <v>0</v>
      </c>
      <c r="L129" s="5"/>
    </row>
    <row r="130" spans="1:12" customHeight="1" ht="105" outlineLevel="5">
      <c r="A130" s="1"/>
      <c r="B130" s="1">
        <v>885028</v>
      </c>
      <c r="C130" s="1" t="s">
        <v>486</v>
      </c>
      <c r="D130" s="1" t="s">
        <v>487</v>
      </c>
      <c r="E130" s="2" t="s">
        <v>488</v>
      </c>
      <c r="F130" s="2" t="s">
        <v>489</v>
      </c>
      <c r="G130" s="2">
        <v>4</v>
      </c>
      <c r="H130" s="2">
        <v>0</v>
      </c>
      <c r="I130" s="1">
        <v>0</v>
      </c>
      <c r="J130" s="3" t="s">
        <v>18</v>
      </c>
      <c r="K130" s="2" t="str">
        <f>J130*10525.55</f>
        <v>0</v>
      </c>
      <c r="L130" s="5"/>
    </row>
    <row r="131" spans="1:12" customHeight="1" ht="105" outlineLevel="5">
      <c r="A131" s="1"/>
      <c r="B131" s="1">
        <v>883944</v>
      </c>
      <c r="C131" s="1" t="s">
        <v>490</v>
      </c>
      <c r="D131" s="1" t="s">
        <v>491</v>
      </c>
      <c r="E131" s="2" t="s">
        <v>492</v>
      </c>
      <c r="F131" s="2" t="s">
        <v>493</v>
      </c>
      <c r="G131" s="2">
        <v>3</v>
      </c>
      <c r="H131" s="2">
        <v>0</v>
      </c>
      <c r="I131" s="1">
        <v>0</v>
      </c>
      <c r="J131" s="3" t="s">
        <v>18</v>
      </c>
      <c r="K131" s="2" t="str">
        <f>J131*11382.35</f>
        <v>0</v>
      </c>
      <c r="L131" s="5"/>
    </row>
    <row r="132" spans="1:12" customHeight="1" ht="105" outlineLevel="5">
      <c r="A132" s="1"/>
      <c r="B132" s="1">
        <v>883945</v>
      </c>
      <c r="C132" s="1" t="s">
        <v>494</v>
      </c>
      <c r="D132" s="1" t="s">
        <v>495</v>
      </c>
      <c r="E132" s="2" t="s">
        <v>496</v>
      </c>
      <c r="F132" s="2" t="s">
        <v>497</v>
      </c>
      <c r="G132" s="2">
        <v>3</v>
      </c>
      <c r="H132" s="2">
        <v>0</v>
      </c>
      <c r="I132" s="1">
        <v>0</v>
      </c>
      <c r="J132" s="3" t="s">
        <v>18</v>
      </c>
      <c r="K132" s="2" t="str">
        <f>J132*12243.61</f>
        <v>0</v>
      </c>
      <c r="L132" s="5"/>
    </row>
    <row r="133" spans="1:12" customHeight="1" ht="105" outlineLevel="5">
      <c r="A133" s="1"/>
      <c r="B133" s="1">
        <v>885029</v>
      </c>
      <c r="C133" s="1" t="s">
        <v>498</v>
      </c>
      <c r="D133" s="1" t="s">
        <v>499</v>
      </c>
      <c r="E133" s="2" t="s">
        <v>500</v>
      </c>
      <c r="F133" s="2" t="s">
        <v>501</v>
      </c>
      <c r="G133" s="2">
        <v>2</v>
      </c>
      <c r="H133" s="2">
        <v>0</v>
      </c>
      <c r="I133" s="1">
        <v>0</v>
      </c>
      <c r="J133" s="3" t="s">
        <v>18</v>
      </c>
      <c r="K133" s="2" t="str">
        <f>J133*13103.39</f>
        <v>0</v>
      </c>
      <c r="L133" s="5"/>
    </row>
    <row r="134" spans="1:12" outlineLevel="3">
      <c r="A134" s="9" t="s">
        <v>502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5"/>
    </row>
    <row r="135" spans="1:12" outlineLevel="4">
      <c r="A135" s="10" t="s">
        <v>503</v>
      </c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5"/>
    </row>
    <row r="136" spans="1:12" customHeight="1" ht="105" outlineLevel="6">
      <c r="A136" s="1"/>
      <c r="B136" s="1">
        <v>834480</v>
      </c>
      <c r="C136" s="1" t="s">
        <v>504</v>
      </c>
      <c r="D136" s="1" t="s">
        <v>505</v>
      </c>
      <c r="E136" s="2" t="s">
        <v>506</v>
      </c>
      <c r="F136" s="2" t="s">
        <v>507</v>
      </c>
      <c r="G136" s="2">
        <v>5</v>
      </c>
      <c r="H136" s="2">
        <v>0</v>
      </c>
      <c r="I136" s="1">
        <v>0</v>
      </c>
      <c r="J136" s="3" t="s">
        <v>18</v>
      </c>
      <c r="K136" s="2" t="str">
        <f>J136*3859.10</f>
        <v>0</v>
      </c>
      <c r="L136" s="5"/>
    </row>
    <row r="137" spans="1:12" customHeight="1" ht="105" outlineLevel="6">
      <c r="A137" s="1"/>
      <c r="B137" s="1">
        <v>834481</v>
      </c>
      <c r="C137" s="1" t="s">
        <v>508</v>
      </c>
      <c r="D137" s="1" t="s">
        <v>509</v>
      </c>
      <c r="E137" s="2" t="s">
        <v>510</v>
      </c>
      <c r="F137" s="2" t="s">
        <v>511</v>
      </c>
      <c r="G137" s="2">
        <v>1</v>
      </c>
      <c r="H137" s="2">
        <v>0</v>
      </c>
      <c r="I137" s="1">
        <v>0</v>
      </c>
      <c r="J137" s="3" t="s">
        <v>18</v>
      </c>
      <c r="K137" s="2" t="str">
        <f>J137*5432.54</f>
        <v>0</v>
      </c>
      <c r="L137" s="5"/>
    </row>
    <row r="138" spans="1:12" customHeight="1" ht="105" outlineLevel="6">
      <c r="A138" s="1"/>
      <c r="B138" s="1">
        <v>834482</v>
      </c>
      <c r="C138" s="1" t="s">
        <v>512</v>
      </c>
      <c r="D138" s="1" t="s">
        <v>513</v>
      </c>
      <c r="E138" s="2" t="s">
        <v>514</v>
      </c>
      <c r="F138" s="2" t="s">
        <v>515</v>
      </c>
      <c r="G138" s="2">
        <v>3</v>
      </c>
      <c r="H138" s="2">
        <v>0</v>
      </c>
      <c r="I138" s="1">
        <v>0</v>
      </c>
      <c r="J138" s="3" t="s">
        <v>18</v>
      </c>
      <c r="K138" s="2" t="str">
        <f>J138*7035.24</f>
        <v>0</v>
      </c>
      <c r="L138" s="5"/>
    </row>
    <row r="139" spans="1:12" customHeight="1" ht="105" outlineLevel="6">
      <c r="A139" s="1"/>
      <c r="B139" s="1">
        <v>834483</v>
      </c>
      <c r="C139" s="1" t="s">
        <v>516</v>
      </c>
      <c r="D139" s="1" t="s">
        <v>517</v>
      </c>
      <c r="E139" s="2" t="s">
        <v>518</v>
      </c>
      <c r="F139" s="2" t="s">
        <v>519</v>
      </c>
      <c r="G139" s="2">
        <v>3</v>
      </c>
      <c r="H139" s="2">
        <v>0</v>
      </c>
      <c r="I139" s="1">
        <v>0</v>
      </c>
      <c r="J139" s="3" t="s">
        <v>18</v>
      </c>
      <c r="K139" s="2" t="str">
        <f>J139*8640.54</f>
        <v>0</v>
      </c>
      <c r="L139" s="5"/>
    </row>
    <row r="140" spans="1:12" customHeight="1" ht="105" outlineLevel="6">
      <c r="A140" s="1"/>
      <c r="B140" s="1">
        <v>834484</v>
      </c>
      <c r="C140" s="1" t="s">
        <v>520</v>
      </c>
      <c r="D140" s="1" t="s">
        <v>521</v>
      </c>
      <c r="E140" s="2" t="s">
        <v>522</v>
      </c>
      <c r="F140" s="2" t="s">
        <v>523</v>
      </c>
      <c r="G140" s="2">
        <v>2</v>
      </c>
      <c r="H140" s="2">
        <v>0</v>
      </c>
      <c r="I140" s="1">
        <v>0</v>
      </c>
      <c r="J140" s="3" t="s">
        <v>18</v>
      </c>
      <c r="K140" s="2" t="str">
        <f>J140*10243.25</f>
        <v>0</v>
      </c>
      <c r="L140" s="5"/>
    </row>
    <row r="141" spans="1:12" customHeight="1" ht="105" outlineLevel="6">
      <c r="A141" s="1"/>
      <c r="B141" s="1">
        <v>834485</v>
      </c>
      <c r="C141" s="1" t="s">
        <v>524</v>
      </c>
      <c r="D141" s="1" t="s">
        <v>525</v>
      </c>
      <c r="E141" s="2" t="s">
        <v>526</v>
      </c>
      <c r="F141" s="2" t="s">
        <v>527</v>
      </c>
      <c r="G141" s="2">
        <v>4</v>
      </c>
      <c r="H141" s="2">
        <v>0</v>
      </c>
      <c r="I141" s="1">
        <v>0</v>
      </c>
      <c r="J141" s="3" t="s">
        <v>18</v>
      </c>
      <c r="K141" s="2" t="str">
        <f>J141*11848.55</f>
        <v>0</v>
      </c>
      <c r="L141" s="5"/>
    </row>
    <row r="142" spans="1:12" customHeight="1" ht="105" outlineLevel="6">
      <c r="A142" s="1"/>
      <c r="B142" s="1">
        <v>834486</v>
      </c>
      <c r="C142" s="1" t="s">
        <v>528</v>
      </c>
      <c r="D142" s="1" t="s">
        <v>529</v>
      </c>
      <c r="E142" s="2" t="s">
        <v>530</v>
      </c>
      <c r="F142" s="2" t="s">
        <v>531</v>
      </c>
      <c r="G142" s="2">
        <v>7</v>
      </c>
      <c r="H142" s="2">
        <v>0</v>
      </c>
      <c r="I142" s="1">
        <v>0</v>
      </c>
      <c r="J142" s="3" t="s">
        <v>18</v>
      </c>
      <c r="K142" s="2" t="str">
        <f>J142*16113.70</f>
        <v>0</v>
      </c>
      <c r="L142" s="5"/>
    </row>
    <row r="143" spans="1:12" customHeight="1" ht="105" outlineLevel="6">
      <c r="A143" s="1"/>
      <c r="B143" s="1">
        <v>834487</v>
      </c>
      <c r="C143" s="1" t="s">
        <v>532</v>
      </c>
      <c r="D143" s="1" t="s">
        <v>533</v>
      </c>
      <c r="E143" s="2" t="s">
        <v>534</v>
      </c>
      <c r="F143" s="2" t="s">
        <v>535</v>
      </c>
      <c r="G143" s="2">
        <v>6</v>
      </c>
      <c r="H143" s="2">
        <v>0</v>
      </c>
      <c r="I143" s="1">
        <v>0</v>
      </c>
      <c r="J143" s="3" t="s">
        <v>18</v>
      </c>
      <c r="K143" s="2" t="str">
        <f>J143*18043.25</f>
        <v>0</v>
      </c>
      <c r="L143" s="5"/>
    </row>
    <row r="144" spans="1:12" customHeight="1" ht="105" outlineLevel="6">
      <c r="A144" s="1"/>
      <c r="B144" s="1">
        <v>834488</v>
      </c>
      <c r="C144" s="1" t="s">
        <v>536</v>
      </c>
      <c r="D144" s="1" t="s">
        <v>537</v>
      </c>
      <c r="E144" s="2" t="s">
        <v>538</v>
      </c>
      <c r="F144" s="2" t="s">
        <v>539</v>
      </c>
      <c r="G144" s="2">
        <v>3</v>
      </c>
      <c r="H144" s="2">
        <v>0</v>
      </c>
      <c r="I144" s="1">
        <v>0</v>
      </c>
      <c r="J144" s="3" t="s">
        <v>18</v>
      </c>
      <c r="K144" s="2" t="str">
        <f>J144*19972.80</f>
        <v>0</v>
      </c>
      <c r="L144" s="5"/>
    </row>
    <row r="145" spans="1:12" customHeight="1" ht="105" outlineLevel="6">
      <c r="A145" s="1"/>
      <c r="B145" s="1">
        <v>834489</v>
      </c>
      <c r="C145" s="1" t="s">
        <v>540</v>
      </c>
      <c r="D145" s="1" t="s">
        <v>541</v>
      </c>
      <c r="E145" s="2" t="s">
        <v>542</v>
      </c>
      <c r="F145" s="2" t="s">
        <v>543</v>
      </c>
      <c r="G145" s="2">
        <v>0</v>
      </c>
      <c r="H145" s="2">
        <v>0</v>
      </c>
      <c r="I145" s="1">
        <v>0</v>
      </c>
      <c r="J145" s="3" t="s">
        <v>18</v>
      </c>
      <c r="K145" s="2" t="str">
        <f>J145*17144.82</f>
        <v>0</v>
      </c>
      <c r="L145" s="5"/>
    </row>
    <row r="146" spans="1:12" customHeight="1" ht="105" outlineLevel="6">
      <c r="A146" s="1"/>
      <c r="B146" s="1">
        <v>834490</v>
      </c>
      <c r="C146" s="1" t="s">
        <v>544</v>
      </c>
      <c r="D146" s="1" t="s">
        <v>545</v>
      </c>
      <c r="E146" s="2" t="s">
        <v>546</v>
      </c>
      <c r="F146" s="2" t="s">
        <v>547</v>
      </c>
      <c r="G146" s="2">
        <v>2</v>
      </c>
      <c r="H146" s="2">
        <v>0</v>
      </c>
      <c r="I146" s="1">
        <v>0</v>
      </c>
      <c r="J146" s="3" t="s">
        <v>18</v>
      </c>
      <c r="K146" s="2" t="str">
        <f>J146*20777.24</f>
        <v>0</v>
      </c>
      <c r="L146" s="5"/>
    </row>
    <row r="147" spans="1:12" outlineLevel="4">
      <c r="A147" s="10" t="s">
        <v>548</v>
      </c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5"/>
    </row>
    <row r="148" spans="1:12" customHeight="1" ht="105" outlineLevel="6">
      <c r="A148" s="1"/>
      <c r="B148" s="1">
        <v>868673</v>
      </c>
      <c r="C148" s="1" t="s">
        <v>549</v>
      </c>
      <c r="D148" s="1" t="s">
        <v>550</v>
      </c>
      <c r="E148" s="2" t="s">
        <v>551</v>
      </c>
      <c r="F148" s="2" t="s">
        <v>552</v>
      </c>
      <c r="G148" s="2">
        <v>3</v>
      </c>
      <c r="H148" s="2">
        <v>0</v>
      </c>
      <c r="I148" s="1">
        <v>0</v>
      </c>
      <c r="J148" s="3" t="s">
        <v>18</v>
      </c>
      <c r="K148" s="2" t="str">
        <f>J148*4962.10</f>
        <v>0</v>
      </c>
      <c r="L148" s="5"/>
    </row>
    <row r="149" spans="1:12" customHeight="1" ht="105" outlineLevel="6">
      <c r="A149" s="1"/>
      <c r="B149" s="1">
        <v>868674</v>
      </c>
      <c r="C149" s="1" t="s">
        <v>553</v>
      </c>
      <c r="D149" s="1" t="s">
        <v>554</v>
      </c>
      <c r="E149" s="2" t="s">
        <v>555</v>
      </c>
      <c r="F149" s="2" t="s">
        <v>556</v>
      </c>
      <c r="G149" s="2">
        <v>3</v>
      </c>
      <c r="H149" s="2">
        <v>0</v>
      </c>
      <c r="I149" s="1">
        <v>0</v>
      </c>
      <c r="J149" s="3" t="s">
        <v>18</v>
      </c>
      <c r="K149" s="2" t="str">
        <f>J149*5928.60</f>
        <v>0</v>
      </c>
      <c r="L149" s="5"/>
    </row>
    <row r="150" spans="1:12" customHeight="1" ht="105" outlineLevel="6">
      <c r="A150" s="1"/>
      <c r="B150" s="1">
        <v>868675</v>
      </c>
      <c r="C150" s="1" t="s">
        <v>557</v>
      </c>
      <c r="D150" s="1" t="s">
        <v>558</v>
      </c>
      <c r="E150" s="2" t="s">
        <v>559</v>
      </c>
      <c r="F150" s="2" t="s">
        <v>560</v>
      </c>
      <c r="G150" s="2">
        <v>4</v>
      </c>
      <c r="H150" s="2">
        <v>0</v>
      </c>
      <c r="I150" s="1">
        <v>0</v>
      </c>
      <c r="J150" s="3" t="s">
        <v>18</v>
      </c>
      <c r="K150" s="2" t="str">
        <f>J150*7064.58</f>
        <v>0</v>
      </c>
      <c r="L150" s="5"/>
    </row>
    <row r="151" spans="1:12" customHeight="1" ht="105" outlineLevel="6">
      <c r="A151" s="1"/>
      <c r="B151" s="1">
        <v>868676</v>
      </c>
      <c r="C151" s="1" t="s">
        <v>561</v>
      </c>
      <c r="D151" s="1" t="s">
        <v>562</v>
      </c>
      <c r="E151" s="2" t="s">
        <v>563</v>
      </c>
      <c r="F151" s="2" t="s">
        <v>564</v>
      </c>
      <c r="G151" s="2">
        <v>3</v>
      </c>
      <c r="H151" s="2">
        <v>0</v>
      </c>
      <c r="I151" s="1">
        <v>0</v>
      </c>
      <c r="J151" s="3" t="s">
        <v>18</v>
      </c>
      <c r="K151" s="2" t="str">
        <f>J151*8194.91</f>
        <v>0</v>
      </c>
      <c r="L151" s="5"/>
    </row>
    <row r="152" spans="1:12" customHeight="1" ht="105" outlineLevel="6">
      <c r="A152" s="1"/>
      <c r="B152" s="1">
        <v>868677</v>
      </c>
      <c r="C152" s="1" t="s">
        <v>565</v>
      </c>
      <c r="D152" s="1" t="s">
        <v>566</v>
      </c>
      <c r="E152" s="2" t="s">
        <v>567</v>
      </c>
      <c r="F152" s="2" t="s">
        <v>568</v>
      </c>
      <c r="G152" s="2">
        <v>3</v>
      </c>
      <c r="H152" s="2">
        <v>0</v>
      </c>
      <c r="I152" s="1">
        <v>0</v>
      </c>
      <c r="J152" s="3" t="s">
        <v>18</v>
      </c>
      <c r="K152" s="2" t="str">
        <f>J152*9432.63</f>
        <v>0</v>
      </c>
      <c r="L152" s="5"/>
    </row>
    <row r="153" spans="1:12" customHeight="1" ht="105" outlineLevel="6">
      <c r="A153" s="1"/>
      <c r="B153" s="1">
        <v>868678</v>
      </c>
      <c r="C153" s="1" t="s">
        <v>569</v>
      </c>
      <c r="D153" s="1" t="s">
        <v>570</v>
      </c>
      <c r="E153" s="2" t="s">
        <v>571</v>
      </c>
      <c r="F153" s="2" t="s">
        <v>572</v>
      </c>
      <c r="G153" s="2">
        <v>1</v>
      </c>
      <c r="H153" s="2">
        <v>0</v>
      </c>
      <c r="I153" s="1">
        <v>0</v>
      </c>
      <c r="J153" s="3" t="s">
        <v>18</v>
      </c>
      <c r="K153" s="2" t="str">
        <f>J153*10562.96</f>
        <v>0</v>
      </c>
      <c r="L153" s="5"/>
    </row>
    <row r="154" spans="1:12" customHeight="1" ht="105" outlineLevel="6">
      <c r="A154" s="1"/>
      <c r="B154" s="1">
        <v>868679</v>
      </c>
      <c r="C154" s="1" t="s">
        <v>573</v>
      </c>
      <c r="D154" s="1" t="s">
        <v>574</v>
      </c>
      <c r="E154" s="2" t="s">
        <v>575</v>
      </c>
      <c r="F154" s="2" t="s">
        <v>576</v>
      </c>
      <c r="G154" s="2">
        <v>2</v>
      </c>
      <c r="H154" s="2">
        <v>0</v>
      </c>
      <c r="I154" s="1">
        <v>0</v>
      </c>
      <c r="J154" s="3" t="s">
        <v>18</v>
      </c>
      <c r="K154" s="2" t="str">
        <f>J154*11622.65</f>
        <v>0</v>
      </c>
      <c r="L154" s="5"/>
    </row>
    <row r="155" spans="1:12" customHeight="1" ht="105" outlineLevel="6">
      <c r="A155" s="1"/>
      <c r="B155" s="1">
        <v>868680</v>
      </c>
      <c r="C155" s="1" t="s">
        <v>577</v>
      </c>
      <c r="D155" s="1" t="s">
        <v>578</v>
      </c>
      <c r="E155" s="2" t="s">
        <v>579</v>
      </c>
      <c r="F155" s="2" t="s">
        <v>580</v>
      </c>
      <c r="G155" s="2">
        <v>2</v>
      </c>
      <c r="H155" s="2">
        <v>0</v>
      </c>
      <c r="I155" s="1">
        <v>0</v>
      </c>
      <c r="J155" s="3" t="s">
        <v>18</v>
      </c>
      <c r="K155" s="2" t="str">
        <f>J155*12752.98</f>
        <v>0</v>
      </c>
      <c r="L155" s="5"/>
    </row>
    <row r="156" spans="1:12" customHeight="1" ht="105" outlineLevel="6">
      <c r="A156" s="1"/>
      <c r="B156" s="1">
        <v>868681</v>
      </c>
      <c r="C156" s="1" t="s">
        <v>581</v>
      </c>
      <c r="D156" s="1" t="s">
        <v>582</v>
      </c>
      <c r="E156" s="2" t="s">
        <v>583</v>
      </c>
      <c r="F156" s="2" t="s">
        <v>584</v>
      </c>
      <c r="G156" s="2">
        <v>2</v>
      </c>
      <c r="H156" s="2">
        <v>0</v>
      </c>
      <c r="I156" s="1">
        <v>0</v>
      </c>
      <c r="J156" s="3" t="s">
        <v>18</v>
      </c>
      <c r="K156" s="2" t="str">
        <f>J156*13849.41</f>
        <v>0</v>
      </c>
      <c r="L156" s="5"/>
    </row>
    <row r="157" spans="1:12" customHeight="1" ht="105" outlineLevel="6">
      <c r="A157" s="1"/>
      <c r="B157" s="1">
        <v>868682</v>
      </c>
      <c r="C157" s="1" t="s">
        <v>585</v>
      </c>
      <c r="D157" s="1" t="s">
        <v>586</v>
      </c>
      <c r="E157" s="2" t="s">
        <v>587</v>
      </c>
      <c r="F157" s="2" t="s">
        <v>588</v>
      </c>
      <c r="G157" s="2">
        <v>3</v>
      </c>
      <c r="H157" s="2">
        <v>0</v>
      </c>
      <c r="I157" s="1">
        <v>0</v>
      </c>
      <c r="J157" s="3" t="s">
        <v>18</v>
      </c>
      <c r="K157" s="2" t="str">
        <f>J157*14411.75</f>
        <v>0</v>
      </c>
      <c r="L157" s="5"/>
    </row>
    <row r="158" spans="1:12" customHeight="1" ht="105" outlineLevel="6">
      <c r="A158" s="1"/>
      <c r="B158" s="1">
        <v>868683</v>
      </c>
      <c r="C158" s="1" t="s">
        <v>589</v>
      </c>
      <c r="D158" s="1" t="s">
        <v>590</v>
      </c>
      <c r="E158" s="2" t="s">
        <v>591</v>
      </c>
      <c r="F158" s="2" t="s">
        <v>592</v>
      </c>
      <c r="G158" s="2">
        <v>4</v>
      </c>
      <c r="H158" s="2">
        <v>0</v>
      </c>
      <c r="I158" s="1">
        <v>0</v>
      </c>
      <c r="J158" s="3" t="s">
        <v>18</v>
      </c>
      <c r="K158" s="2" t="str">
        <f>J158*15542.08</f>
        <v>0</v>
      </c>
      <c r="L158" s="5"/>
    </row>
    <row r="159" spans="1:12" outlineLevel="4">
      <c r="A159" s="10" t="s">
        <v>593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5"/>
    </row>
    <row r="160" spans="1:12" customHeight="1" ht="105" outlineLevel="6">
      <c r="A160" s="1"/>
      <c r="B160" s="1">
        <v>882295</v>
      </c>
      <c r="C160" s="1" t="s">
        <v>594</v>
      </c>
      <c r="D160" s="1" t="s">
        <v>595</v>
      </c>
      <c r="E160" s="2" t="s">
        <v>596</v>
      </c>
      <c r="F160" s="2" t="s">
        <v>597</v>
      </c>
      <c r="G160" s="2">
        <v>0</v>
      </c>
      <c r="H160" s="2">
        <v>0</v>
      </c>
      <c r="I160" s="1">
        <v>0</v>
      </c>
      <c r="J160" s="3" t="s">
        <v>18</v>
      </c>
      <c r="K160" s="2" t="str">
        <f>J160*5256.10</f>
        <v>0</v>
      </c>
      <c r="L160" s="5"/>
    </row>
    <row r="161" spans="1:12" customHeight="1" ht="105" outlineLevel="6">
      <c r="A161" s="1"/>
      <c r="B161" s="1">
        <v>882296</v>
      </c>
      <c r="C161" s="1" t="s">
        <v>598</v>
      </c>
      <c r="D161" s="1" t="s">
        <v>599</v>
      </c>
      <c r="E161" s="2" t="s">
        <v>600</v>
      </c>
      <c r="F161" s="2" t="s">
        <v>601</v>
      </c>
      <c r="G161" s="2">
        <v>3</v>
      </c>
      <c r="H161" s="2">
        <v>0</v>
      </c>
      <c r="I161" s="1">
        <v>0</v>
      </c>
      <c r="J161" s="3" t="s">
        <v>18</v>
      </c>
      <c r="K161" s="2" t="str">
        <f>J161*6376.80</f>
        <v>0</v>
      </c>
      <c r="L161" s="5"/>
    </row>
    <row r="162" spans="1:12" customHeight="1" ht="105" outlineLevel="6">
      <c r="A162" s="1"/>
      <c r="B162" s="1">
        <v>882297</v>
      </c>
      <c r="C162" s="1" t="s">
        <v>602</v>
      </c>
      <c r="D162" s="1" t="s">
        <v>603</v>
      </c>
      <c r="E162" s="2" t="s">
        <v>604</v>
      </c>
      <c r="F162" s="2" t="s">
        <v>605</v>
      </c>
      <c r="G162" s="2">
        <v>4</v>
      </c>
      <c r="H162" s="2">
        <v>0</v>
      </c>
      <c r="I162" s="1">
        <v>0</v>
      </c>
      <c r="J162" s="3" t="s">
        <v>18</v>
      </c>
      <c r="K162" s="2" t="str">
        <f>J162*7360.22</f>
        <v>0</v>
      </c>
      <c r="L162" s="5"/>
    </row>
    <row r="163" spans="1:12" customHeight="1" ht="105" outlineLevel="6">
      <c r="A163" s="1"/>
      <c r="B163" s="1">
        <v>882298</v>
      </c>
      <c r="C163" s="1" t="s">
        <v>606</v>
      </c>
      <c r="D163" s="1" t="s">
        <v>607</v>
      </c>
      <c r="E163" s="2" t="s">
        <v>608</v>
      </c>
      <c r="F163" s="2" t="s">
        <v>609</v>
      </c>
      <c r="G163" s="2">
        <v>3</v>
      </c>
      <c r="H163" s="2">
        <v>0</v>
      </c>
      <c r="I163" s="1">
        <v>0</v>
      </c>
      <c r="J163" s="3" t="s">
        <v>18</v>
      </c>
      <c r="K163" s="2" t="str">
        <f>J163*8315.62</f>
        <v>0</v>
      </c>
      <c r="L163" s="5"/>
    </row>
    <row r="164" spans="1:12" customHeight="1" ht="105" outlineLevel="6">
      <c r="A164" s="1"/>
      <c r="B164" s="1">
        <v>882299</v>
      </c>
      <c r="C164" s="1" t="s">
        <v>610</v>
      </c>
      <c r="D164" s="1" t="s">
        <v>611</v>
      </c>
      <c r="E164" s="2" t="s">
        <v>612</v>
      </c>
      <c r="F164" s="2" t="s">
        <v>613</v>
      </c>
      <c r="G164" s="2">
        <v>5</v>
      </c>
      <c r="H164" s="2">
        <v>0</v>
      </c>
      <c r="I164" s="1">
        <v>0</v>
      </c>
      <c r="J164" s="3" t="s">
        <v>18</v>
      </c>
      <c r="K164" s="2" t="str">
        <f>J164*9637.97</f>
        <v>0</v>
      </c>
      <c r="L164" s="5"/>
    </row>
    <row r="165" spans="1:12" customHeight="1" ht="105" outlineLevel="6">
      <c r="A165" s="1"/>
      <c r="B165" s="1">
        <v>882300</v>
      </c>
      <c r="C165" s="1" t="s">
        <v>614</v>
      </c>
      <c r="D165" s="1" t="s">
        <v>615</v>
      </c>
      <c r="E165" s="2" t="s">
        <v>616</v>
      </c>
      <c r="F165" s="2" t="s">
        <v>617</v>
      </c>
      <c r="G165" s="2">
        <v>0</v>
      </c>
      <c r="H165" s="2">
        <v>0</v>
      </c>
      <c r="I165" s="1">
        <v>0</v>
      </c>
      <c r="J165" s="3" t="s">
        <v>18</v>
      </c>
      <c r="K165" s="2" t="str">
        <f>J165*10804.53</f>
        <v>0</v>
      </c>
      <c r="L165" s="5"/>
    </row>
    <row r="166" spans="1:12" customHeight="1" ht="105" outlineLevel="6">
      <c r="A166" s="1"/>
      <c r="B166" s="1">
        <v>882301</v>
      </c>
      <c r="C166" s="1" t="s">
        <v>618</v>
      </c>
      <c r="D166" s="1" t="s">
        <v>619</v>
      </c>
      <c r="E166" s="2" t="s">
        <v>620</v>
      </c>
      <c r="F166" s="2" t="s">
        <v>621</v>
      </c>
      <c r="G166" s="2">
        <v>2</v>
      </c>
      <c r="H166" s="2">
        <v>0</v>
      </c>
      <c r="I166" s="1">
        <v>0</v>
      </c>
      <c r="J166" s="3" t="s">
        <v>18</v>
      </c>
      <c r="K166" s="2" t="str">
        <f>J166*12295.58</f>
        <v>0</v>
      </c>
      <c r="L166" s="5"/>
    </row>
    <row r="167" spans="1:12" customHeight="1" ht="105" outlineLevel="6">
      <c r="A167" s="1"/>
      <c r="B167" s="1">
        <v>882302</v>
      </c>
      <c r="C167" s="1" t="s">
        <v>622</v>
      </c>
      <c r="D167" s="1" t="s">
        <v>623</v>
      </c>
      <c r="E167" s="2" t="s">
        <v>624</v>
      </c>
      <c r="F167" s="2" t="s">
        <v>625</v>
      </c>
      <c r="G167" s="2">
        <v>4</v>
      </c>
      <c r="H167" s="2">
        <v>0</v>
      </c>
      <c r="I167" s="1">
        <v>0</v>
      </c>
      <c r="J167" s="3" t="s">
        <v>18</v>
      </c>
      <c r="K167" s="2" t="str">
        <f>J167*13395.33</f>
        <v>0</v>
      </c>
      <c r="L167" s="5"/>
    </row>
    <row r="168" spans="1:12" customHeight="1" ht="105" outlineLevel="6">
      <c r="A168" s="1"/>
      <c r="B168" s="1">
        <v>882303</v>
      </c>
      <c r="C168" s="1" t="s">
        <v>626</v>
      </c>
      <c r="D168" s="1" t="s">
        <v>627</v>
      </c>
      <c r="E168" s="2" t="s">
        <v>628</v>
      </c>
      <c r="F168" s="2" t="s">
        <v>629</v>
      </c>
      <c r="G168" s="2">
        <v>3</v>
      </c>
      <c r="H168" s="2">
        <v>0</v>
      </c>
      <c r="I168" s="1">
        <v>0</v>
      </c>
      <c r="J168" s="3" t="s">
        <v>18</v>
      </c>
      <c r="K168" s="2" t="str">
        <f>J168*14459.02</f>
        <v>0</v>
      </c>
      <c r="L168" s="5"/>
    </row>
    <row r="169" spans="1:12" customHeight="1" ht="105" outlineLevel="6">
      <c r="A169" s="1"/>
      <c r="B169" s="1">
        <v>882304</v>
      </c>
      <c r="C169" s="1" t="s">
        <v>630</v>
      </c>
      <c r="D169" s="1" t="s">
        <v>631</v>
      </c>
      <c r="E169" s="2" t="s">
        <v>632</v>
      </c>
      <c r="F169" s="2" t="s">
        <v>633</v>
      </c>
      <c r="G169" s="2">
        <v>2</v>
      </c>
      <c r="H169" s="2">
        <v>0</v>
      </c>
      <c r="I169" s="1">
        <v>0</v>
      </c>
      <c r="J169" s="3" t="s">
        <v>18</v>
      </c>
      <c r="K169" s="2" t="str">
        <f>J169*15558.77</f>
        <v>0</v>
      </c>
      <c r="L169" s="5"/>
    </row>
    <row r="170" spans="1:12" outlineLevel="1">
      <c r="A170" s="7" t="s">
        <v>634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5"/>
    </row>
    <row r="171" spans="1:12" customHeight="1" ht="105" outlineLevel="3">
      <c r="A171" s="1"/>
      <c r="B171" s="1">
        <v>883887</v>
      </c>
      <c r="C171" s="1" t="s">
        <v>635</v>
      </c>
      <c r="D171" s="1"/>
      <c r="E171" s="2" t="s">
        <v>636</v>
      </c>
      <c r="F171" s="2" t="s">
        <v>637</v>
      </c>
      <c r="G171" s="2">
        <v>2</v>
      </c>
      <c r="H171" s="2">
        <v>0</v>
      </c>
      <c r="I171" s="1">
        <v>0</v>
      </c>
      <c r="J171" s="3" t="s">
        <v>18</v>
      </c>
      <c r="K171" s="2" t="str">
        <f>J171*7303.41</f>
        <v>0</v>
      </c>
      <c r="L171" s="5"/>
    </row>
    <row r="172" spans="1:12" outlineLevel="2">
      <c r="A172" s="8" t="s">
        <v>638</v>
      </c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5"/>
    </row>
    <row r="173" spans="1:12" outlineLevel="3">
      <c r="A173" s="9" t="s">
        <v>639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5"/>
    </row>
    <row r="174" spans="1:12" customHeight="1" ht="105" outlineLevel="5">
      <c r="A174" s="1"/>
      <c r="B174" s="1">
        <v>819370</v>
      </c>
      <c r="C174" s="1" t="s">
        <v>640</v>
      </c>
      <c r="D174" s="1" t="s">
        <v>641</v>
      </c>
      <c r="E174" s="2" t="s">
        <v>642</v>
      </c>
      <c r="F174" s="2" t="s">
        <v>643</v>
      </c>
      <c r="G174" s="2">
        <v>0</v>
      </c>
      <c r="H174" s="2">
        <v>0</v>
      </c>
      <c r="I174" s="1">
        <v>0</v>
      </c>
      <c r="J174" s="3" t="s">
        <v>18</v>
      </c>
      <c r="K174" s="2" t="str">
        <f>J174*7214.38</f>
        <v>0</v>
      </c>
      <c r="L174" s="5"/>
    </row>
    <row r="175" spans="1:12" customHeight="1" ht="105" outlineLevel="5">
      <c r="A175" s="1"/>
      <c r="B175" s="1">
        <v>819371</v>
      </c>
      <c r="C175" s="1" t="s">
        <v>644</v>
      </c>
      <c r="D175" s="1" t="s">
        <v>645</v>
      </c>
      <c r="E175" s="2" t="s">
        <v>646</v>
      </c>
      <c r="F175" s="2" t="s">
        <v>647</v>
      </c>
      <c r="G175" s="2">
        <v>3</v>
      </c>
      <c r="H175" s="2">
        <v>0</v>
      </c>
      <c r="I175" s="1">
        <v>0</v>
      </c>
      <c r="J175" s="3" t="s">
        <v>18</v>
      </c>
      <c r="K175" s="2" t="str">
        <f>J175*19920.60</f>
        <v>0</v>
      </c>
      <c r="L175" s="5"/>
    </row>
    <row r="176" spans="1:12" customHeight="1" ht="105" outlineLevel="5">
      <c r="A176" s="1"/>
      <c r="B176" s="1">
        <v>824003</v>
      </c>
      <c r="C176" s="1" t="s">
        <v>648</v>
      </c>
      <c r="D176" s="1" t="s">
        <v>649</v>
      </c>
      <c r="E176" s="2" t="s">
        <v>650</v>
      </c>
      <c r="F176" s="2" t="s">
        <v>651</v>
      </c>
      <c r="G176" s="2">
        <v>2</v>
      </c>
      <c r="H176" s="2">
        <v>0</v>
      </c>
      <c r="I176" s="1">
        <v>0</v>
      </c>
      <c r="J176" s="3" t="s">
        <v>18</v>
      </c>
      <c r="K176" s="2" t="str">
        <f>J176*8987.48</f>
        <v>0</v>
      </c>
      <c r="L176" s="5"/>
    </row>
    <row r="177" spans="1:12" customHeight="1" ht="105" outlineLevel="5">
      <c r="A177" s="1"/>
      <c r="B177" s="1">
        <v>825274</v>
      </c>
      <c r="C177" s="1" t="s">
        <v>652</v>
      </c>
      <c r="D177" s="1" t="s">
        <v>653</v>
      </c>
      <c r="E177" s="2" t="s">
        <v>654</v>
      </c>
      <c r="F177" s="2" t="s">
        <v>655</v>
      </c>
      <c r="G177" s="2">
        <v>0</v>
      </c>
      <c r="H177" s="2">
        <v>0</v>
      </c>
      <c r="I177" s="1">
        <v>0</v>
      </c>
      <c r="J177" s="3" t="s">
        <v>18</v>
      </c>
      <c r="K177" s="2" t="str">
        <f>J177*12127.59</f>
        <v>0</v>
      </c>
      <c r="L177" s="5"/>
    </row>
    <row r="178" spans="1:12" customHeight="1" ht="105" outlineLevel="5">
      <c r="A178" s="1"/>
      <c r="B178" s="1">
        <v>825275</v>
      </c>
      <c r="C178" s="1" t="s">
        <v>656</v>
      </c>
      <c r="D178" s="1" t="s">
        <v>657</v>
      </c>
      <c r="E178" s="2" t="s">
        <v>658</v>
      </c>
      <c r="F178" s="2" t="s">
        <v>659</v>
      </c>
      <c r="G178" s="2">
        <v>0</v>
      </c>
      <c r="H178" s="2">
        <v>0</v>
      </c>
      <c r="I178" s="1">
        <v>0</v>
      </c>
      <c r="J178" s="3" t="s">
        <v>18</v>
      </c>
      <c r="K178" s="2" t="str">
        <f>J178*12795.48</f>
        <v>0</v>
      </c>
      <c r="L178" s="5"/>
    </row>
    <row r="179" spans="1:12" customHeight="1" ht="105" outlineLevel="5">
      <c r="A179" s="1"/>
      <c r="B179" s="1">
        <v>825276</v>
      </c>
      <c r="C179" s="1" t="s">
        <v>660</v>
      </c>
      <c r="D179" s="1" t="s">
        <v>661</v>
      </c>
      <c r="E179" s="2" t="s">
        <v>662</v>
      </c>
      <c r="F179" s="2" t="s">
        <v>663</v>
      </c>
      <c r="G179" s="2">
        <v>0</v>
      </c>
      <c r="H179" s="2">
        <v>0</v>
      </c>
      <c r="I179" s="1">
        <v>0</v>
      </c>
      <c r="J179" s="3" t="s">
        <v>18</v>
      </c>
      <c r="K179" s="2" t="str">
        <f>J179*11526.64</f>
        <v>0</v>
      </c>
      <c r="L179" s="5"/>
    </row>
    <row r="180" spans="1:12" customHeight="1" ht="105" outlineLevel="5">
      <c r="A180" s="1"/>
      <c r="B180" s="1">
        <v>827845</v>
      </c>
      <c r="C180" s="1" t="s">
        <v>664</v>
      </c>
      <c r="D180" s="1" t="s">
        <v>665</v>
      </c>
      <c r="E180" s="2" t="s">
        <v>666</v>
      </c>
      <c r="F180" s="2" t="s">
        <v>242</v>
      </c>
      <c r="G180" s="2">
        <v>5</v>
      </c>
      <c r="H180" s="2">
        <v>0</v>
      </c>
      <c r="I180" s="1">
        <v>0</v>
      </c>
      <c r="J180" s="3" t="s">
        <v>18</v>
      </c>
      <c r="K180" s="2" t="str">
        <f>J180*8361.24</f>
        <v>0</v>
      </c>
      <c r="L180" s="5"/>
    </row>
    <row r="181" spans="1:12" customHeight="1" ht="105" outlineLevel="5">
      <c r="A181" s="1"/>
      <c r="B181" s="1">
        <v>834444</v>
      </c>
      <c r="C181" s="1" t="s">
        <v>667</v>
      </c>
      <c r="D181" s="1" t="s">
        <v>668</v>
      </c>
      <c r="E181" s="2" t="s">
        <v>669</v>
      </c>
      <c r="F181" s="2" t="s">
        <v>670</v>
      </c>
      <c r="G181" s="2">
        <v>4</v>
      </c>
      <c r="H181" s="2">
        <v>0</v>
      </c>
      <c r="I181" s="1">
        <v>0</v>
      </c>
      <c r="J181" s="3" t="s">
        <v>18</v>
      </c>
      <c r="K181" s="2" t="str">
        <f>J181*8794.10</f>
        <v>0</v>
      </c>
      <c r="L181" s="5"/>
    </row>
    <row r="182" spans="1:12" customHeight="1" ht="105" outlineLevel="5">
      <c r="A182" s="1"/>
      <c r="B182" s="1">
        <v>834445</v>
      </c>
      <c r="C182" s="1" t="s">
        <v>671</v>
      </c>
      <c r="D182" s="1" t="s">
        <v>672</v>
      </c>
      <c r="E182" s="2" t="s">
        <v>673</v>
      </c>
      <c r="F182" s="2" t="s">
        <v>651</v>
      </c>
      <c r="G182" s="2">
        <v>0</v>
      </c>
      <c r="H182" s="2">
        <v>0</v>
      </c>
      <c r="I182" s="1">
        <v>0</v>
      </c>
      <c r="J182" s="3" t="s">
        <v>18</v>
      </c>
      <c r="K182" s="2" t="str">
        <f>J182*8987.48</f>
        <v>0</v>
      </c>
      <c r="L182" s="5"/>
    </row>
    <row r="183" spans="1:12" customHeight="1" ht="105" outlineLevel="5">
      <c r="A183" s="1"/>
      <c r="B183" s="1">
        <v>834513</v>
      </c>
      <c r="C183" s="1" t="s">
        <v>674</v>
      </c>
      <c r="D183" s="1" t="s">
        <v>675</v>
      </c>
      <c r="E183" s="2" t="s">
        <v>676</v>
      </c>
      <c r="F183" s="2" t="s">
        <v>677</v>
      </c>
      <c r="G183" s="2">
        <v>0</v>
      </c>
      <c r="H183" s="2">
        <v>0</v>
      </c>
      <c r="I183" s="1">
        <v>0</v>
      </c>
      <c r="J183" s="3" t="s">
        <v>18</v>
      </c>
      <c r="K183" s="2" t="str">
        <f>J183*6674.41</f>
        <v>0</v>
      </c>
      <c r="L183" s="5"/>
    </row>
    <row r="184" spans="1:12" customHeight="1" ht="105" outlineLevel="5">
      <c r="A184" s="1"/>
      <c r="B184" s="1">
        <v>868494</v>
      </c>
      <c r="C184" s="1" t="s">
        <v>678</v>
      </c>
      <c r="D184" s="1" t="s">
        <v>679</v>
      </c>
      <c r="E184" s="2" t="s">
        <v>680</v>
      </c>
      <c r="F184" s="2" t="s">
        <v>681</v>
      </c>
      <c r="G184" s="2">
        <v>2</v>
      </c>
      <c r="H184" s="2">
        <v>0</v>
      </c>
      <c r="I184" s="1">
        <v>0</v>
      </c>
      <c r="J184" s="3" t="s">
        <v>18</v>
      </c>
      <c r="K184" s="2" t="str">
        <f>J184*11837.53</f>
        <v>0</v>
      </c>
      <c r="L184" s="5"/>
    </row>
    <row r="185" spans="1:12" customHeight="1" ht="105" outlineLevel="5">
      <c r="A185" s="1"/>
      <c r="B185" s="1">
        <v>868495</v>
      </c>
      <c r="C185" s="1" t="s">
        <v>682</v>
      </c>
      <c r="D185" s="1" t="s">
        <v>683</v>
      </c>
      <c r="E185" s="2" t="s">
        <v>684</v>
      </c>
      <c r="F185" s="2" t="s">
        <v>685</v>
      </c>
      <c r="G185" s="2">
        <v>2</v>
      </c>
      <c r="H185" s="2">
        <v>0</v>
      </c>
      <c r="I185" s="1">
        <v>0</v>
      </c>
      <c r="J185" s="3" t="s">
        <v>18</v>
      </c>
      <c r="K185" s="2" t="str">
        <f>J185*8954.75</f>
        <v>0</v>
      </c>
      <c r="L185" s="5"/>
    </row>
    <row r="186" spans="1:12" customHeight="1" ht="105" outlineLevel="5">
      <c r="A186" s="1"/>
      <c r="B186" s="1">
        <v>878116</v>
      </c>
      <c r="C186" s="1" t="s">
        <v>686</v>
      </c>
      <c r="D186" s="1" t="s">
        <v>687</v>
      </c>
      <c r="E186" s="2" t="s">
        <v>688</v>
      </c>
      <c r="F186" s="2" t="s">
        <v>689</v>
      </c>
      <c r="G186" s="2">
        <v>2</v>
      </c>
      <c r="H186" s="2">
        <v>0</v>
      </c>
      <c r="I186" s="1">
        <v>0</v>
      </c>
      <c r="J186" s="3" t="s">
        <v>18</v>
      </c>
      <c r="K186" s="2" t="str">
        <f>J186*12796.96</f>
        <v>0</v>
      </c>
      <c r="L186" s="5"/>
    </row>
    <row r="187" spans="1:12" customHeight="1" ht="105" outlineLevel="5">
      <c r="A187" s="1"/>
      <c r="B187" s="1">
        <v>885041</v>
      </c>
      <c r="C187" s="1" t="s">
        <v>690</v>
      </c>
      <c r="D187" s="1" t="s">
        <v>691</v>
      </c>
      <c r="E187" s="2" t="s">
        <v>692</v>
      </c>
      <c r="F187" s="2" t="s">
        <v>693</v>
      </c>
      <c r="G187" s="2">
        <v>5</v>
      </c>
      <c r="H187" s="2">
        <v>0</v>
      </c>
      <c r="I187" s="1">
        <v>0</v>
      </c>
      <c r="J187" s="3" t="s">
        <v>18</v>
      </c>
      <c r="K187" s="2" t="str">
        <f>J187*5792.33</f>
        <v>0</v>
      </c>
      <c r="L187" s="5"/>
    </row>
    <row r="188" spans="1:12" customHeight="1" ht="105" outlineLevel="5">
      <c r="A188" s="1"/>
      <c r="B188" s="1">
        <v>885998</v>
      </c>
      <c r="C188" s="1" t="s">
        <v>694</v>
      </c>
      <c r="D188" s="1" t="s">
        <v>695</v>
      </c>
      <c r="E188" s="2" t="s">
        <v>696</v>
      </c>
      <c r="F188" s="2" t="s">
        <v>697</v>
      </c>
      <c r="G188" s="2" t="s">
        <v>47</v>
      </c>
      <c r="H188" s="2">
        <v>0</v>
      </c>
      <c r="I188" s="1">
        <v>0</v>
      </c>
      <c r="J188" s="3" t="s">
        <v>18</v>
      </c>
      <c r="K188" s="2" t="str">
        <f>J188*7263.46</f>
        <v>0</v>
      </c>
      <c r="L188" s="5"/>
    </row>
    <row r="189" spans="1:12" outlineLevel="3">
      <c r="A189" s="9" t="s">
        <v>698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5"/>
    </row>
    <row r="190" spans="1:12" customHeight="1" ht="105" outlineLevel="5">
      <c r="A190" s="1"/>
      <c r="B190" s="1">
        <v>853690</v>
      </c>
      <c r="C190" s="1" t="s">
        <v>699</v>
      </c>
      <c r="D190" s="1" t="s">
        <v>700</v>
      </c>
      <c r="E190" s="2" t="s">
        <v>701</v>
      </c>
      <c r="F190" s="2" t="s">
        <v>702</v>
      </c>
      <c r="G190" s="2">
        <v>2</v>
      </c>
      <c r="H190" s="2">
        <v>0</v>
      </c>
      <c r="I190" s="1">
        <v>0</v>
      </c>
      <c r="J190" s="3" t="s">
        <v>18</v>
      </c>
      <c r="K190" s="2" t="str">
        <f>J190*3272.50</f>
        <v>0</v>
      </c>
      <c r="L190" s="5"/>
    </row>
    <row r="191" spans="1:12" customHeight="1" ht="105" outlineLevel="5">
      <c r="A191" s="1"/>
      <c r="B191" s="1">
        <v>826595</v>
      </c>
      <c r="C191" s="1" t="s">
        <v>703</v>
      </c>
      <c r="D191" s="1" t="s">
        <v>704</v>
      </c>
      <c r="E191" s="2" t="s">
        <v>705</v>
      </c>
      <c r="F191" s="2" t="s">
        <v>702</v>
      </c>
      <c r="G191" s="2">
        <v>5</v>
      </c>
      <c r="H191" s="2">
        <v>0</v>
      </c>
      <c r="I191" s="1">
        <v>0</v>
      </c>
      <c r="J191" s="3" t="s">
        <v>18</v>
      </c>
      <c r="K191" s="2" t="str">
        <f>J191*3272.50</f>
        <v>0</v>
      </c>
      <c r="L191" s="5"/>
    </row>
    <row r="192" spans="1:12" outlineLevel="3">
      <c r="A192" s="9" t="s">
        <v>706</v>
      </c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5"/>
    </row>
    <row r="193" spans="1:12" customHeight="1" ht="105" outlineLevel="5">
      <c r="A193" s="1"/>
      <c r="B193" s="1">
        <v>819372</v>
      </c>
      <c r="C193" s="1" t="s">
        <v>707</v>
      </c>
      <c r="D193" s="1" t="s">
        <v>708</v>
      </c>
      <c r="E193" s="2" t="s">
        <v>709</v>
      </c>
      <c r="F193" s="2" t="s">
        <v>710</v>
      </c>
      <c r="G193" s="2">
        <v>1</v>
      </c>
      <c r="H193" s="2">
        <v>0</v>
      </c>
      <c r="I193" s="1">
        <v>0</v>
      </c>
      <c r="J193" s="3" t="s">
        <v>18</v>
      </c>
      <c r="K193" s="2" t="str">
        <f>J193*2000.69</f>
        <v>0</v>
      </c>
      <c r="L193" s="5"/>
    </row>
    <row r="194" spans="1:12" customHeight="1" ht="105" outlineLevel="5">
      <c r="A194" s="1"/>
      <c r="B194" s="1">
        <v>819373</v>
      </c>
      <c r="C194" s="1" t="s">
        <v>711</v>
      </c>
      <c r="D194" s="1" t="s">
        <v>712</v>
      </c>
      <c r="E194" s="2" t="s">
        <v>713</v>
      </c>
      <c r="F194" s="2" t="s">
        <v>714</v>
      </c>
      <c r="G194" s="2">
        <v>0</v>
      </c>
      <c r="H194" s="2">
        <v>0</v>
      </c>
      <c r="I194" s="1">
        <v>0</v>
      </c>
      <c r="J194" s="3" t="s">
        <v>18</v>
      </c>
      <c r="K194" s="2" t="str">
        <f>J194*2179.19</f>
        <v>0</v>
      </c>
      <c r="L194" s="5"/>
    </row>
    <row r="195" spans="1:12" customHeight="1" ht="105" outlineLevel="5">
      <c r="A195" s="1"/>
      <c r="B195" s="1">
        <v>819374</v>
      </c>
      <c r="C195" s="1" t="s">
        <v>715</v>
      </c>
      <c r="D195" s="1" t="s">
        <v>716</v>
      </c>
      <c r="E195" s="2" t="s">
        <v>717</v>
      </c>
      <c r="F195" s="2" t="s">
        <v>718</v>
      </c>
      <c r="G195" s="2">
        <v>3</v>
      </c>
      <c r="H195" s="2">
        <v>0</v>
      </c>
      <c r="I195" s="1">
        <v>0</v>
      </c>
      <c r="J195" s="3" t="s">
        <v>18</v>
      </c>
      <c r="K195" s="2" t="str">
        <f>J195*2812.86</f>
        <v>0</v>
      </c>
      <c r="L195" s="5"/>
    </row>
    <row r="196" spans="1:12" customHeight="1" ht="105" outlineLevel="5">
      <c r="A196" s="1"/>
      <c r="B196" s="1">
        <v>819375</v>
      </c>
      <c r="C196" s="1" t="s">
        <v>719</v>
      </c>
      <c r="D196" s="1" t="s">
        <v>720</v>
      </c>
      <c r="E196" s="2" t="s">
        <v>721</v>
      </c>
      <c r="F196" s="2" t="s">
        <v>722</v>
      </c>
      <c r="G196" s="2">
        <v>5</v>
      </c>
      <c r="H196" s="2">
        <v>0</v>
      </c>
      <c r="I196" s="1">
        <v>0</v>
      </c>
      <c r="J196" s="3" t="s">
        <v>18</v>
      </c>
      <c r="K196" s="2" t="str">
        <f>J196*2142.00</f>
        <v>0</v>
      </c>
      <c r="L196" s="5"/>
    </row>
    <row r="197" spans="1:12" customHeight="1" ht="105" outlineLevel="5">
      <c r="A197" s="1"/>
      <c r="B197" s="1">
        <v>819376</v>
      </c>
      <c r="C197" s="1" t="s">
        <v>723</v>
      </c>
      <c r="D197" s="1" t="s">
        <v>724</v>
      </c>
      <c r="E197" s="2" t="s">
        <v>725</v>
      </c>
      <c r="F197" s="2" t="s">
        <v>726</v>
      </c>
      <c r="G197" s="2">
        <v>4</v>
      </c>
      <c r="H197" s="2">
        <v>0</v>
      </c>
      <c r="I197" s="1">
        <v>0</v>
      </c>
      <c r="J197" s="3" t="s">
        <v>18</v>
      </c>
      <c r="K197" s="2" t="str">
        <f>J197*3681.56</f>
        <v>0</v>
      </c>
      <c r="L197" s="5"/>
    </row>
    <row r="198" spans="1:12" customHeight="1" ht="105" outlineLevel="5">
      <c r="A198" s="1"/>
      <c r="B198" s="1">
        <v>819377</v>
      </c>
      <c r="C198" s="1" t="s">
        <v>727</v>
      </c>
      <c r="D198" s="1" t="s">
        <v>728</v>
      </c>
      <c r="E198" s="2" t="s">
        <v>729</v>
      </c>
      <c r="F198" s="2" t="s">
        <v>730</v>
      </c>
      <c r="G198" s="2">
        <v>5</v>
      </c>
      <c r="H198" s="2">
        <v>0</v>
      </c>
      <c r="I198" s="1">
        <v>0</v>
      </c>
      <c r="J198" s="3" t="s">
        <v>18</v>
      </c>
      <c r="K198" s="2" t="str">
        <f>J198*905.89</f>
        <v>0</v>
      </c>
      <c r="L198" s="5"/>
    </row>
    <row r="199" spans="1:12" customHeight="1" ht="105" outlineLevel="5">
      <c r="A199" s="1"/>
      <c r="B199" s="1">
        <v>885999</v>
      </c>
      <c r="C199" s="1" t="s">
        <v>731</v>
      </c>
      <c r="D199" s="1" t="s">
        <v>732</v>
      </c>
      <c r="E199" s="2" t="s">
        <v>733</v>
      </c>
      <c r="F199" s="2" t="s">
        <v>734</v>
      </c>
      <c r="G199" s="2">
        <v>4</v>
      </c>
      <c r="H199" s="2">
        <v>0</v>
      </c>
      <c r="I199" s="1">
        <v>0</v>
      </c>
      <c r="J199" s="3" t="s">
        <v>18</v>
      </c>
      <c r="K199" s="2" t="str">
        <f>J199*2301.16</f>
        <v>0</v>
      </c>
      <c r="L199" s="5"/>
    </row>
    <row r="200" spans="1:12" outlineLevel="2">
      <c r="A200" s="8" t="s">
        <v>735</v>
      </c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5"/>
    </row>
    <row r="201" spans="1:12" outlineLevel="3">
      <c r="A201" s="9" t="s">
        <v>736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5"/>
    </row>
    <row r="202" spans="1:12" customHeight="1" ht="105" outlineLevel="5">
      <c r="A202" s="1"/>
      <c r="B202" s="1">
        <v>819351</v>
      </c>
      <c r="C202" s="1" t="s">
        <v>737</v>
      </c>
      <c r="D202" s="1" t="s">
        <v>738</v>
      </c>
      <c r="E202" s="2" t="s">
        <v>739</v>
      </c>
      <c r="F202" s="2" t="s">
        <v>740</v>
      </c>
      <c r="G202" s="2">
        <v>1</v>
      </c>
      <c r="H202" s="2" t="s">
        <v>48</v>
      </c>
      <c r="I202" s="1">
        <v>0</v>
      </c>
      <c r="J202" s="3" t="s">
        <v>18</v>
      </c>
      <c r="K202" s="2" t="str">
        <f>J202*33860.00</f>
        <v>0</v>
      </c>
      <c r="L202" s="5"/>
    </row>
    <row r="203" spans="1:12" customHeight="1" ht="105" outlineLevel="5">
      <c r="A203" s="1"/>
      <c r="B203" s="1">
        <v>819353</v>
      </c>
      <c r="C203" s="1" t="s">
        <v>741</v>
      </c>
      <c r="D203" s="1" t="s">
        <v>742</v>
      </c>
      <c r="E203" s="2" t="s">
        <v>743</v>
      </c>
      <c r="F203" s="2" t="s">
        <v>744</v>
      </c>
      <c r="G203" s="2">
        <v>0</v>
      </c>
      <c r="H203" s="2" t="s">
        <v>47</v>
      </c>
      <c r="I203" s="1">
        <v>0</v>
      </c>
      <c r="J203" s="3" t="s">
        <v>18</v>
      </c>
      <c r="K203" s="2" t="str">
        <f>J203*40244.00</f>
        <v>0</v>
      </c>
      <c r="L203" s="5"/>
    </row>
    <row r="204" spans="1:12" customHeight="1" ht="105" outlineLevel="5">
      <c r="A204" s="1"/>
      <c r="B204" s="1">
        <v>819368</v>
      </c>
      <c r="C204" s="1" t="s">
        <v>745</v>
      </c>
      <c r="D204" s="1" t="s">
        <v>746</v>
      </c>
      <c r="E204" s="2" t="s">
        <v>747</v>
      </c>
      <c r="F204" s="2" t="s">
        <v>748</v>
      </c>
      <c r="G204" s="2">
        <v>1</v>
      </c>
      <c r="H204" s="2" t="s">
        <v>23</v>
      </c>
      <c r="I204" s="1">
        <v>0</v>
      </c>
      <c r="J204" s="3" t="s">
        <v>18</v>
      </c>
      <c r="K204" s="2" t="str">
        <f>J204*28095.00</f>
        <v>0</v>
      </c>
      <c r="L204" s="5"/>
    </row>
    <row r="205" spans="1:12" customHeight="1" ht="105" outlineLevel="5">
      <c r="A205" s="1"/>
      <c r="B205" s="1">
        <v>819369</v>
      </c>
      <c r="C205" s="1" t="s">
        <v>749</v>
      </c>
      <c r="D205" s="1" t="s">
        <v>750</v>
      </c>
      <c r="E205" s="2" t="s">
        <v>751</v>
      </c>
      <c r="F205" s="2" t="s">
        <v>752</v>
      </c>
      <c r="G205" s="2">
        <v>0</v>
      </c>
      <c r="H205" s="2" t="s">
        <v>48</v>
      </c>
      <c r="I205" s="1">
        <v>0</v>
      </c>
      <c r="J205" s="3" t="s">
        <v>18</v>
      </c>
      <c r="K205" s="2" t="str">
        <f>J205*13295.00</f>
        <v>0</v>
      </c>
      <c r="L205" s="5"/>
    </row>
    <row r="206" spans="1:12" customHeight="1" ht="105" outlineLevel="5">
      <c r="A206" s="1"/>
      <c r="B206" s="1">
        <v>885498</v>
      </c>
      <c r="C206" s="1" t="s">
        <v>753</v>
      </c>
      <c r="D206" s="1" t="s">
        <v>754</v>
      </c>
      <c r="E206" s="2" t="s">
        <v>755</v>
      </c>
      <c r="F206" s="2" t="s">
        <v>756</v>
      </c>
      <c r="G206" s="2">
        <v>0</v>
      </c>
      <c r="H206" s="2">
        <v>6</v>
      </c>
      <c r="I206" s="1">
        <v>0</v>
      </c>
      <c r="J206" s="3" t="s">
        <v>18</v>
      </c>
      <c r="K206" s="2" t="str">
        <f>J206*33874.00</f>
        <v>0</v>
      </c>
      <c r="L206" s="5"/>
    </row>
    <row r="207" spans="1:12" customHeight="1" ht="105" outlineLevel="5">
      <c r="A207" s="1"/>
      <c r="B207" s="1">
        <v>834814</v>
      </c>
      <c r="C207" s="1" t="s">
        <v>757</v>
      </c>
      <c r="D207" s="1" t="s">
        <v>758</v>
      </c>
      <c r="E207" s="2" t="s">
        <v>759</v>
      </c>
      <c r="F207" s="2" t="s">
        <v>760</v>
      </c>
      <c r="G207" s="2">
        <v>0</v>
      </c>
      <c r="H207" s="2">
        <v>0</v>
      </c>
      <c r="I207" s="1">
        <v>0</v>
      </c>
      <c r="J207" s="3" t="s">
        <v>18</v>
      </c>
      <c r="K207" s="2" t="str">
        <f>J207*37176.00</f>
        <v>0</v>
      </c>
      <c r="L207" s="5"/>
    </row>
    <row r="208" spans="1:12" outlineLevel="3">
      <c r="A208" s="9" t="s">
        <v>761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5"/>
    </row>
    <row r="209" spans="1:12" customHeight="1" ht="105" outlineLevel="5">
      <c r="A209" s="1"/>
      <c r="B209" s="1">
        <v>819364</v>
      </c>
      <c r="C209" s="1" t="s">
        <v>762</v>
      </c>
      <c r="D209" s="1" t="s">
        <v>763</v>
      </c>
      <c r="E209" s="2" t="s">
        <v>764</v>
      </c>
      <c r="F209" s="2" t="s">
        <v>765</v>
      </c>
      <c r="G209" s="2">
        <v>1</v>
      </c>
      <c r="H209" s="2" t="s">
        <v>47</v>
      </c>
      <c r="I209" s="1">
        <v>0</v>
      </c>
      <c r="J209" s="3" t="s">
        <v>18</v>
      </c>
      <c r="K209" s="2" t="str">
        <f>J209*16785.00</f>
        <v>0</v>
      </c>
      <c r="L209" s="5"/>
    </row>
    <row r="210" spans="1:12" customHeight="1" ht="105" outlineLevel="5">
      <c r="A210" s="1"/>
      <c r="B210" s="1">
        <v>819365</v>
      </c>
      <c r="C210" s="1" t="s">
        <v>766</v>
      </c>
      <c r="D210" s="1" t="s">
        <v>767</v>
      </c>
      <c r="E210" s="2" t="s">
        <v>768</v>
      </c>
      <c r="F210" s="2" t="s">
        <v>765</v>
      </c>
      <c r="G210" s="2">
        <v>1</v>
      </c>
      <c r="H210" s="2">
        <v>10</v>
      </c>
      <c r="I210" s="1">
        <v>0</v>
      </c>
      <c r="J210" s="3" t="s">
        <v>18</v>
      </c>
      <c r="K210" s="2" t="str">
        <f>J210*16785.00</f>
        <v>0</v>
      </c>
      <c r="L210" s="5"/>
    </row>
    <row r="211" spans="1:12" customHeight="1" ht="105" outlineLevel="5">
      <c r="A211" s="1"/>
      <c r="B211" s="1">
        <v>819366</v>
      </c>
      <c r="C211" s="1" t="s">
        <v>769</v>
      </c>
      <c r="D211" s="1" t="s">
        <v>770</v>
      </c>
      <c r="E211" s="2" t="s">
        <v>771</v>
      </c>
      <c r="F211" s="2" t="s">
        <v>772</v>
      </c>
      <c r="G211" s="2">
        <v>0</v>
      </c>
      <c r="H211" s="2" t="s">
        <v>47</v>
      </c>
      <c r="I211" s="1">
        <v>0</v>
      </c>
      <c r="J211" s="3" t="s">
        <v>18</v>
      </c>
      <c r="K211" s="2" t="str">
        <f>J211*11427.00</f>
        <v>0</v>
      </c>
      <c r="L211" s="5"/>
    </row>
    <row r="212" spans="1:12" customHeight="1" ht="105" outlineLevel="5">
      <c r="A212" s="1"/>
      <c r="B212" s="1">
        <v>819367</v>
      </c>
      <c r="C212" s="1" t="s">
        <v>773</v>
      </c>
      <c r="D212" s="1" t="s">
        <v>774</v>
      </c>
      <c r="E212" s="2" t="s">
        <v>775</v>
      </c>
      <c r="F212" s="2" t="s">
        <v>776</v>
      </c>
      <c r="G212" s="2">
        <v>0</v>
      </c>
      <c r="H212" s="2" t="s">
        <v>47</v>
      </c>
      <c r="I212" s="1">
        <v>0</v>
      </c>
      <c r="J212" s="3" t="s">
        <v>18</v>
      </c>
      <c r="K212" s="2" t="str">
        <f>J212*12190.00</f>
        <v>0</v>
      </c>
      <c r="L212" s="5"/>
    </row>
    <row r="213" spans="1:12" outlineLevel="3">
      <c r="A213" s="9" t="s">
        <v>777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5"/>
    </row>
    <row r="214" spans="1:12" customHeight="1" ht="105" outlineLevel="5">
      <c r="A214" s="1"/>
      <c r="B214" s="1">
        <v>819344</v>
      </c>
      <c r="C214" s="1" t="s">
        <v>778</v>
      </c>
      <c r="D214" s="1" t="s">
        <v>779</v>
      </c>
      <c r="E214" s="2" t="s">
        <v>780</v>
      </c>
      <c r="F214" s="2" t="s">
        <v>781</v>
      </c>
      <c r="G214" s="2">
        <v>2</v>
      </c>
      <c r="H214" s="2">
        <v>0</v>
      </c>
      <c r="I214" s="1">
        <v>0</v>
      </c>
      <c r="J214" s="3" t="s">
        <v>18</v>
      </c>
      <c r="K214" s="2" t="str">
        <f>J214*6342.00</f>
        <v>0</v>
      </c>
      <c r="L214" s="5"/>
    </row>
    <row r="215" spans="1:12" customHeight="1" ht="105" outlineLevel="5">
      <c r="A215" s="1"/>
      <c r="B215" s="1">
        <v>819345</v>
      </c>
      <c r="C215" s="1" t="s">
        <v>782</v>
      </c>
      <c r="D215" s="1" t="s">
        <v>783</v>
      </c>
      <c r="E215" s="2" t="s">
        <v>784</v>
      </c>
      <c r="F215" s="2" t="s">
        <v>785</v>
      </c>
      <c r="G215" s="2">
        <v>3</v>
      </c>
      <c r="H215" s="2">
        <v>0</v>
      </c>
      <c r="I215" s="1">
        <v>0</v>
      </c>
      <c r="J215" s="3" t="s">
        <v>18</v>
      </c>
      <c r="K215" s="2" t="str">
        <f>J215*5344.00</f>
        <v>0</v>
      </c>
      <c r="L215" s="5"/>
    </row>
    <row r="216" spans="1:12" customHeight="1" ht="105" outlineLevel="5">
      <c r="A216" s="1"/>
      <c r="B216" s="1">
        <v>819346</v>
      </c>
      <c r="C216" s="1" t="s">
        <v>786</v>
      </c>
      <c r="D216" s="1" t="s">
        <v>787</v>
      </c>
      <c r="E216" s="2" t="s">
        <v>788</v>
      </c>
      <c r="F216" s="2" t="s">
        <v>789</v>
      </c>
      <c r="G216" s="2">
        <v>1</v>
      </c>
      <c r="H216" s="2" t="s">
        <v>41</v>
      </c>
      <c r="I216" s="1">
        <v>0</v>
      </c>
      <c r="J216" s="3" t="s">
        <v>18</v>
      </c>
      <c r="K216" s="2" t="str">
        <f>J216*2086.00</f>
        <v>0</v>
      </c>
      <c r="L216" s="5"/>
    </row>
    <row r="217" spans="1:12" customHeight="1" ht="105" outlineLevel="5">
      <c r="A217" s="1"/>
      <c r="B217" s="1">
        <v>819347</v>
      </c>
      <c r="C217" s="1" t="s">
        <v>790</v>
      </c>
      <c r="D217" s="1" t="s">
        <v>791</v>
      </c>
      <c r="E217" s="2" t="s">
        <v>792</v>
      </c>
      <c r="F217" s="2" t="s">
        <v>793</v>
      </c>
      <c r="G217" s="2" t="s">
        <v>47</v>
      </c>
      <c r="H217" s="2" t="s">
        <v>23</v>
      </c>
      <c r="I217" s="1">
        <v>0</v>
      </c>
      <c r="J217" s="3" t="s">
        <v>18</v>
      </c>
      <c r="K217" s="2" t="str">
        <f>J217*7494.00</f>
        <v>0</v>
      </c>
      <c r="L217" s="5"/>
    </row>
    <row r="218" spans="1:12" customHeight="1" ht="105" outlineLevel="5">
      <c r="A218" s="1"/>
      <c r="B218" s="1">
        <v>819348</v>
      </c>
      <c r="C218" s="1" t="s">
        <v>794</v>
      </c>
      <c r="D218" s="1" t="s">
        <v>795</v>
      </c>
      <c r="E218" s="2" t="s">
        <v>796</v>
      </c>
      <c r="F218" s="2" t="s">
        <v>797</v>
      </c>
      <c r="G218" s="2">
        <v>2</v>
      </c>
      <c r="H218" s="2" t="s">
        <v>23</v>
      </c>
      <c r="I218" s="1">
        <v>0</v>
      </c>
      <c r="J218" s="3" t="s">
        <v>18</v>
      </c>
      <c r="K218" s="2" t="str">
        <f>J218*8113.00</f>
        <v>0</v>
      </c>
      <c r="L218" s="5"/>
    </row>
    <row r="219" spans="1:12" customHeight="1" ht="105" outlineLevel="5">
      <c r="A219" s="1"/>
      <c r="B219" s="1">
        <v>819349</v>
      </c>
      <c r="C219" s="1" t="s">
        <v>798</v>
      </c>
      <c r="D219" s="1" t="s">
        <v>799</v>
      </c>
      <c r="E219" s="2" t="s">
        <v>800</v>
      </c>
      <c r="F219" s="2" t="s">
        <v>801</v>
      </c>
      <c r="G219" s="2">
        <v>3</v>
      </c>
      <c r="H219" s="2" t="s">
        <v>41</v>
      </c>
      <c r="I219" s="1">
        <v>0</v>
      </c>
      <c r="J219" s="3" t="s">
        <v>18</v>
      </c>
      <c r="K219" s="2" t="str">
        <f>J219*7574.00</f>
        <v>0</v>
      </c>
      <c r="L219" s="5"/>
    </row>
    <row r="220" spans="1:12" customHeight="1" ht="105" outlineLevel="5">
      <c r="A220" s="1"/>
      <c r="B220" s="1">
        <v>819354</v>
      </c>
      <c r="C220" s="1" t="s">
        <v>802</v>
      </c>
      <c r="D220" s="1" t="s">
        <v>803</v>
      </c>
      <c r="E220" s="2" t="s">
        <v>804</v>
      </c>
      <c r="F220" s="2" t="s">
        <v>805</v>
      </c>
      <c r="G220" s="2">
        <v>2</v>
      </c>
      <c r="H220" s="2" t="s">
        <v>47</v>
      </c>
      <c r="I220" s="1">
        <v>0</v>
      </c>
      <c r="J220" s="3" t="s">
        <v>18</v>
      </c>
      <c r="K220" s="2" t="str">
        <f>J220*8556.00</f>
        <v>0</v>
      </c>
      <c r="L220" s="5"/>
    </row>
    <row r="221" spans="1:12" customHeight="1" ht="105" outlineLevel="5">
      <c r="A221" s="1"/>
      <c r="B221" s="1">
        <v>819355</v>
      </c>
      <c r="C221" s="1" t="s">
        <v>806</v>
      </c>
      <c r="D221" s="1" t="s">
        <v>807</v>
      </c>
      <c r="E221" s="2" t="s">
        <v>808</v>
      </c>
      <c r="F221" s="2" t="s">
        <v>809</v>
      </c>
      <c r="G221" s="2">
        <v>0</v>
      </c>
      <c r="H221" s="2" t="s">
        <v>41</v>
      </c>
      <c r="I221" s="1">
        <v>0</v>
      </c>
      <c r="J221" s="3" t="s">
        <v>18</v>
      </c>
      <c r="K221" s="2" t="str">
        <f>J221*8343.00</f>
        <v>0</v>
      </c>
      <c r="L221" s="5"/>
    </row>
    <row r="222" spans="1:12" customHeight="1" ht="105" outlineLevel="5">
      <c r="A222" s="1"/>
      <c r="B222" s="1">
        <v>819356</v>
      </c>
      <c r="C222" s="1" t="s">
        <v>810</v>
      </c>
      <c r="D222" s="1" t="s">
        <v>811</v>
      </c>
      <c r="E222" s="2" t="s">
        <v>812</v>
      </c>
      <c r="F222" s="2" t="s">
        <v>813</v>
      </c>
      <c r="G222" s="2">
        <v>2</v>
      </c>
      <c r="H222" s="2" t="s">
        <v>23</v>
      </c>
      <c r="I222" s="1">
        <v>0</v>
      </c>
      <c r="J222" s="3" t="s">
        <v>18</v>
      </c>
      <c r="K222" s="2" t="str">
        <f>J222*9520.00</f>
        <v>0</v>
      </c>
      <c r="L222" s="5"/>
    </row>
    <row r="223" spans="1:12" customHeight="1" ht="105" outlineLevel="5">
      <c r="A223" s="1"/>
      <c r="B223" s="1">
        <v>819357</v>
      </c>
      <c r="C223" s="1" t="s">
        <v>814</v>
      </c>
      <c r="D223" s="1" t="s">
        <v>815</v>
      </c>
      <c r="E223" s="2" t="s">
        <v>816</v>
      </c>
      <c r="F223" s="2" t="s">
        <v>817</v>
      </c>
      <c r="G223" s="2">
        <v>0</v>
      </c>
      <c r="H223" s="2">
        <v>8</v>
      </c>
      <c r="I223" s="1">
        <v>0</v>
      </c>
      <c r="J223" s="3" t="s">
        <v>18</v>
      </c>
      <c r="K223" s="2" t="str">
        <f>J223*9373.00</f>
        <v>0</v>
      </c>
      <c r="L223" s="5"/>
    </row>
    <row r="224" spans="1:12" customHeight="1" ht="105" outlineLevel="5">
      <c r="A224" s="1"/>
      <c r="B224" s="1">
        <v>819358</v>
      </c>
      <c r="C224" s="1" t="s">
        <v>818</v>
      </c>
      <c r="D224" s="1" t="s">
        <v>819</v>
      </c>
      <c r="E224" s="2" t="s">
        <v>820</v>
      </c>
      <c r="F224" s="2" t="s">
        <v>821</v>
      </c>
      <c r="G224" s="2">
        <v>2</v>
      </c>
      <c r="H224" s="2">
        <v>0</v>
      </c>
      <c r="I224" s="1">
        <v>0</v>
      </c>
      <c r="J224" s="3" t="s">
        <v>18</v>
      </c>
      <c r="K224" s="2" t="str">
        <f>J224*9181.00</f>
        <v>0</v>
      </c>
      <c r="L224" s="5"/>
    </row>
    <row r="225" spans="1:12" customHeight="1" ht="105" outlineLevel="5">
      <c r="A225" s="1"/>
      <c r="B225" s="1">
        <v>819359</v>
      </c>
      <c r="C225" s="1" t="s">
        <v>822</v>
      </c>
      <c r="D225" s="1" t="s">
        <v>823</v>
      </c>
      <c r="E225" s="2" t="s">
        <v>824</v>
      </c>
      <c r="F225" s="2" t="s">
        <v>825</v>
      </c>
      <c r="G225" s="2">
        <v>0</v>
      </c>
      <c r="H225" s="2">
        <v>6</v>
      </c>
      <c r="I225" s="1">
        <v>0</v>
      </c>
      <c r="J225" s="3" t="s">
        <v>18</v>
      </c>
      <c r="K225" s="2" t="str">
        <f>J225*10688.00</f>
        <v>0</v>
      </c>
      <c r="L225" s="5"/>
    </row>
    <row r="226" spans="1:12" customHeight="1" ht="105" outlineLevel="5">
      <c r="A226" s="1"/>
      <c r="B226" s="1">
        <v>819360</v>
      </c>
      <c r="C226" s="1" t="s">
        <v>826</v>
      </c>
      <c r="D226" s="1" t="s">
        <v>827</v>
      </c>
      <c r="E226" s="2" t="s">
        <v>828</v>
      </c>
      <c r="F226" s="2" t="s">
        <v>829</v>
      </c>
      <c r="G226" s="2">
        <v>0</v>
      </c>
      <c r="H226" s="2" t="s">
        <v>47</v>
      </c>
      <c r="I226" s="1">
        <v>0</v>
      </c>
      <c r="J226" s="3" t="s">
        <v>18</v>
      </c>
      <c r="K226" s="2" t="str">
        <f>J226*24914.00</f>
        <v>0</v>
      </c>
      <c r="L226" s="5"/>
    </row>
    <row r="227" spans="1:12" customHeight="1" ht="105" outlineLevel="5">
      <c r="A227" s="1"/>
      <c r="B227" s="1">
        <v>819361</v>
      </c>
      <c r="C227" s="1" t="s">
        <v>830</v>
      </c>
      <c r="D227" s="1" t="s">
        <v>831</v>
      </c>
      <c r="E227" s="2" t="s">
        <v>832</v>
      </c>
      <c r="F227" s="2" t="s">
        <v>829</v>
      </c>
      <c r="G227" s="2">
        <v>0</v>
      </c>
      <c r="H227" s="2">
        <v>0</v>
      </c>
      <c r="I227" s="1">
        <v>0</v>
      </c>
      <c r="J227" s="3" t="s">
        <v>18</v>
      </c>
      <c r="K227" s="2" t="str">
        <f>J227*24914.00</f>
        <v>0</v>
      </c>
      <c r="L227" s="5"/>
    </row>
    <row r="228" spans="1:12" customHeight="1" ht="105" outlineLevel="5">
      <c r="A228" s="1"/>
      <c r="B228" s="1">
        <v>819362</v>
      </c>
      <c r="C228" s="1" t="s">
        <v>833</v>
      </c>
      <c r="D228" s="1" t="s">
        <v>834</v>
      </c>
      <c r="E228" s="2" t="s">
        <v>835</v>
      </c>
      <c r="F228" s="2" t="s">
        <v>836</v>
      </c>
      <c r="G228" s="2">
        <v>0</v>
      </c>
      <c r="H228" s="2">
        <v>8</v>
      </c>
      <c r="I228" s="1">
        <v>0</v>
      </c>
      <c r="J228" s="3" t="s">
        <v>18</v>
      </c>
      <c r="K228" s="2" t="str">
        <f>J228*42725.00</f>
        <v>0</v>
      </c>
      <c r="L228" s="5"/>
    </row>
    <row r="229" spans="1:12" customHeight="1" ht="105" outlineLevel="5">
      <c r="A229" s="1"/>
      <c r="B229" s="1">
        <v>819363</v>
      </c>
      <c r="C229" s="1" t="s">
        <v>837</v>
      </c>
      <c r="D229" s="1" t="s">
        <v>838</v>
      </c>
      <c r="E229" s="2" t="s">
        <v>839</v>
      </c>
      <c r="F229" s="2" t="s">
        <v>840</v>
      </c>
      <c r="G229" s="2">
        <v>0</v>
      </c>
      <c r="H229" s="2">
        <v>0</v>
      </c>
      <c r="I229" s="1">
        <v>0</v>
      </c>
      <c r="J229" s="3" t="s">
        <v>18</v>
      </c>
      <c r="K229" s="2" t="str">
        <f>J229*41596.00</f>
        <v>0</v>
      </c>
      <c r="L229" s="5"/>
    </row>
    <row r="230" spans="1:12" outlineLevel="2">
      <c r="A230" s="8" t="s">
        <v>841</v>
      </c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5"/>
    </row>
    <row r="231" spans="1:12" customHeight="1" ht="105" outlineLevel="4">
      <c r="A231" s="1"/>
      <c r="B231" s="1">
        <v>837027</v>
      </c>
      <c r="C231" s="1" t="s">
        <v>842</v>
      </c>
      <c r="D231" s="1" t="s">
        <v>843</v>
      </c>
      <c r="E231" s="2" t="s">
        <v>844</v>
      </c>
      <c r="F231" s="2" t="s">
        <v>845</v>
      </c>
      <c r="G231" s="2">
        <v>0</v>
      </c>
      <c r="H231" s="2">
        <v>0</v>
      </c>
      <c r="I231" s="1">
        <v>0</v>
      </c>
      <c r="J231" s="3" t="s">
        <v>18</v>
      </c>
      <c r="K231" s="2" t="str">
        <f>J231*7519.17</f>
        <v>0</v>
      </c>
      <c r="L231" s="5"/>
    </row>
    <row r="232" spans="1:12" customHeight="1" ht="105" outlineLevel="4">
      <c r="A232" s="1"/>
      <c r="B232" s="1">
        <v>883388</v>
      </c>
      <c r="C232" s="1" t="s">
        <v>846</v>
      </c>
      <c r="D232" s="1" t="s">
        <v>847</v>
      </c>
      <c r="E232" s="2" t="s">
        <v>848</v>
      </c>
      <c r="F232" s="2" t="s">
        <v>849</v>
      </c>
      <c r="G232" s="2">
        <v>2</v>
      </c>
      <c r="H232" s="2">
        <v>0</v>
      </c>
      <c r="I232" s="1">
        <v>0</v>
      </c>
      <c r="J232" s="3" t="s">
        <v>18</v>
      </c>
      <c r="K232" s="2" t="str">
        <f>J232*10576.60</f>
        <v>0</v>
      </c>
      <c r="L232" s="5"/>
    </row>
    <row r="233" spans="1:12" outlineLevel="1">
      <c r="A233" s="7" t="s">
        <v>850</v>
      </c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5"/>
    </row>
    <row r="234" spans="1:12" outlineLevel="2">
      <c r="A234" s="8" t="s">
        <v>851</v>
      </c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5"/>
    </row>
    <row r="235" spans="1:12" customHeight="1" ht="105" outlineLevel="4">
      <c r="A235" s="1"/>
      <c r="B235" s="1">
        <v>885451</v>
      </c>
      <c r="C235" s="1" t="s">
        <v>852</v>
      </c>
      <c r="D235" s="1"/>
      <c r="E235" s="2" t="s">
        <v>853</v>
      </c>
      <c r="F235" s="2" t="s">
        <v>854</v>
      </c>
      <c r="G235" s="2">
        <v>0</v>
      </c>
      <c r="H235" s="2">
        <v>0</v>
      </c>
      <c r="I235" s="1">
        <v>0</v>
      </c>
      <c r="J235" s="3" t="s">
        <v>855</v>
      </c>
      <c r="K235" s="2" t="str">
        <f>J235*99.00</f>
        <v>0</v>
      </c>
      <c r="L235" s="5"/>
    </row>
    <row r="236" spans="1:12" customHeight="1" ht="105" outlineLevel="4">
      <c r="A236" s="1"/>
      <c r="B236" s="1">
        <v>819431</v>
      </c>
      <c r="C236" s="1" t="s">
        <v>856</v>
      </c>
      <c r="D236" s="1" t="s">
        <v>857</v>
      </c>
      <c r="E236" s="2" t="s">
        <v>858</v>
      </c>
      <c r="F236" s="2" t="s">
        <v>859</v>
      </c>
      <c r="G236" s="2">
        <v>0</v>
      </c>
      <c r="H236" s="2">
        <v>6</v>
      </c>
      <c r="I236" s="1">
        <v>0</v>
      </c>
      <c r="J236" s="3" t="s">
        <v>18</v>
      </c>
      <c r="K236" s="2" t="str">
        <f>J236*3280.00</f>
        <v>0</v>
      </c>
      <c r="L236" s="5"/>
    </row>
    <row r="237" spans="1:12" customHeight="1" ht="105" outlineLevel="4">
      <c r="A237" s="1"/>
      <c r="B237" s="1">
        <v>819432</v>
      </c>
      <c r="C237" s="1" t="s">
        <v>860</v>
      </c>
      <c r="D237" s="1" t="s">
        <v>861</v>
      </c>
      <c r="E237" s="2" t="s">
        <v>862</v>
      </c>
      <c r="F237" s="2" t="s">
        <v>863</v>
      </c>
      <c r="G237" s="2">
        <v>0</v>
      </c>
      <c r="H237" s="2" t="s">
        <v>48</v>
      </c>
      <c r="I237" s="1">
        <v>0</v>
      </c>
      <c r="J237" s="3" t="s">
        <v>18</v>
      </c>
      <c r="K237" s="2" t="str">
        <f>J237*473.00</f>
        <v>0</v>
      </c>
      <c r="L237" s="5"/>
    </row>
    <row r="238" spans="1:12" customHeight="1" ht="105" outlineLevel="4">
      <c r="A238" s="1"/>
      <c r="B238" s="1">
        <v>819433</v>
      </c>
      <c r="C238" s="1" t="s">
        <v>864</v>
      </c>
      <c r="D238" s="1" t="s">
        <v>865</v>
      </c>
      <c r="E238" s="2" t="s">
        <v>866</v>
      </c>
      <c r="F238" s="2" t="s">
        <v>867</v>
      </c>
      <c r="G238" s="2">
        <v>0</v>
      </c>
      <c r="H238" s="2" t="s">
        <v>48</v>
      </c>
      <c r="I238" s="1">
        <v>0</v>
      </c>
      <c r="J238" s="3" t="s">
        <v>18</v>
      </c>
      <c r="K238" s="2" t="str">
        <f>J238*363.00</f>
        <v>0</v>
      </c>
      <c r="L238" s="5"/>
    </row>
    <row r="239" spans="1:12" customHeight="1" ht="105" outlineLevel="4">
      <c r="A239" s="1"/>
      <c r="B239" s="1">
        <v>819436</v>
      </c>
      <c r="C239" s="1" t="s">
        <v>868</v>
      </c>
      <c r="D239" s="1">
        <v>2102</v>
      </c>
      <c r="E239" s="2" t="s">
        <v>869</v>
      </c>
      <c r="F239" s="2" t="s">
        <v>870</v>
      </c>
      <c r="G239" s="2">
        <v>0</v>
      </c>
      <c r="H239" s="2">
        <v>0</v>
      </c>
      <c r="I239" s="1">
        <v>0</v>
      </c>
      <c r="J239" s="3" t="s">
        <v>18</v>
      </c>
      <c r="K239" s="2" t="str">
        <f>J239*702.00</f>
        <v>0</v>
      </c>
      <c r="L239" s="5"/>
    </row>
    <row r="240" spans="1:12" customHeight="1" ht="105" outlineLevel="4">
      <c r="A240" s="1"/>
      <c r="B240" s="1">
        <v>819437</v>
      </c>
      <c r="C240" s="1" t="s">
        <v>871</v>
      </c>
      <c r="D240" s="1" t="s">
        <v>872</v>
      </c>
      <c r="E240" s="2" t="s">
        <v>873</v>
      </c>
      <c r="F240" s="2" t="s">
        <v>874</v>
      </c>
      <c r="G240" s="2">
        <v>8</v>
      </c>
      <c r="H240" s="2" t="s">
        <v>17</v>
      </c>
      <c r="I240" s="1">
        <v>0</v>
      </c>
      <c r="J240" s="3" t="s">
        <v>18</v>
      </c>
      <c r="K240" s="2" t="str">
        <f>J240*440.00</f>
        <v>0</v>
      </c>
      <c r="L240" s="5"/>
    </row>
    <row r="241" spans="1:12" customHeight="1" ht="105" outlineLevel="4">
      <c r="A241" s="1"/>
      <c r="B241" s="1">
        <v>819426</v>
      </c>
      <c r="C241" s="1" t="s">
        <v>875</v>
      </c>
      <c r="D241" s="1" t="s">
        <v>876</v>
      </c>
      <c r="E241" s="2" t="s">
        <v>877</v>
      </c>
      <c r="F241" s="2" t="s">
        <v>878</v>
      </c>
      <c r="G241" s="2" t="s">
        <v>23</v>
      </c>
      <c r="H241" s="2" t="s">
        <v>32</v>
      </c>
      <c r="I241" s="1">
        <v>0</v>
      </c>
      <c r="J241" s="3" t="s">
        <v>18</v>
      </c>
      <c r="K241" s="2" t="str">
        <f>J241*339.00</f>
        <v>0</v>
      </c>
      <c r="L241" s="5"/>
    </row>
    <row r="242" spans="1:12" customHeight="1" ht="105" outlineLevel="4">
      <c r="A242" s="1"/>
      <c r="B242" s="1">
        <v>819427</v>
      </c>
      <c r="C242" s="1" t="s">
        <v>879</v>
      </c>
      <c r="D242" s="1" t="s">
        <v>880</v>
      </c>
      <c r="E242" s="2" t="s">
        <v>881</v>
      </c>
      <c r="F242" s="2" t="s">
        <v>882</v>
      </c>
      <c r="G242" s="2">
        <v>3</v>
      </c>
      <c r="H242" s="2" t="s">
        <v>48</v>
      </c>
      <c r="I242" s="1">
        <v>0</v>
      </c>
      <c r="J242" s="3" t="s">
        <v>883</v>
      </c>
      <c r="K242" s="2" t="str">
        <f>J242*396.00</f>
        <v>0</v>
      </c>
      <c r="L242" s="5"/>
    </row>
    <row r="243" spans="1:12" customHeight="1" ht="105" outlineLevel="4">
      <c r="A243" s="1"/>
      <c r="B243" s="1">
        <v>819428</v>
      </c>
      <c r="C243" s="1" t="s">
        <v>884</v>
      </c>
      <c r="D243" s="1" t="s">
        <v>885</v>
      </c>
      <c r="E243" s="2" t="s">
        <v>886</v>
      </c>
      <c r="F243" s="2" t="s">
        <v>887</v>
      </c>
      <c r="G243" s="2" t="s">
        <v>41</v>
      </c>
      <c r="H243" s="2" t="s">
        <v>32</v>
      </c>
      <c r="I243" s="1">
        <v>0</v>
      </c>
      <c r="J243" s="3" t="s">
        <v>855</v>
      </c>
      <c r="K243" s="2" t="str">
        <f>J243*74.00</f>
        <v>0</v>
      </c>
      <c r="L243" s="5"/>
    </row>
    <row r="244" spans="1:12" customHeight="1" ht="105" outlineLevel="4">
      <c r="A244" s="1"/>
      <c r="B244" s="1">
        <v>819429</v>
      </c>
      <c r="C244" s="1" t="s">
        <v>888</v>
      </c>
      <c r="D244" s="1" t="s">
        <v>889</v>
      </c>
      <c r="E244" s="2" t="s">
        <v>890</v>
      </c>
      <c r="F244" s="2" t="s">
        <v>891</v>
      </c>
      <c r="G244" s="2" t="s">
        <v>48</v>
      </c>
      <c r="H244" s="2" t="s">
        <v>42</v>
      </c>
      <c r="I244" s="1">
        <v>0</v>
      </c>
      <c r="J244" s="3" t="s">
        <v>18</v>
      </c>
      <c r="K244" s="2" t="str">
        <f>J244*118.00</f>
        <v>0</v>
      </c>
      <c r="L244" s="5"/>
    </row>
    <row r="245" spans="1:12" customHeight="1" ht="105" outlineLevel="4">
      <c r="A245" s="1"/>
      <c r="B245" s="1">
        <v>819430</v>
      </c>
      <c r="C245" s="1" t="s">
        <v>892</v>
      </c>
      <c r="D245" s="1" t="s">
        <v>893</v>
      </c>
      <c r="E245" s="2" t="s">
        <v>894</v>
      </c>
      <c r="F245" s="2" t="s">
        <v>895</v>
      </c>
      <c r="G245" s="2" t="s">
        <v>48</v>
      </c>
      <c r="H245" s="2" t="s">
        <v>17</v>
      </c>
      <c r="I245" s="1">
        <v>0</v>
      </c>
      <c r="J245" s="3" t="s">
        <v>18</v>
      </c>
      <c r="K245" s="2" t="str">
        <f>J245*185.00</f>
        <v>0</v>
      </c>
      <c r="L245" s="5"/>
    </row>
    <row r="246" spans="1:12" customHeight="1" ht="105" outlineLevel="4">
      <c r="A246" s="1"/>
      <c r="B246" s="1">
        <v>819438</v>
      </c>
      <c r="C246" s="1" t="s">
        <v>896</v>
      </c>
      <c r="D246" s="1" t="s">
        <v>897</v>
      </c>
      <c r="E246" s="2" t="s">
        <v>898</v>
      </c>
      <c r="F246" s="2" t="s">
        <v>899</v>
      </c>
      <c r="G246" s="2" t="s">
        <v>47</v>
      </c>
      <c r="H246" s="2" t="s">
        <v>17</v>
      </c>
      <c r="I246" s="1">
        <v>0</v>
      </c>
      <c r="J246" s="3" t="s">
        <v>18</v>
      </c>
      <c r="K246" s="2" t="str">
        <f>J246*57.00</f>
        <v>0</v>
      </c>
      <c r="L246" s="5"/>
    </row>
    <row r="247" spans="1:12" customHeight="1" ht="105" outlineLevel="4">
      <c r="A247" s="1"/>
      <c r="B247" s="1">
        <v>819439</v>
      </c>
      <c r="C247" s="1" t="s">
        <v>900</v>
      </c>
      <c r="D247" s="1" t="s">
        <v>901</v>
      </c>
      <c r="E247" s="2" t="s">
        <v>902</v>
      </c>
      <c r="F247" s="2" t="s">
        <v>903</v>
      </c>
      <c r="G247" s="2" t="s">
        <v>41</v>
      </c>
      <c r="H247" s="2" t="s">
        <v>32</v>
      </c>
      <c r="I247" s="1">
        <v>0</v>
      </c>
      <c r="J247" s="3" t="s">
        <v>18</v>
      </c>
      <c r="K247" s="2" t="str">
        <f>J247*81.00</f>
        <v>0</v>
      </c>
      <c r="L247" s="5"/>
    </row>
    <row r="248" spans="1:12" customHeight="1" ht="105" outlineLevel="4">
      <c r="A248" s="1"/>
      <c r="B248" s="1">
        <v>819440</v>
      </c>
      <c r="C248" s="1" t="s">
        <v>904</v>
      </c>
      <c r="D248" s="1" t="s">
        <v>905</v>
      </c>
      <c r="E248" s="2" t="s">
        <v>906</v>
      </c>
      <c r="F248" s="2" t="s">
        <v>907</v>
      </c>
      <c r="G248" s="2">
        <v>3</v>
      </c>
      <c r="H248" s="2" t="s">
        <v>48</v>
      </c>
      <c r="I248" s="1">
        <v>0</v>
      </c>
      <c r="J248" s="3" t="s">
        <v>18</v>
      </c>
      <c r="K248" s="2" t="str">
        <f>J248*54.00</f>
        <v>0</v>
      </c>
      <c r="L248" s="5"/>
    </row>
    <row r="249" spans="1:12" customHeight="1" ht="105" outlineLevel="4">
      <c r="A249" s="1"/>
      <c r="B249" s="1">
        <v>825483</v>
      </c>
      <c r="C249" s="1" t="s">
        <v>908</v>
      </c>
      <c r="D249" s="1" t="s">
        <v>909</v>
      </c>
      <c r="E249" s="2" t="s">
        <v>910</v>
      </c>
      <c r="F249" s="2" t="s">
        <v>911</v>
      </c>
      <c r="G249" s="2">
        <v>2</v>
      </c>
      <c r="H249" s="2" t="s">
        <v>23</v>
      </c>
      <c r="I249" s="1">
        <v>0</v>
      </c>
      <c r="J249" s="3" t="s">
        <v>18</v>
      </c>
      <c r="K249" s="2" t="str">
        <f>J249*5398.00</f>
        <v>0</v>
      </c>
      <c r="L249" s="5"/>
    </row>
    <row r="250" spans="1:12" customHeight="1" ht="105" outlineLevel="4">
      <c r="A250" s="1"/>
      <c r="B250" s="1">
        <v>825484</v>
      </c>
      <c r="C250" s="1" t="s">
        <v>912</v>
      </c>
      <c r="D250" s="1" t="s">
        <v>913</v>
      </c>
      <c r="E250" s="2" t="s">
        <v>914</v>
      </c>
      <c r="F250" s="2" t="s">
        <v>915</v>
      </c>
      <c r="G250" s="2" t="s">
        <v>42</v>
      </c>
      <c r="H250" s="2" t="s">
        <v>42</v>
      </c>
      <c r="I250" s="1">
        <v>0</v>
      </c>
      <c r="J250" s="3" t="s">
        <v>18</v>
      </c>
      <c r="K250" s="2" t="str">
        <f>J250*3.40</f>
        <v>0</v>
      </c>
      <c r="L250" s="5"/>
    </row>
    <row r="251" spans="1:12" customHeight="1" ht="105" outlineLevel="4">
      <c r="A251" s="1"/>
      <c r="B251" s="1">
        <v>836332</v>
      </c>
      <c r="C251" s="1" t="s">
        <v>916</v>
      </c>
      <c r="D251" s="1">
        <v>10000004</v>
      </c>
      <c r="E251" s="2" t="s">
        <v>917</v>
      </c>
      <c r="F251" s="2" t="s">
        <v>918</v>
      </c>
      <c r="G251" s="2">
        <v>0</v>
      </c>
      <c r="H251" s="2">
        <v>0</v>
      </c>
      <c r="I251" s="1">
        <v>0</v>
      </c>
      <c r="J251" s="3" t="s">
        <v>18</v>
      </c>
      <c r="K251" s="2" t="str">
        <f>J251*11.20</f>
        <v>0</v>
      </c>
      <c r="L251" s="5"/>
    </row>
    <row r="252" spans="1:12" customHeight="1" ht="105" outlineLevel="4">
      <c r="A252" s="1"/>
      <c r="B252" s="1">
        <v>869364</v>
      </c>
      <c r="C252" s="1" t="s">
        <v>919</v>
      </c>
      <c r="D252" s="1">
        <v>1.163208</v>
      </c>
      <c r="E252" s="2" t="s">
        <v>920</v>
      </c>
      <c r="F252" s="2" t="s">
        <v>921</v>
      </c>
      <c r="G252" s="2">
        <v>0</v>
      </c>
      <c r="H252" s="2" t="s">
        <v>42</v>
      </c>
      <c r="I252" s="1">
        <v>0</v>
      </c>
      <c r="J252" s="3" t="s">
        <v>18</v>
      </c>
      <c r="K252" s="2" t="str">
        <f>J252*9.10</f>
        <v>0</v>
      </c>
      <c r="L252" s="5"/>
    </row>
    <row r="253" spans="1:12" customHeight="1" ht="105" outlineLevel="4">
      <c r="A253" s="1"/>
      <c r="B253" s="1">
        <v>869365</v>
      </c>
      <c r="C253" s="1" t="s">
        <v>922</v>
      </c>
      <c r="D253" s="1">
        <v>2.163208</v>
      </c>
      <c r="E253" s="2" t="s">
        <v>923</v>
      </c>
      <c r="F253" s="2" t="s">
        <v>924</v>
      </c>
      <c r="G253" s="2">
        <v>0</v>
      </c>
      <c r="H253" s="2" t="s">
        <v>41</v>
      </c>
      <c r="I253" s="1">
        <v>0</v>
      </c>
      <c r="J253" s="3" t="s">
        <v>18</v>
      </c>
      <c r="K253" s="2" t="str">
        <f>J253*9.30</f>
        <v>0</v>
      </c>
      <c r="L253" s="5"/>
    </row>
    <row r="254" spans="1:12" customHeight="1" ht="105" outlineLevel="4">
      <c r="A254" s="1"/>
      <c r="B254" s="1">
        <v>869366</v>
      </c>
      <c r="C254" s="1" t="s">
        <v>925</v>
      </c>
      <c r="D254" s="1">
        <v>2.16321</v>
      </c>
      <c r="E254" s="2" t="s">
        <v>926</v>
      </c>
      <c r="F254" s="2" t="s">
        <v>927</v>
      </c>
      <c r="G254" s="2">
        <v>0</v>
      </c>
      <c r="H254" s="2" t="s">
        <v>32</v>
      </c>
      <c r="I254" s="1">
        <v>0</v>
      </c>
      <c r="J254" s="3" t="s">
        <v>18</v>
      </c>
      <c r="K254" s="2" t="str">
        <f>J254*9.50</f>
        <v>0</v>
      </c>
      <c r="L254" s="5"/>
    </row>
    <row r="255" spans="1:12" customHeight="1" ht="105" outlineLevel="4">
      <c r="A255" s="1"/>
      <c r="B255" s="1">
        <v>877709</v>
      </c>
      <c r="C255" s="1" t="s">
        <v>928</v>
      </c>
      <c r="D255" s="1">
        <v>10000008</v>
      </c>
      <c r="E255" s="2" t="s">
        <v>929</v>
      </c>
      <c r="F255" s="2" t="s">
        <v>930</v>
      </c>
      <c r="G255" s="2" t="s">
        <v>48</v>
      </c>
      <c r="H255" s="2" t="s">
        <v>42</v>
      </c>
      <c r="I255" s="1">
        <v>0</v>
      </c>
      <c r="J255" s="3" t="s">
        <v>18</v>
      </c>
      <c r="K255" s="2" t="str">
        <f>J255*4.00</f>
        <v>0</v>
      </c>
      <c r="L255" s="5"/>
    </row>
    <row r="256" spans="1:12" customHeight="1" ht="105" outlineLevel="4">
      <c r="A256" s="1"/>
      <c r="B256" s="1">
        <v>889985</v>
      </c>
      <c r="C256" s="1" t="s">
        <v>931</v>
      </c>
      <c r="D256" s="1" t="s">
        <v>932</v>
      </c>
      <c r="E256" s="2" t="s">
        <v>933</v>
      </c>
      <c r="F256" s="2" t="s">
        <v>934</v>
      </c>
      <c r="G256" s="2" t="s">
        <v>23</v>
      </c>
      <c r="H256" s="2" t="s">
        <v>48</v>
      </c>
      <c r="I256" s="1">
        <v>0</v>
      </c>
      <c r="J256" s="3" t="s">
        <v>18</v>
      </c>
      <c r="K256" s="2" t="str">
        <f>J256*108.00</f>
        <v>0</v>
      </c>
      <c r="L256" s="5"/>
    </row>
    <row r="257" spans="1:12" customHeight="1" ht="105" outlineLevel="4">
      <c r="A257" s="1"/>
      <c r="B257" s="1">
        <v>889986</v>
      </c>
      <c r="C257" s="1" t="s">
        <v>935</v>
      </c>
      <c r="D257" s="1" t="s">
        <v>936</v>
      </c>
      <c r="E257" s="2" t="s">
        <v>937</v>
      </c>
      <c r="F257" s="2" t="s">
        <v>938</v>
      </c>
      <c r="G257" s="2" t="s">
        <v>47</v>
      </c>
      <c r="H257" s="2" t="s">
        <v>48</v>
      </c>
      <c r="I257" s="1">
        <v>0</v>
      </c>
      <c r="J257" s="3" t="s">
        <v>18</v>
      </c>
      <c r="K257" s="2" t="str">
        <f>J257*84.00</f>
        <v>0</v>
      </c>
      <c r="L257" s="5"/>
    </row>
    <row r="258" spans="1:12" customHeight="1" ht="105" outlineLevel="4">
      <c r="A258" s="1"/>
      <c r="B258" s="1">
        <v>890014</v>
      </c>
      <c r="C258" s="1" t="s">
        <v>939</v>
      </c>
      <c r="D258" s="1" t="s">
        <v>940</v>
      </c>
      <c r="E258" s="2" t="s">
        <v>941</v>
      </c>
      <c r="F258" s="2" t="s">
        <v>942</v>
      </c>
      <c r="G258" s="2">
        <v>0</v>
      </c>
      <c r="H258" s="2" t="s">
        <v>48</v>
      </c>
      <c r="I258" s="1">
        <v>0</v>
      </c>
      <c r="J258" s="3" t="s">
        <v>18</v>
      </c>
      <c r="K258" s="2" t="str">
        <f>J258*679.00</f>
        <v>0</v>
      </c>
      <c r="L258" s="5"/>
    </row>
    <row r="259" spans="1:12" outlineLevel="4">
      <c r="A259" s="1"/>
      <c r="B259" s="1">
        <v>883579</v>
      </c>
      <c r="C259" s="1" t="s">
        <v>943</v>
      </c>
      <c r="D259" s="1"/>
      <c r="E259" s="2" t="s">
        <v>944</v>
      </c>
      <c r="F259" s="2" t="s">
        <v>945</v>
      </c>
      <c r="G259" s="2">
        <v>0</v>
      </c>
      <c r="H259" s="2">
        <v>0</v>
      </c>
      <c r="I259" s="1">
        <v>0</v>
      </c>
      <c r="J259" s="3" t="s">
        <v>855</v>
      </c>
      <c r="K259" s="2" t="str">
        <f>J259*60.00</f>
        <v>0</v>
      </c>
      <c r="L259" s="5"/>
    </row>
    <row r="260" spans="1:12" outlineLevel="2">
      <c r="A260" s="8" t="s">
        <v>946</v>
      </c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5"/>
    </row>
    <row r="261" spans="1:12" customHeight="1" ht="105" outlineLevel="4">
      <c r="A261" s="1"/>
      <c r="B261" s="1">
        <v>883004</v>
      </c>
      <c r="C261" s="1" t="s">
        <v>947</v>
      </c>
      <c r="D261" s="1"/>
      <c r="E261" s="2" t="s">
        <v>948</v>
      </c>
      <c r="F261" s="2" t="s">
        <v>949</v>
      </c>
      <c r="G261" s="2">
        <v>0</v>
      </c>
      <c r="H261" s="2">
        <v>0</v>
      </c>
      <c r="I261" s="1">
        <v>0</v>
      </c>
      <c r="J261" s="3" t="s">
        <v>18</v>
      </c>
      <c r="K261" s="2" t="str">
        <f>J261*3.65</f>
        <v>0</v>
      </c>
      <c r="L261" s="5"/>
    </row>
    <row r="262" spans="1:12" customHeight="1" ht="105" outlineLevel="4">
      <c r="A262" s="1"/>
      <c r="B262" s="1">
        <v>825279</v>
      </c>
      <c r="C262" s="1" t="s">
        <v>950</v>
      </c>
      <c r="D262" s="1" t="s">
        <v>951</v>
      </c>
      <c r="E262" s="2" t="s">
        <v>952</v>
      </c>
      <c r="F262" s="2" t="s">
        <v>953</v>
      </c>
      <c r="G262" s="2">
        <v>0</v>
      </c>
      <c r="H262" s="2">
        <v>0</v>
      </c>
      <c r="I262" s="1">
        <v>0</v>
      </c>
      <c r="J262" s="3" t="s">
        <v>18</v>
      </c>
      <c r="K262" s="2" t="str">
        <f>J262*7074.55</f>
        <v>0</v>
      </c>
      <c r="L262" s="5"/>
    </row>
    <row r="263" spans="1:12" customHeight="1" ht="105" outlineLevel="4">
      <c r="A263" s="1"/>
      <c r="B263" s="1">
        <v>825280</v>
      </c>
      <c r="C263" s="1" t="s">
        <v>954</v>
      </c>
      <c r="D263" s="1" t="s">
        <v>955</v>
      </c>
      <c r="E263" s="2" t="s">
        <v>956</v>
      </c>
      <c r="F263" s="2" t="s">
        <v>957</v>
      </c>
      <c r="G263" s="2" t="s">
        <v>48</v>
      </c>
      <c r="H263" s="2">
        <v>0</v>
      </c>
      <c r="I263" s="1">
        <v>0</v>
      </c>
      <c r="J263" s="3" t="s">
        <v>18</v>
      </c>
      <c r="K263" s="2" t="str">
        <f>J263*2.98</f>
        <v>0</v>
      </c>
      <c r="L263" s="5"/>
    </row>
    <row r="264" spans="1:12" customHeight="1" ht="105" outlineLevel="4">
      <c r="A264" s="1"/>
      <c r="B264" s="1">
        <v>825282</v>
      </c>
      <c r="C264" s="1" t="s">
        <v>958</v>
      </c>
      <c r="D264" s="1"/>
      <c r="E264" s="2" t="s">
        <v>959</v>
      </c>
      <c r="F264" s="2" t="s">
        <v>854</v>
      </c>
      <c r="G264" s="2" t="s">
        <v>48</v>
      </c>
      <c r="H264" s="2">
        <v>0</v>
      </c>
      <c r="I264" s="1">
        <v>0</v>
      </c>
      <c r="J264" s="3" t="s">
        <v>18</v>
      </c>
      <c r="K264" s="2" t="str">
        <f>J264*99.00</f>
        <v>0</v>
      </c>
      <c r="L264" s="5"/>
    </row>
    <row r="265" spans="1:12" customHeight="1" ht="105" outlineLevel="4">
      <c r="A265" s="1"/>
      <c r="B265" s="1">
        <v>829307</v>
      </c>
      <c r="C265" s="1" t="s">
        <v>960</v>
      </c>
      <c r="D265" s="1" t="s">
        <v>961</v>
      </c>
      <c r="E265" s="2" t="s">
        <v>962</v>
      </c>
      <c r="F265" s="2" t="s">
        <v>963</v>
      </c>
      <c r="G265" s="2" t="s">
        <v>17</v>
      </c>
      <c r="H265" s="2">
        <v>0</v>
      </c>
      <c r="I265" s="1">
        <v>0</v>
      </c>
      <c r="J265" s="3" t="s">
        <v>18</v>
      </c>
      <c r="K265" s="2" t="str">
        <f>J265*35.70</f>
        <v>0</v>
      </c>
      <c r="L265" s="5"/>
    </row>
    <row r="266" spans="1:12" customHeight="1" ht="105" outlineLevel="4">
      <c r="A266" s="1"/>
      <c r="B266" s="1">
        <v>829308</v>
      </c>
      <c r="C266" s="1" t="s">
        <v>964</v>
      </c>
      <c r="D266" s="1" t="s">
        <v>965</v>
      </c>
      <c r="E266" s="2" t="s">
        <v>966</v>
      </c>
      <c r="F266" s="2" t="s">
        <v>967</v>
      </c>
      <c r="G266" s="2" t="s">
        <v>48</v>
      </c>
      <c r="H266" s="2">
        <v>0</v>
      </c>
      <c r="I266" s="1">
        <v>0</v>
      </c>
      <c r="J266" s="3" t="s">
        <v>18</v>
      </c>
      <c r="K266" s="2" t="str">
        <f>J266*59.50</f>
        <v>0</v>
      </c>
      <c r="L266" s="5"/>
    </row>
    <row r="267" spans="1:12" customHeight="1" ht="105" outlineLevel="4">
      <c r="A267" s="1"/>
      <c r="B267" s="1">
        <v>829309</v>
      </c>
      <c r="C267" s="1" t="s">
        <v>968</v>
      </c>
      <c r="D267" s="1" t="s">
        <v>969</v>
      </c>
      <c r="E267" s="2" t="s">
        <v>970</v>
      </c>
      <c r="F267" s="2" t="s">
        <v>971</v>
      </c>
      <c r="G267" s="2">
        <v>0</v>
      </c>
      <c r="H267" s="2">
        <v>0</v>
      </c>
      <c r="I267" s="1">
        <v>0</v>
      </c>
      <c r="J267" s="3" t="s">
        <v>18</v>
      </c>
      <c r="K267" s="2" t="str">
        <f>J267*34.21</f>
        <v>0</v>
      </c>
      <c r="L267" s="5"/>
    </row>
    <row r="268" spans="1:12" customHeight="1" ht="105" outlineLevel="4">
      <c r="A268" s="1"/>
      <c r="B268" s="1">
        <v>829310</v>
      </c>
      <c r="C268" s="1" t="s">
        <v>972</v>
      </c>
      <c r="D268" s="1" t="s">
        <v>973</v>
      </c>
      <c r="E268" s="2" t="s">
        <v>966</v>
      </c>
      <c r="F268" s="2" t="s">
        <v>974</v>
      </c>
      <c r="G268" s="2">
        <v>0</v>
      </c>
      <c r="H268" s="2">
        <v>0</v>
      </c>
      <c r="I268" s="1">
        <v>0</v>
      </c>
      <c r="J268" s="3" t="s">
        <v>18</v>
      </c>
      <c r="K268" s="2" t="str">
        <f>J268*43.14</f>
        <v>0</v>
      </c>
      <c r="L268" s="5"/>
    </row>
    <row r="269" spans="1:12" customHeight="1" ht="105" outlineLevel="4">
      <c r="A269" s="1"/>
      <c r="B269" s="1">
        <v>857752</v>
      </c>
      <c r="C269" s="1" t="s">
        <v>975</v>
      </c>
      <c r="D269" s="1" t="s">
        <v>976</v>
      </c>
      <c r="E269" s="2" t="s">
        <v>977</v>
      </c>
      <c r="F269" s="2" t="s">
        <v>978</v>
      </c>
      <c r="G269" s="2" t="s">
        <v>48</v>
      </c>
      <c r="H269" s="2">
        <v>0</v>
      </c>
      <c r="I269" s="1">
        <v>0</v>
      </c>
      <c r="J269" s="3" t="s">
        <v>18</v>
      </c>
      <c r="K269" s="2" t="str">
        <f>J269*4.46</f>
        <v>0</v>
      </c>
      <c r="L269" s="5"/>
    </row>
    <row r="270" spans="1:12" customHeight="1" ht="105" outlineLevel="4">
      <c r="A270" s="1"/>
      <c r="B270" s="1">
        <v>857753</v>
      </c>
      <c r="C270" s="1" t="s">
        <v>979</v>
      </c>
      <c r="D270" s="1" t="s">
        <v>980</v>
      </c>
      <c r="E270" s="2" t="s">
        <v>981</v>
      </c>
      <c r="F270" s="2" t="s">
        <v>978</v>
      </c>
      <c r="G270" s="2" t="s">
        <v>48</v>
      </c>
      <c r="H270" s="2">
        <v>0</v>
      </c>
      <c r="I270" s="1">
        <v>0</v>
      </c>
      <c r="J270" s="3" t="s">
        <v>18</v>
      </c>
      <c r="K270" s="2" t="str">
        <f>J270*4.46</f>
        <v>0</v>
      </c>
      <c r="L270" s="5"/>
    </row>
    <row r="271" spans="1:12" customHeight="1" ht="105" outlineLevel="4">
      <c r="A271" s="1"/>
      <c r="B271" s="1">
        <v>882909</v>
      </c>
      <c r="C271" s="1" t="s">
        <v>982</v>
      </c>
      <c r="D271" s="1" t="s">
        <v>983</v>
      </c>
      <c r="E271" s="2" t="s">
        <v>984</v>
      </c>
      <c r="F271" s="2" t="s">
        <v>985</v>
      </c>
      <c r="G271" s="2">
        <v>1</v>
      </c>
      <c r="H271" s="2">
        <v>0</v>
      </c>
      <c r="I271" s="1">
        <v>0</v>
      </c>
      <c r="J271" s="3" t="s">
        <v>18</v>
      </c>
      <c r="K271" s="2" t="str">
        <f>J271*608.39</f>
        <v>0</v>
      </c>
      <c r="L271" s="5"/>
    </row>
    <row r="272" spans="1:12" customHeight="1" ht="105" outlineLevel="4">
      <c r="A272" s="1"/>
      <c r="B272" s="1">
        <v>885007</v>
      </c>
      <c r="C272" s="1" t="s">
        <v>986</v>
      </c>
      <c r="D272" s="1" t="s">
        <v>987</v>
      </c>
      <c r="E272" s="2" t="s">
        <v>988</v>
      </c>
      <c r="F272" s="2" t="s">
        <v>989</v>
      </c>
      <c r="G272" s="2">
        <v>4</v>
      </c>
      <c r="H272" s="2">
        <v>0</v>
      </c>
      <c r="I272" s="1">
        <v>0</v>
      </c>
      <c r="J272" s="3" t="s">
        <v>18</v>
      </c>
      <c r="K272" s="2" t="str">
        <f>J272*4966.76</f>
        <v>0</v>
      </c>
      <c r="L272" s="5"/>
    </row>
    <row r="273" spans="1:12" customHeight="1" ht="105" outlineLevel="4">
      <c r="A273" s="1"/>
      <c r="B273" s="1">
        <v>882920</v>
      </c>
      <c r="C273" s="1" t="s">
        <v>990</v>
      </c>
      <c r="D273" s="1"/>
      <c r="E273" s="2" t="s">
        <v>991</v>
      </c>
      <c r="F273" s="2" t="s">
        <v>992</v>
      </c>
      <c r="G273" s="2" t="s">
        <v>47</v>
      </c>
      <c r="H273" s="2">
        <v>0</v>
      </c>
      <c r="I273" s="1">
        <v>0</v>
      </c>
      <c r="J273" s="3" t="s">
        <v>18</v>
      </c>
      <c r="K273" s="2" t="str">
        <f>J273*50.00</f>
        <v>0</v>
      </c>
      <c r="L273" s="5"/>
    </row>
    <row r="274" spans="1:12" outlineLevel="1">
      <c r="A274" s="7" t="s">
        <v>993</v>
      </c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5"/>
    </row>
    <row r="275" spans="1:12" customHeight="1" ht="105" outlineLevel="3">
      <c r="A275" s="1"/>
      <c r="B275" s="1">
        <v>954204</v>
      </c>
      <c r="C275" s="1" t="s">
        <v>994</v>
      </c>
      <c r="D275" s="1" t="s">
        <v>995</v>
      </c>
      <c r="E275" s="2" t="s">
        <v>996</v>
      </c>
      <c r="F275" s="2" t="s">
        <v>997</v>
      </c>
      <c r="G275" s="2" t="s">
        <v>23</v>
      </c>
      <c r="H275" s="2">
        <v>0</v>
      </c>
      <c r="I275" s="1">
        <v>0</v>
      </c>
      <c r="J275" s="3" t="s">
        <v>998</v>
      </c>
      <c r="K275" s="2" t="str">
        <f>J275*68.89</f>
        <v>0</v>
      </c>
      <c r="L275" s="5"/>
    </row>
    <row r="276" spans="1:12" outlineLevel="2">
      <c r="A276" s="8" t="s">
        <v>999</v>
      </c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5"/>
    </row>
    <row r="277" spans="1:12" customHeight="1" ht="105" outlineLevel="4">
      <c r="A277" s="1"/>
      <c r="B277" s="1">
        <v>820239</v>
      </c>
      <c r="C277" s="1" t="s">
        <v>1000</v>
      </c>
      <c r="D277" s="1" t="s">
        <v>1001</v>
      </c>
      <c r="E277" s="2" t="s">
        <v>1002</v>
      </c>
      <c r="F277" s="2" t="s">
        <v>1003</v>
      </c>
      <c r="G277" s="2" t="s">
        <v>47</v>
      </c>
      <c r="H277" s="2" t="s">
        <v>23</v>
      </c>
      <c r="I277" s="1">
        <v>0</v>
      </c>
      <c r="J277" s="3" t="s">
        <v>18</v>
      </c>
      <c r="K277" s="2" t="str">
        <f>J277*540.00</f>
        <v>0</v>
      </c>
      <c r="L277" s="5"/>
    </row>
    <row r="278" spans="1:12" customHeight="1" ht="105" outlineLevel="4">
      <c r="A278" s="1"/>
      <c r="B278" s="1">
        <v>820240</v>
      </c>
      <c r="C278" s="1" t="s">
        <v>1004</v>
      </c>
      <c r="D278" s="1" t="s">
        <v>1005</v>
      </c>
      <c r="E278" s="2" t="s">
        <v>1006</v>
      </c>
      <c r="F278" s="2" t="s">
        <v>1007</v>
      </c>
      <c r="G278" s="2" t="s">
        <v>47</v>
      </c>
      <c r="H278" s="2">
        <v>0</v>
      </c>
      <c r="I278" s="1">
        <v>0</v>
      </c>
      <c r="J278" s="3" t="s">
        <v>18</v>
      </c>
      <c r="K278" s="2" t="str">
        <f>J278*156.00</f>
        <v>0</v>
      </c>
      <c r="L278" s="5"/>
    </row>
    <row r="279" spans="1:12" customHeight="1" ht="105" outlineLevel="4">
      <c r="A279" s="1"/>
      <c r="B279" s="1">
        <v>819379</v>
      </c>
      <c r="C279" s="1" t="s">
        <v>1008</v>
      </c>
      <c r="D279" s="1" t="s">
        <v>1009</v>
      </c>
      <c r="E279" s="2" t="s">
        <v>1010</v>
      </c>
      <c r="F279" s="2" t="s">
        <v>1011</v>
      </c>
      <c r="G279" s="2">
        <v>0</v>
      </c>
      <c r="H279" s="2">
        <v>0</v>
      </c>
      <c r="I279" s="1">
        <v>0</v>
      </c>
      <c r="J279" s="3" t="s">
        <v>18</v>
      </c>
      <c r="K279" s="2" t="str">
        <f>J279*1386.00</f>
        <v>0</v>
      </c>
      <c r="L279" s="5"/>
    </row>
    <row r="280" spans="1:12" customHeight="1" ht="105" outlineLevel="4">
      <c r="A280" s="1"/>
      <c r="B280" s="1">
        <v>819380</v>
      </c>
      <c r="C280" s="1" t="s">
        <v>1012</v>
      </c>
      <c r="D280" s="1" t="s">
        <v>1013</v>
      </c>
      <c r="E280" s="2" t="s">
        <v>1014</v>
      </c>
      <c r="F280" s="2" t="s">
        <v>1015</v>
      </c>
      <c r="G280" s="2">
        <v>0</v>
      </c>
      <c r="H280" s="2" t="s">
        <v>41</v>
      </c>
      <c r="I280" s="1">
        <v>0</v>
      </c>
      <c r="J280" s="3" t="s">
        <v>18</v>
      </c>
      <c r="K280" s="2" t="str">
        <f>J280*573.00</f>
        <v>0</v>
      </c>
      <c r="L280" s="5"/>
    </row>
    <row r="281" spans="1:12" customHeight="1" ht="105" outlineLevel="4">
      <c r="A281" s="1"/>
      <c r="B281" s="1">
        <v>819388</v>
      </c>
      <c r="C281" s="1" t="s">
        <v>1016</v>
      </c>
      <c r="D281" s="1" t="s">
        <v>1017</v>
      </c>
      <c r="E281" s="2" t="s">
        <v>1018</v>
      </c>
      <c r="F281" s="2" t="s">
        <v>36</v>
      </c>
      <c r="G281" s="2">
        <v>3</v>
      </c>
      <c r="H281" s="2" t="s">
        <v>48</v>
      </c>
      <c r="I281" s="1">
        <v>0</v>
      </c>
      <c r="J281" s="3" t="s">
        <v>18</v>
      </c>
      <c r="K281" s="2" t="str">
        <f>J281*340.00</f>
        <v>0</v>
      </c>
      <c r="L281" s="5"/>
    </row>
    <row r="282" spans="1:12" customHeight="1" ht="105" outlineLevel="4">
      <c r="A282" s="1"/>
      <c r="B282" s="1">
        <v>819389</v>
      </c>
      <c r="C282" s="1" t="s">
        <v>1019</v>
      </c>
      <c r="D282" s="1" t="s">
        <v>1020</v>
      </c>
      <c r="E282" s="2" t="s">
        <v>1021</v>
      </c>
      <c r="F282" s="2" t="s">
        <v>1022</v>
      </c>
      <c r="G282" s="2">
        <v>0</v>
      </c>
      <c r="H282" s="2" t="s">
        <v>48</v>
      </c>
      <c r="I282" s="1">
        <v>0</v>
      </c>
      <c r="J282" s="3" t="s">
        <v>18</v>
      </c>
      <c r="K282" s="2" t="str">
        <f>J282*1295.00</f>
        <v>0</v>
      </c>
      <c r="L282" s="5"/>
    </row>
    <row r="283" spans="1:12" customHeight="1" ht="105" outlineLevel="4">
      <c r="A283" s="1"/>
      <c r="B283" s="1">
        <v>819391</v>
      </c>
      <c r="C283" s="1" t="s">
        <v>1023</v>
      </c>
      <c r="D283" s="1" t="s">
        <v>1024</v>
      </c>
      <c r="E283" s="2" t="s">
        <v>1025</v>
      </c>
      <c r="F283" s="2" t="s">
        <v>1026</v>
      </c>
      <c r="G283" s="2">
        <v>0</v>
      </c>
      <c r="H283" s="2">
        <v>0</v>
      </c>
      <c r="I283" s="1">
        <v>0</v>
      </c>
      <c r="J283" s="3" t="s">
        <v>18</v>
      </c>
      <c r="K283" s="2" t="str">
        <f>J283*2244.00</f>
        <v>0</v>
      </c>
      <c r="L283" s="5"/>
    </row>
    <row r="284" spans="1:12" customHeight="1" ht="105" outlineLevel="4">
      <c r="A284" s="1"/>
      <c r="B284" s="1">
        <v>819392</v>
      </c>
      <c r="C284" s="1" t="s">
        <v>1027</v>
      </c>
      <c r="D284" s="1" t="s">
        <v>1028</v>
      </c>
      <c r="E284" s="2" t="s">
        <v>1029</v>
      </c>
      <c r="F284" s="2" t="s">
        <v>1030</v>
      </c>
      <c r="G284" s="2">
        <v>0</v>
      </c>
      <c r="H284" s="2" t="s">
        <v>48</v>
      </c>
      <c r="I284" s="1">
        <v>0</v>
      </c>
      <c r="J284" s="3" t="s">
        <v>18</v>
      </c>
      <c r="K284" s="2" t="str">
        <f>J284*6621.00</f>
        <v>0</v>
      </c>
      <c r="L284" s="5"/>
    </row>
    <row r="285" spans="1:12" customHeight="1" ht="105" outlineLevel="4">
      <c r="A285" s="1"/>
      <c r="B285" s="1">
        <v>819393</v>
      </c>
      <c r="C285" s="1" t="s">
        <v>1031</v>
      </c>
      <c r="D285" s="1" t="s">
        <v>1032</v>
      </c>
      <c r="E285" s="2" t="s">
        <v>1033</v>
      </c>
      <c r="F285" s="2" t="s">
        <v>1034</v>
      </c>
      <c r="G285" s="2">
        <v>0</v>
      </c>
      <c r="H285" s="2" t="s">
        <v>23</v>
      </c>
      <c r="I285" s="1">
        <v>0</v>
      </c>
      <c r="J285" s="3" t="s">
        <v>18</v>
      </c>
      <c r="K285" s="2" t="str">
        <f>J285*9399.00</f>
        <v>0</v>
      </c>
      <c r="L285" s="5"/>
    </row>
    <row r="286" spans="1:12" customHeight="1" ht="105" outlineLevel="4">
      <c r="A286" s="1"/>
      <c r="B286" s="1">
        <v>819394</v>
      </c>
      <c r="C286" s="1" t="s">
        <v>1035</v>
      </c>
      <c r="D286" s="1" t="s">
        <v>1036</v>
      </c>
      <c r="E286" s="2" t="s">
        <v>1037</v>
      </c>
      <c r="F286" s="2" t="s">
        <v>1038</v>
      </c>
      <c r="G286" s="2">
        <v>0</v>
      </c>
      <c r="H286" s="2">
        <v>0</v>
      </c>
      <c r="I286" s="1">
        <v>0</v>
      </c>
      <c r="J286" s="3" t="s">
        <v>18</v>
      </c>
      <c r="K286" s="2" t="str">
        <f>J286*2350.00</f>
        <v>0</v>
      </c>
      <c r="L286" s="5"/>
    </row>
    <row r="287" spans="1:12" customHeight="1" ht="105" outlineLevel="4">
      <c r="A287" s="1"/>
      <c r="B287" s="1">
        <v>819395</v>
      </c>
      <c r="C287" s="1" t="s">
        <v>1039</v>
      </c>
      <c r="D287" s="1" t="s">
        <v>1040</v>
      </c>
      <c r="E287" s="2" t="s">
        <v>1041</v>
      </c>
      <c r="F287" s="2" t="s">
        <v>1042</v>
      </c>
      <c r="G287" s="2">
        <v>0</v>
      </c>
      <c r="H287" s="2">
        <v>0</v>
      </c>
      <c r="I287" s="1">
        <v>0</v>
      </c>
      <c r="J287" s="3" t="s">
        <v>18</v>
      </c>
      <c r="K287" s="2" t="str">
        <f>J287*9390.00</f>
        <v>0</v>
      </c>
      <c r="L287" s="5"/>
    </row>
    <row r="288" spans="1:12" customHeight="1" ht="105" outlineLevel="4">
      <c r="A288" s="1"/>
      <c r="B288" s="1">
        <v>819396</v>
      </c>
      <c r="C288" s="1" t="s">
        <v>1043</v>
      </c>
      <c r="D288" s="1" t="s">
        <v>1044</v>
      </c>
      <c r="E288" s="2" t="s">
        <v>1045</v>
      </c>
      <c r="F288" s="2" t="s">
        <v>1046</v>
      </c>
      <c r="G288" s="2">
        <v>0</v>
      </c>
      <c r="H288" s="2">
        <v>0</v>
      </c>
      <c r="I288" s="1">
        <v>0</v>
      </c>
      <c r="J288" s="3" t="s">
        <v>18</v>
      </c>
      <c r="K288" s="2" t="str">
        <f>J288*3979.00</f>
        <v>0</v>
      </c>
      <c r="L288" s="5"/>
    </row>
    <row r="289" spans="1:12" customHeight="1" ht="105" outlineLevel="4">
      <c r="A289" s="1"/>
      <c r="B289" s="1">
        <v>819397</v>
      </c>
      <c r="C289" s="1" t="s">
        <v>1047</v>
      </c>
      <c r="D289" s="1" t="s">
        <v>1048</v>
      </c>
      <c r="E289" s="2" t="s">
        <v>1049</v>
      </c>
      <c r="F289" s="2" t="s">
        <v>1050</v>
      </c>
      <c r="G289" s="2">
        <v>0</v>
      </c>
      <c r="H289" s="2" t="s">
        <v>41</v>
      </c>
      <c r="I289" s="1">
        <v>0</v>
      </c>
      <c r="J289" s="3" t="s">
        <v>18</v>
      </c>
      <c r="K289" s="2" t="str">
        <f>J289*508.00</f>
        <v>0</v>
      </c>
      <c r="L289" s="5"/>
    </row>
    <row r="290" spans="1:12" customHeight="1" ht="105" outlineLevel="4">
      <c r="A290" s="1"/>
      <c r="B290" s="1">
        <v>819398</v>
      </c>
      <c r="C290" s="1" t="s">
        <v>1051</v>
      </c>
      <c r="D290" s="1" t="s">
        <v>1052</v>
      </c>
      <c r="E290" s="2" t="s">
        <v>1053</v>
      </c>
      <c r="F290" s="2" t="s">
        <v>1054</v>
      </c>
      <c r="G290" s="2">
        <v>1</v>
      </c>
      <c r="H290" s="2" t="s">
        <v>41</v>
      </c>
      <c r="I290" s="1">
        <v>0</v>
      </c>
      <c r="J290" s="3" t="s">
        <v>18</v>
      </c>
      <c r="K290" s="2" t="str">
        <f>J290*2074.00</f>
        <v>0</v>
      </c>
      <c r="L290" s="5"/>
    </row>
    <row r="291" spans="1:12" customHeight="1" ht="105" outlineLevel="4">
      <c r="A291" s="1"/>
      <c r="B291" s="1">
        <v>819404</v>
      </c>
      <c r="C291" s="1" t="s">
        <v>1055</v>
      </c>
      <c r="D291" s="1" t="s">
        <v>1056</v>
      </c>
      <c r="E291" s="2" t="s">
        <v>1057</v>
      </c>
      <c r="F291" s="2" t="s">
        <v>1058</v>
      </c>
      <c r="G291" s="2">
        <v>0</v>
      </c>
      <c r="H291" s="2" t="s">
        <v>47</v>
      </c>
      <c r="I291" s="1">
        <v>0</v>
      </c>
      <c r="J291" s="3" t="s">
        <v>18</v>
      </c>
      <c r="K291" s="2" t="str">
        <f>J291*1042.00</f>
        <v>0</v>
      </c>
      <c r="L291" s="5"/>
    </row>
    <row r="292" spans="1:12" customHeight="1" ht="105" outlineLevel="4">
      <c r="A292" s="1"/>
      <c r="B292" s="1">
        <v>819405</v>
      </c>
      <c r="C292" s="1" t="s">
        <v>1059</v>
      </c>
      <c r="D292" s="1" t="s">
        <v>1060</v>
      </c>
      <c r="E292" s="2" t="s">
        <v>1061</v>
      </c>
      <c r="F292" s="2" t="s">
        <v>1062</v>
      </c>
      <c r="G292" s="2">
        <v>0</v>
      </c>
      <c r="H292" s="2">
        <v>0</v>
      </c>
      <c r="I292" s="1">
        <v>0</v>
      </c>
      <c r="J292" s="3" t="s">
        <v>18</v>
      </c>
      <c r="K292" s="2" t="str">
        <f>J292*1230.00</f>
        <v>0</v>
      </c>
      <c r="L292" s="5"/>
    </row>
    <row r="293" spans="1:12" customHeight="1" ht="105" outlineLevel="4">
      <c r="A293" s="1"/>
      <c r="B293" s="1">
        <v>819406</v>
      </c>
      <c r="C293" s="1" t="s">
        <v>1063</v>
      </c>
      <c r="D293" s="1" t="s">
        <v>1064</v>
      </c>
      <c r="E293" s="2" t="s">
        <v>1065</v>
      </c>
      <c r="F293" s="2" t="s">
        <v>1066</v>
      </c>
      <c r="G293" s="2">
        <v>4</v>
      </c>
      <c r="H293" s="2">
        <v>0</v>
      </c>
      <c r="I293" s="1">
        <v>0</v>
      </c>
      <c r="J293" s="3" t="s">
        <v>18</v>
      </c>
      <c r="K293" s="2" t="str">
        <f>J293*1535.00</f>
        <v>0</v>
      </c>
      <c r="L293" s="5"/>
    </row>
    <row r="294" spans="1:12" customHeight="1" ht="105" outlineLevel="4">
      <c r="A294" s="1"/>
      <c r="B294" s="1">
        <v>819407</v>
      </c>
      <c r="C294" s="1" t="s">
        <v>1067</v>
      </c>
      <c r="D294" s="1" t="s">
        <v>1068</v>
      </c>
      <c r="E294" s="2" t="s">
        <v>1069</v>
      </c>
      <c r="F294" s="2" t="s">
        <v>1070</v>
      </c>
      <c r="G294" s="2">
        <v>0</v>
      </c>
      <c r="H294" s="2" t="s">
        <v>47</v>
      </c>
      <c r="I294" s="1">
        <v>0</v>
      </c>
      <c r="J294" s="3" t="s">
        <v>18</v>
      </c>
      <c r="K294" s="2" t="str">
        <f>J294*6733.00</f>
        <v>0</v>
      </c>
      <c r="L294" s="5"/>
    </row>
    <row r="295" spans="1:12" customHeight="1" ht="105" outlineLevel="4">
      <c r="A295" s="1"/>
      <c r="B295" s="1">
        <v>819408</v>
      </c>
      <c r="C295" s="1" t="s">
        <v>1071</v>
      </c>
      <c r="D295" s="1" t="s">
        <v>1072</v>
      </c>
      <c r="E295" s="2" t="s">
        <v>1073</v>
      </c>
      <c r="F295" s="2" t="s">
        <v>1074</v>
      </c>
      <c r="G295" s="2">
        <v>0</v>
      </c>
      <c r="H295" s="2" t="s">
        <v>41</v>
      </c>
      <c r="I295" s="1">
        <v>0</v>
      </c>
      <c r="J295" s="3" t="s">
        <v>18</v>
      </c>
      <c r="K295" s="2" t="str">
        <f>J295*7135.00</f>
        <v>0</v>
      </c>
      <c r="L295" s="5"/>
    </row>
    <row r="296" spans="1:12" customHeight="1" ht="105" outlineLevel="4">
      <c r="A296" s="1"/>
      <c r="B296" s="1">
        <v>852601</v>
      </c>
      <c r="C296" s="1" t="s">
        <v>1075</v>
      </c>
      <c r="D296" s="1" t="s">
        <v>1076</v>
      </c>
      <c r="E296" s="2" t="s">
        <v>1077</v>
      </c>
      <c r="F296" s="2" t="s">
        <v>1078</v>
      </c>
      <c r="G296" s="2">
        <v>0</v>
      </c>
      <c r="H296" s="2" t="s">
        <v>41</v>
      </c>
      <c r="I296" s="1">
        <v>0</v>
      </c>
      <c r="J296" s="3" t="s">
        <v>18</v>
      </c>
      <c r="K296" s="2" t="str">
        <f>J296*925.00</f>
        <v>0</v>
      </c>
      <c r="L296" s="5"/>
    </row>
    <row r="297" spans="1:12" customHeight="1" ht="105" outlineLevel="4">
      <c r="A297" s="1"/>
      <c r="B297" s="1">
        <v>868507</v>
      </c>
      <c r="C297" s="1" t="s">
        <v>1079</v>
      </c>
      <c r="D297" s="1" t="s">
        <v>1080</v>
      </c>
      <c r="E297" s="2" t="s">
        <v>1081</v>
      </c>
      <c r="F297" s="2" t="s">
        <v>1082</v>
      </c>
      <c r="G297" s="2">
        <v>1</v>
      </c>
      <c r="H297" s="2" t="s">
        <v>48</v>
      </c>
      <c r="I297" s="1">
        <v>0</v>
      </c>
      <c r="J297" s="3" t="s">
        <v>18</v>
      </c>
      <c r="K297" s="2" t="str">
        <f>J297*1170.00</f>
        <v>0</v>
      </c>
      <c r="L297" s="5"/>
    </row>
    <row r="298" spans="1:12" customHeight="1" ht="105" outlineLevel="4">
      <c r="A298" s="1"/>
      <c r="B298" s="1">
        <v>873795</v>
      </c>
      <c r="C298" s="1" t="s">
        <v>1083</v>
      </c>
      <c r="D298" s="1" t="s">
        <v>1084</v>
      </c>
      <c r="E298" s="2" t="s">
        <v>1085</v>
      </c>
      <c r="F298" s="2" t="s">
        <v>1086</v>
      </c>
      <c r="G298" s="2">
        <v>0</v>
      </c>
      <c r="H298" s="2" t="s">
        <v>23</v>
      </c>
      <c r="I298" s="1">
        <v>0</v>
      </c>
      <c r="J298" s="3" t="s">
        <v>18</v>
      </c>
      <c r="K298" s="2" t="str">
        <f>J298*8832.00</f>
        <v>0</v>
      </c>
      <c r="L298" s="5"/>
    </row>
    <row r="299" spans="1:12" customHeight="1" ht="105" outlineLevel="4">
      <c r="A299" s="1"/>
      <c r="B299" s="1">
        <v>873887</v>
      </c>
      <c r="C299" s="1" t="s">
        <v>1087</v>
      </c>
      <c r="D299" s="1" t="s">
        <v>1088</v>
      </c>
      <c r="E299" s="2" t="s">
        <v>1089</v>
      </c>
      <c r="F299" s="2" t="s">
        <v>1090</v>
      </c>
      <c r="G299" s="2">
        <v>0</v>
      </c>
      <c r="H299" s="2">
        <v>6</v>
      </c>
      <c r="I299" s="1">
        <v>0</v>
      </c>
      <c r="J299" s="3" t="s">
        <v>18</v>
      </c>
      <c r="K299" s="2" t="str">
        <f>J299*66892.00</f>
        <v>0</v>
      </c>
      <c r="L299" s="5"/>
    </row>
    <row r="300" spans="1:12" customHeight="1" ht="105" outlineLevel="4">
      <c r="A300" s="1"/>
      <c r="B300" s="1">
        <v>885499</v>
      </c>
      <c r="C300" s="1" t="s">
        <v>1091</v>
      </c>
      <c r="D300" s="1" t="s">
        <v>1092</v>
      </c>
      <c r="E300" s="2" t="s">
        <v>1093</v>
      </c>
      <c r="F300" s="2" t="s">
        <v>1094</v>
      </c>
      <c r="G300" s="2">
        <v>0</v>
      </c>
      <c r="H300" s="2" t="s">
        <v>47</v>
      </c>
      <c r="I300" s="1">
        <v>0</v>
      </c>
      <c r="J300" s="3" t="s">
        <v>18</v>
      </c>
      <c r="K300" s="2" t="str">
        <f>J300*46173.00</f>
        <v>0</v>
      </c>
      <c r="L300" s="5"/>
    </row>
    <row r="301" spans="1:12" customHeight="1" ht="105" outlineLevel="4">
      <c r="A301" s="1"/>
      <c r="B301" s="1">
        <v>890102</v>
      </c>
      <c r="C301" s="1" t="s">
        <v>1095</v>
      </c>
      <c r="D301" s="1" t="s">
        <v>1096</v>
      </c>
      <c r="E301" s="2" t="s">
        <v>1097</v>
      </c>
      <c r="F301" s="2" t="s">
        <v>1098</v>
      </c>
      <c r="G301" s="2">
        <v>0</v>
      </c>
      <c r="H301" s="2" t="s">
        <v>48</v>
      </c>
      <c r="I301" s="1">
        <v>0</v>
      </c>
      <c r="J301" s="3" t="s">
        <v>18</v>
      </c>
      <c r="K301" s="2" t="str">
        <f>J301*583.00</f>
        <v>0</v>
      </c>
      <c r="L301" s="5"/>
    </row>
    <row r="302" spans="1:12" customHeight="1" ht="105" outlineLevel="4">
      <c r="A302" s="1"/>
      <c r="B302" s="1">
        <v>890103</v>
      </c>
      <c r="C302" s="1" t="s">
        <v>1099</v>
      </c>
      <c r="D302" s="1" t="s">
        <v>1100</v>
      </c>
      <c r="E302" s="2" t="s">
        <v>1101</v>
      </c>
      <c r="F302" s="2" t="s">
        <v>1102</v>
      </c>
      <c r="G302" s="2">
        <v>0</v>
      </c>
      <c r="H302" s="2" t="s">
        <v>32</v>
      </c>
      <c r="I302" s="1">
        <v>0</v>
      </c>
      <c r="J302" s="3" t="s">
        <v>18</v>
      </c>
      <c r="K302" s="2" t="str">
        <f>J302*885.00</f>
        <v>0</v>
      </c>
      <c r="L302" s="5"/>
    </row>
    <row r="303" spans="1:12" customHeight="1" ht="105" outlineLevel="4">
      <c r="A303" s="1"/>
      <c r="B303" s="1">
        <v>890124</v>
      </c>
      <c r="C303" s="1" t="s">
        <v>1103</v>
      </c>
      <c r="D303" s="1" t="s">
        <v>1104</v>
      </c>
      <c r="E303" s="2" t="s">
        <v>1105</v>
      </c>
      <c r="F303" s="2" t="s">
        <v>1106</v>
      </c>
      <c r="G303" s="2">
        <v>0</v>
      </c>
      <c r="H303" s="2" t="s">
        <v>23</v>
      </c>
      <c r="I303" s="1">
        <v>0</v>
      </c>
      <c r="J303" s="3" t="s">
        <v>18</v>
      </c>
      <c r="K303" s="2" t="str">
        <f>J303*24790.00</f>
        <v>0</v>
      </c>
      <c r="L303" s="5"/>
    </row>
    <row r="304" spans="1:12" customHeight="1" ht="105" outlineLevel="4">
      <c r="A304" s="1"/>
      <c r="B304" s="1">
        <v>890198</v>
      </c>
      <c r="C304" s="1" t="s">
        <v>1107</v>
      </c>
      <c r="D304" s="1" t="s">
        <v>1108</v>
      </c>
      <c r="E304" s="2" t="s">
        <v>1109</v>
      </c>
      <c r="F304" s="2" t="s">
        <v>1110</v>
      </c>
      <c r="G304" s="2" t="s">
        <v>23</v>
      </c>
      <c r="H304" s="2" t="s">
        <v>41</v>
      </c>
      <c r="I304" s="1">
        <v>0</v>
      </c>
      <c r="J304" s="3" t="s">
        <v>18</v>
      </c>
      <c r="K304" s="2" t="str">
        <f>J304*447.00</f>
        <v>0</v>
      </c>
      <c r="L304" s="5"/>
    </row>
    <row r="305" spans="1:12" customHeight="1" ht="105" outlineLevel="4">
      <c r="A305" s="1"/>
      <c r="B305" s="1">
        <v>834804</v>
      </c>
      <c r="C305" s="1" t="s">
        <v>1111</v>
      </c>
      <c r="D305" s="1" t="s">
        <v>1112</v>
      </c>
      <c r="E305" s="2" t="s">
        <v>1113</v>
      </c>
      <c r="F305" s="2" t="s">
        <v>1114</v>
      </c>
      <c r="G305" s="2">
        <v>0</v>
      </c>
      <c r="H305" s="2" t="s">
        <v>47</v>
      </c>
      <c r="I305" s="1">
        <v>0</v>
      </c>
      <c r="J305" s="3" t="s">
        <v>18</v>
      </c>
      <c r="K305" s="2" t="str">
        <f>J305*8159.00</f>
        <v>0</v>
      </c>
      <c r="L305" s="5"/>
    </row>
    <row r="306" spans="1:12" customHeight="1" ht="105" outlineLevel="4">
      <c r="A306" s="1"/>
      <c r="B306" s="1">
        <v>834805</v>
      </c>
      <c r="C306" s="1" t="s">
        <v>1115</v>
      </c>
      <c r="D306" s="1" t="s">
        <v>1116</v>
      </c>
      <c r="E306" s="2" t="s">
        <v>1117</v>
      </c>
      <c r="F306" s="2" t="s">
        <v>1118</v>
      </c>
      <c r="G306" s="2">
        <v>0</v>
      </c>
      <c r="H306" s="2">
        <v>0</v>
      </c>
      <c r="I306" s="1">
        <v>0</v>
      </c>
      <c r="J306" s="3" t="s">
        <v>18</v>
      </c>
      <c r="K306" s="2" t="str">
        <f>J306*7949.00</f>
        <v>0</v>
      </c>
      <c r="L306" s="5"/>
    </row>
    <row r="307" spans="1:12" customHeight="1" ht="105" outlineLevel="4">
      <c r="A307" s="1"/>
      <c r="B307" s="1">
        <v>834806</v>
      </c>
      <c r="C307" s="1" t="s">
        <v>1119</v>
      </c>
      <c r="D307" s="1" t="s">
        <v>1120</v>
      </c>
      <c r="E307" s="2" t="s">
        <v>1121</v>
      </c>
      <c r="F307" s="2" t="s">
        <v>1122</v>
      </c>
      <c r="G307" s="2">
        <v>0</v>
      </c>
      <c r="H307" s="2">
        <v>6</v>
      </c>
      <c r="I307" s="1">
        <v>0</v>
      </c>
      <c r="J307" s="3" t="s">
        <v>18</v>
      </c>
      <c r="K307" s="2" t="str">
        <f>J307*5257.00</f>
        <v>0</v>
      </c>
      <c r="L307" s="5"/>
    </row>
    <row r="308" spans="1:12" customHeight="1" ht="105" outlineLevel="4">
      <c r="A308" s="1"/>
      <c r="B308" s="1">
        <v>834807</v>
      </c>
      <c r="C308" s="1" t="s">
        <v>1123</v>
      </c>
      <c r="D308" s="1" t="s">
        <v>1124</v>
      </c>
      <c r="E308" s="2" t="s">
        <v>1125</v>
      </c>
      <c r="F308" s="2" t="s">
        <v>1126</v>
      </c>
      <c r="G308" s="2">
        <v>0</v>
      </c>
      <c r="H308" s="2" t="s">
        <v>23</v>
      </c>
      <c r="I308" s="1">
        <v>0</v>
      </c>
      <c r="J308" s="3" t="s">
        <v>18</v>
      </c>
      <c r="K308" s="2" t="str">
        <f>J308*5631.00</f>
        <v>0</v>
      </c>
      <c r="L308" s="5"/>
    </row>
    <row r="309" spans="1:12" customHeight="1" ht="105" outlineLevel="4">
      <c r="A309" s="1"/>
      <c r="B309" s="1">
        <v>834808</v>
      </c>
      <c r="C309" s="1" t="s">
        <v>1127</v>
      </c>
      <c r="D309" s="1" t="s">
        <v>1128</v>
      </c>
      <c r="E309" s="2" t="s">
        <v>1129</v>
      </c>
      <c r="F309" s="2" t="s">
        <v>1130</v>
      </c>
      <c r="G309" s="2">
        <v>0</v>
      </c>
      <c r="H309" s="2">
        <v>0</v>
      </c>
      <c r="I309" s="1">
        <v>0</v>
      </c>
      <c r="J309" s="3" t="s">
        <v>18</v>
      </c>
      <c r="K309" s="2" t="str">
        <f>J309*42495.00</f>
        <v>0</v>
      </c>
      <c r="L309" s="5"/>
    </row>
    <row r="310" spans="1:12" customHeight="1" ht="105" outlineLevel="4">
      <c r="A310" s="1"/>
      <c r="B310" s="1">
        <v>834809</v>
      </c>
      <c r="C310" s="1" t="s">
        <v>1131</v>
      </c>
      <c r="D310" s="1" t="s">
        <v>1132</v>
      </c>
      <c r="E310" s="2" t="s">
        <v>1133</v>
      </c>
      <c r="F310" s="2" t="s">
        <v>1134</v>
      </c>
      <c r="G310" s="2">
        <v>0</v>
      </c>
      <c r="H310" s="2">
        <v>5</v>
      </c>
      <c r="I310" s="1">
        <v>0</v>
      </c>
      <c r="J310" s="3" t="s">
        <v>18</v>
      </c>
      <c r="K310" s="2" t="str">
        <f>J310*57142.00</f>
        <v>0</v>
      </c>
      <c r="L310" s="5"/>
    </row>
    <row r="311" spans="1:12" customHeight="1" ht="105" outlineLevel="4">
      <c r="A311" s="1"/>
      <c r="B311" s="1">
        <v>834810</v>
      </c>
      <c r="C311" s="1" t="s">
        <v>1135</v>
      </c>
      <c r="D311" s="1" t="s">
        <v>1136</v>
      </c>
      <c r="E311" s="2" t="s">
        <v>1137</v>
      </c>
      <c r="F311" s="2" t="s">
        <v>1138</v>
      </c>
      <c r="G311" s="2">
        <v>0</v>
      </c>
      <c r="H311" s="2" t="s">
        <v>47</v>
      </c>
      <c r="I311" s="1">
        <v>0</v>
      </c>
      <c r="J311" s="3" t="s">
        <v>18</v>
      </c>
      <c r="K311" s="2" t="str">
        <f>J311*19315.00</f>
        <v>0</v>
      </c>
      <c r="L311" s="5"/>
    </row>
    <row r="312" spans="1:12" customHeight="1" ht="105" outlineLevel="4">
      <c r="A312" s="1"/>
      <c r="B312" s="1">
        <v>834811</v>
      </c>
      <c r="C312" s="1" t="s">
        <v>1139</v>
      </c>
      <c r="D312" s="1" t="s">
        <v>1140</v>
      </c>
      <c r="E312" s="2" t="s">
        <v>1141</v>
      </c>
      <c r="F312" s="2" t="s">
        <v>1142</v>
      </c>
      <c r="G312" s="2">
        <v>0</v>
      </c>
      <c r="H312" s="2">
        <v>0</v>
      </c>
      <c r="I312" s="1">
        <v>0</v>
      </c>
      <c r="J312" s="3" t="s">
        <v>18</v>
      </c>
      <c r="K312" s="2" t="str">
        <f>J312*42286.00</f>
        <v>0</v>
      </c>
      <c r="L312" s="5"/>
    </row>
    <row r="313" spans="1:12" customHeight="1" ht="105" outlineLevel="4">
      <c r="A313" s="1"/>
      <c r="B313" s="1">
        <v>834812</v>
      </c>
      <c r="C313" s="1" t="s">
        <v>1143</v>
      </c>
      <c r="D313" s="1" t="s">
        <v>1144</v>
      </c>
      <c r="E313" s="2" t="s">
        <v>1105</v>
      </c>
      <c r="F313" s="2" t="s">
        <v>1145</v>
      </c>
      <c r="G313" s="2">
        <v>0</v>
      </c>
      <c r="H313" s="2">
        <v>0</v>
      </c>
      <c r="I313" s="1">
        <v>0</v>
      </c>
      <c r="J313" s="3" t="s">
        <v>18</v>
      </c>
      <c r="K313" s="2" t="str">
        <f>J313*19506.00</f>
        <v>0</v>
      </c>
      <c r="L313" s="5"/>
    </row>
    <row r="314" spans="1:12" customHeight="1" ht="105" outlineLevel="4">
      <c r="A314" s="1"/>
      <c r="B314" s="1">
        <v>834813</v>
      </c>
      <c r="C314" s="1" t="s">
        <v>1146</v>
      </c>
      <c r="D314" s="1" t="s">
        <v>1147</v>
      </c>
      <c r="E314" s="2" t="s">
        <v>1148</v>
      </c>
      <c r="F314" s="2" t="s">
        <v>1149</v>
      </c>
      <c r="G314" s="2">
        <v>0</v>
      </c>
      <c r="H314" s="2">
        <v>0</v>
      </c>
      <c r="I314" s="1">
        <v>0</v>
      </c>
      <c r="J314" s="3" t="s">
        <v>18</v>
      </c>
      <c r="K314" s="2" t="str">
        <f>J314*21481.00</f>
        <v>0</v>
      </c>
      <c r="L314" s="5"/>
    </row>
    <row r="315" spans="1:12" outlineLevel="2">
      <c r="A315" s="8" t="s">
        <v>1150</v>
      </c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5"/>
    </row>
    <row r="316" spans="1:12" customHeight="1" ht="105" outlineLevel="4">
      <c r="A316" s="1"/>
      <c r="B316" s="1">
        <v>857002</v>
      </c>
      <c r="C316" s="1" t="s">
        <v>1151</v>
      </c>
      <c r="D316" s="1" t="s">
        <v>1152</v>
      </c>
      <c r="E316" s="2" t="s">
        <v>1153</v>
      </c>
      <c r="F316" s="2" t="s">
        <v>1154</v>
      </c>
      <c r="G316" s="2">
        <v>2</v>
      </c>
      <c r="H316" s="2">
        <v>0</v>
      </c>
      <c r="I316" s="1">
        <v>0</v>
      </c>
      <c r="J316" s="3" t="s">
        <v>18</v>
      </c>
      <c r="K316" s="2" t="str">
        <f>J316*8185.71</f>
        <v>0</v>
      </c>
      <c r="L316" s="5"/>
    </row>
    <row r="317" spans="1:12" customHeight="1" ht="105" outlineLevel="4">
      <c r="A317" s="1"/>
      <c r="B317" s="1">
        <v>819417</v>
      </c>
      <c r="C317" s="1" t="s">
        <v>1155</v>
      </c>
      <c r="D317" s="1" t="s">
        <v>1156</v>
      </c>
      <c r="E317" s="2" t="s">
        <v>1157</v>
      </c>
      <c r="F317" s="2" t="s">
        <v>1158</v>
      </c>
      <c r="G317" s="2" t="s">
        <v>23</v>
      </c>
      <c r="H317" s="2">
        <v>0</v>
      </c>
      <c r="I317" s="1">
        <v>0</v>
      </c>
      <c r="J317" s="3" t="s">
        <v>18</v>
      </c>
      <c r="K317" s="2" t="str">
        <f>J317*416.50</f>
        <v>0</v>
      </c>
      <c r="L317" s="5"/>
    </row>
    <row r="318" spans="1:12" customHeight="1" ht="105" outlineLevel="4">
      <c r="A318" s="1"/>
      <c r="B318" s="1">
        <v>819418</v>
      </c>
      <c r="C318" s="1" t="s">
        <v>1159</v>
      </c>
      <c r="D318" s="1" t="s">
        <v>1160</v>
      </c>
      <c r="E318" s="2" t="s">
        <v>1161</v>
      </c>
      <c r="F318" s="2" t="s">
        <v>1162</v>
      </c>
      <c r="G318" s="2" t="s">
        <v>47</v>
      </c>
      <c r="H318" s="2">
        <v>0</v>
      </c>
      <c r="I318" s="1">
        <v>0</v>
      </c>
      <c r="J318" s="3" t="s">
        <v>18</v>
      </c>
      <c r="K318" s="2" t="str">
        <f>J318*377.83</f>
        <v>0</v>
      </c>
      <c r="L318" s="5"/>
    </row>
    <row r="319" spans="1:12" customHeight="1" ht="105" outlineLevel="4">
      <c r="A319" s="1"/>
      <c r="B319" s="1">
        <v>819419</v>
      </c>
      <c r="C319" s="1" t="s">
        <v>1163</v>
      </c>
      <c r="D319" s="1" t="s">
        <v>1164</v>
      </c>
      <c r="E319" s="2" t="s">
        <v>1165</v>
      </c>
      <c r="F319" s="2" t="s">
        <v>1166</v>
      </c>
      <c r="G319" s="2">
        <v>0</v>
      </c>
      <c r="H319" s="2">
        <v>0</v>
      </c>
      <c r="I319" s="1">
        <v>0</v>
      </c>
      <c r="J319" s="3" t="s">
        <v>18</v>
      </c>
      <c r="K319" s="2" t="str">
        <f>J319*452.20</f>
        <v>0</v>
      </c>
      <c r="L319" s="5"/>
    </row>
    <row r="320" spans="1:12" customHeight="1" ht="105" outlineLevel="4">
      <c r="A320" s="1"/>
      <c r="B320" s="1">
        <v>819420</v>
      </c>
      <c r="C320" s="1" t="s">
        <v>1167</v>
      </c>
      <c r="D320" s="1" t="s">
        <v>1168</v>
      </c>
      <c r="E320" s="2" t="s">
        <v>1169</v>
      </c>
      <c r="F320" s="2" t="s">
        <v>1170</v>
      </c>
      <c r="G320" s="2" t="s">
        <v>23</v>
      </c>
      <c r="H320" s="2">
        <v>0</v>
      </c>
      <c r="I320" s="1">
        <v>0</v>
      </c>
      <c r="J320" s="3" t="s">
        <v>18</v>
      </c>
      <c r="K320" s="2" t="str">
        <f>J320*139.83</f>
        <v>0</v>
      </c>
      <c r="L320" s="5"/>
    </row>
    <row r="321" spans="1:12" customHeight="1" ht="105" outlineLevel="4">
      <c r="A321" s="1"/>
      <c r="B321" s="1">
        <v>819421</v>
      </c>
      <c r="C321" s="1" t="s">
        <v>1171</v>
      </c>
      <c r="D321" s="1" t="s">
        <v>1172</v>
      </c>
      <c r="E321" s="2" t="s">
        <v>1173</v>
      </c>
      <c r="F321" s="2" t="s">
        <v>1174</v>
      </c>
      <c r="G321" s="2">
        <v>4</v>
      </c>
      <c r="H321" s="2">
        <v>0</v>
      </c>
      <c r="I321" s="1">
        <v>0</v>
      </c>
      <c r="J321" s="3" t="s">
        <v>18</v>
      </c>
      <c r="K321" s="2" t="str">
        <f>J321*1587.16</f>
        <v>0</v>
      </c>
      <c r="L321" s="5"/>
    </row>
    <row r="322" spans="1:12" customHeight="1" ht="105" outlineLevel="4">
      <c r="A322" s="1"/>
      <c r="B322" s="1">
        <v>819422</v>
      </c>
      <c r="C322" s="1" t="s">
        <v>1175</v>
      </c>
      <c r="D322" s="1" t="s">
        <v>1176</v>
      </c>
      <c r="E322" s="2" t="s">
        <v>1177</v>
      </c>
      <c r="F322" s="2" t="s">
        <v>1178</v>
      </c>
      <c r="G322" s="2" t="s">
        <v>47</v>
      </c>
      <c r="H322" s="2">
        <v>0</v>
      </c>
      <c r="I322" s="1">
        <v>0</v>
      </c>
      <c r="J322" s="3" t="s">
        <v>18</v>
      </c>
      <c r="K322" s="2" t="str">
        <f>J322*288.58</f>
        <v>0</v>
      </c>
      <c r="L322" s="5"/>
    </row>
    <row r="323" spans="1:12" customHeight="1" ht="105" outlineLevel="4">
      <c r="A323" s="1"/>
      <c r="B323" s="1">
        <v>819424</v>
      </c>
      <c r="C323" s="1" t="s">
        <v>1179</v>
      </c>
      <c r="D323" s="1" t="s">
        <v>1180</v>
      </c>
      <c r="E323" s="2" t="s">
        <v>1181</v>
      </c>
      <c r="F323" s="2" t="s">
        <v>1178</v>
      </c>
      <c r="G323" s="2" t="s">
        <v>47</v>
      </c>
      <c r="H323" s="2">
        <v>0</v>
      </c>
      <c r="I323" s="1">
        <v>0</v>
      </c>
      <c r="J323" s="3" t="s">
        <v>1182</v>
      </c>
      <c r="K323" s="2" t="str">
        <f>J323*288.58</f>
        <v>0</v>
      </c>
      <c r="L323" s="5"/>
    </row>
    <row r="324" spans="1:12" customHeight="1" ht="105" outlineLevel="4">
      <c r="A324" s="1"/>
      <c r="B324" s="1">
        <v>819425</v>
      </c>
      <c r="C324" s="1" t="s">
        <v>1183</v>
      </c>
      <c r="D324" s="1" t="s">
        <v>1184</v>
      </c>
      <c r="E324" s="2" t="s">
        <v>1185</v>
      </c>
      <c r="F324" s="2" t="s">
        <v>1178</v>
      </c>
      <c r="G324" s="2" t="s">
        <v>47</v>
      </c>
      <c r="H324" s="2">
        <v>0</v>
      </c>
      <c r="I324" s="1">
        <v>0</v>
      </c>
      <c r="J324" s="3" t="s">
        <v>1182</v>
      </c>
      <c r="K324" s="2" t="str">
        <f>J324*288.58</f>
        <v>0</v>
      </c>
      <c r="L324" s="5"/>
    </row>
    <row r="325" spans="1:12" customHeight="1" ht="105" outlineLevel="4">
      <c r="A325" s="1"/>
      <c r="B325" s="1">
        <v>823137</v>
      </c>
      <c r="C325" s="1" t="s">
        <v>1186</v>
      </c>
      <c r="D325" s="1" t="s">
        <v>1187</v>
      </c>
      <c r="E325" s="2" t="s">
        <v>1188</v>
      </c>
      <c r="F325" s="2" t="s">
        <v>1189</v>
      </c>
      <c r="G325" s="2">
        <v>0</v>
      </c>
      <c r="H325" s="2">
        <v>0</v>
      </c>
      <c r="I325" s="1">
        <v>0</v>
      </c>
      <c r="J325" s="3" t="s">
        <v>18</v>
      </c>
      <c r="K325" s="2" t="str">
        <f>J325*1090.34</f>
        <v>0</v>
      </c>
      <c r="L325" s="5"/>
    </row>
    <row r="326" spans="1:12" customHeight="1" ht="105" outlineLevel="4">
      <c r="A326" s="1"/>
      <c r="B326" s="1">
        <v>823138</v>
      </c>
      <c r="C326" s="1" t="s">
        <v>1190</v>
      </c>
      <c r="D326" s="1" t="s">
        <v>1191</v>
      </c>
      <c r="E326" s="2" t="s">
        <v>1192</v>
      </c>
      <c r="F326" s="2" t="s">
        <v>1189</v>
      </c>
      <c r="G326" s="2">
        <v>0</v>
      </c>
      <c r="H326" s="2">
        <v>0</v>
      </c>
      <c r="I326" s="1">
        <v>0</v>
      </c>
      <c r="J326" s="3" t="s">
        <v>18</v>
      </c>
      <c r="K326" s="2" t="str">
        <f>J326*1090.34</f>
        <v>0</v>
      </c>
      <c r="L326" s="5"/>
    </row>
    <row r="327" spans="1:12" customHeight="1" ht="105" outlineLevel="4">
      <c r="A327" s="1"/>
      <c r="B327" s="1">
        <v>823139</v>
      </c>
      <c r="C327" s="1" t="s">
        <v>1193</v>
      </c>
      <c r="D327" s="1" t="s">
        <v>1194</v>
      </c>
      <c r="E327" s="2" t="s">
        <v>1195</v>
      </c>
      <c r="F327" s="2" t="s">
        <v>1196</v>
      </c>
      <c r="G327" s="2">
        <v>4</v>
      </c>
      <c r="H327" s="2">
        <v>0</v>
      </c>
      <c r="I327" s="1">
        <v>0</v>
      </c>
      <c r="J327" s="3" t="s">
        <v>18</v>
      </c>
      <c r="K327" s="2" t="str">
        <f>J327*1140.91</f>
        <v>0</v>
      </c>
      <c r="L327" s="5"/>
    </row>
    <row r="328" spans="1:12" customHeight="1" ht="105" outlineLevel="4">
      <c r="A328" s="1"/>
      <c r="B328" s="1">
        <v>823140</v>
      </c>
      <c r="C328" s="1" t="s">
        <v>1197</v>
      </c>
      <c r="D328" s="1" t="s">
        <v>1198</v>
      </c>
      <c r="E328" s="2" t="s">
        <v>1199</v>
      </c>
      <c r="F328" s="2" t="s">
        <v>1200</v>
      </c>
      <c r="G328" s="2" t="s">
        <v>23</v>
      </c>
      <c r="H328" s="2">
        <v>0</v>
      </c>
      <c r="I328" s="1">
        <v>0</v>
      </c>
      <c r="J328" s="3" t="s">
        <v>18</v>
      </c>
      <c r="K328" s="2" t="str">
        <f>J328*179.99</f>
        <v>0</v>
      </c>
      <c r="L328" s="5"/>
    </row>
    <row r="329" spans="1:12" customHeight="1" ht="105" outlineLevel="4">
      <c r="A329" s="1"/>
      <c r="B329" s="1">
        <v>823141</v>
      </c>
      <c r="C329" s="1" t="s">
        <v>1201</v>
      </c>
      <c r="D329" s="1" t="s">
        <v>1202</v>
      </c>
      <c r="E329" s="2" t="s">
        <v>1203</v>
      </c>
      <c r="F329" s="2" t="s">
        <v>1204</v>
      </c>
      <c r="G329" s="2" t="s">
        <v>41</v>
      </c>
      <c r="H329" s="2">
        <v>0</v>
      </c>
      <c r="I329" s="1">
        <v>0</v>
      </c>
      <c r="J329" s="3" t="s">
        <v>18</v>
      </c>
      <c r="K329" s="2" t="str">
        <f>J329*196.35</f>
        <v>0</v>
      </c>
      <c r="L329" s="5"/>
    </row>
    <row r="330" spans="1:12" customHeight="1" ht="105" outlineLevel="4">
      <c r="A330" s="1"/>
      <c r="B330" s="1">
        <v>825112</v>
      </c>
      <c r="C330" s="1" t="s">
        <v>1205</v>
      </c>
      <c r="D330" s="1" t="s">
        <v>1206</v>
      </c>
      <c r="E330" s="2" t="s">
        <v>1207</v>
      </c>
      <c r="F330" s="2" t="s">
        <v>1208</v>
      </c>
      <c r="G330" s="2">
        <v>0</v>
      </c>
      <c r="H330" s="2">
        <v>0</v>
      </c>
      <c r="I330" s="1">
        <v>0</v>
      </c>
      <c r="J330" s="3" t="s">
        <v>18</v>
      </c>
      <c r="K330" s="2" t="str">
        <f>J330*3440.00</f>
        <v>0</v>
      </c>
      <c r="L330" s="5"/>
    </row>
    <row r="331" spans="1:12" customHeight="1" ht="105" outlineLevel="4">
      <c r="A331" s="1"/>
      <c r="B331" s="1">
        <v>825113</v>
      </c>
      <c r="C331" s="1" t="s">
        <v>1209</v>
      </c>
      <c r="D331" s="1"/>
      <c r="E331" s="2" t="s">
        <v>1210</v>
      </c>
      <c r="F331" s="2" t="s">
        <v>1211</v>
      </c>
      <c r="G331" s="2">
        <v>-36</v>
      </c>
      <c r="H331" s="2">
        <v>0</v>
      </c>
      <c r="I331" s="1" t="s">
        <v>41</v>
      </c>
      <c r="J331" s="3" t="s">
        <v>18</v>
      </c>
      <c r="K331" s="2" t="str">
        <f>J331*154.80</f>
        <v>0</v>
      </c>
      <c r="L331" s="5"/>
    </row>
    <row r="332" spans="1:12" customHeight="1" ht="105" outlineLevel="4">
      <c r="A332" s="1"/>
      <c r="B332" s="1">
        <v>826596</v>
      </c>
      <c r="C332" s="1" t="s">
        <v>1212</v>
      </c>
      <c r="D332" s="1" t="s">
        <v>1213</v>
      </c>
      <c r="E332" s="2" t="s">
        <v>1214</v>
      </c>
      <c r="F332" s="2" t="s">
        <v>1215</v>
      </c>
      <c r="G332" s="2" t="s">
        <v>47</v>
      </c>
      <c r="H332" s="2">
        <v>0</v>
      </c>
      <c r="I332" s="1">
        <v>0</v>
      </c>
      <c r="J332" s="3" t="s">
        <v>1182</v>
      </c>
      <c r="K332" s="2" t="str">
        <f>J332*2069.11</f>
        <v>0</v>
      </c>
      <c r="L332" s="5"/>
    </row>
    <row r="333" spans="1:12" customHeight="1" ht="105" outlineLevel="4">
      <c r="A333" s="1"/>
      <c r="B333" s="1">
        <v>829306</v>
      </c>
      <c r="C333" s="1" t="s">
        <v>1216</v>
      </c>
      <c r="D333" s="1" t="s">
        <v>1217</v>
      </c>
      <c r="E333" s="2" t="s">
        <v>1218</v>
      </c>
      <c r="F333" s="2" t="s">
        <v>1219</v>
      </c>
      <c r="G333" s="2">
        <v>0</v>
      </c>
      <c r="H333" s="2">
        <v>0</v>
      </c>
      <c r="I333" s="1">
        <v>0</v>
      </c>
      <c r="J333" s="3" t="s">
        <v>18</v>
      </c>
      <c r="K333" s="2" t="str">
        <f>J333*2635.85</f>
        <v>0</v>
      </c>
      <c r="L333" s="5"/>
    </row>
    <row r="334" spans="1:12" customHeight="1" ht="105" outlineLevel="4">
      <c r="A334" s="1"/>
      <c r="B334" s="1">
        <v>827057</v>
      </c>
      <c r="C334" s="1" t="s">
        <v>1220</v>
      </c>
      <c r="D334" s="1" t="s">
        <v>1221</v>
      </c>
      <c r="E334" s="2" t="s">
        <v>1222</v>
      </c>
      <c r="F334" s="2" t="s">
        <v>1223</v>
      </c>
      <c r="G334" s="2" t="s">
        <v>23</v>
      </c>
      <c r="H334" s="2">
        <v>0</v>
      </c>
      <c r="I334" s="1">
        <v>0</v>
      </c>
      <c r="J334" s="3" t="s">
        <v>18</v>
      </c>
      <c r="K334" s="2" t="str">
        <f>J334*492.36</f>
        <v>0</v>
      </c>
      <c r="L334" s="5"/>
    </row>
    <row r="335" spans="1:12" customHeight="1" ht="105" outlineLevel="4">
      <c r="A335" s="1"/>
      <c r="B335" s="1">
        <v>827058</v>
      </c>
      <c r="C335" s="1" t="s">
        <v>1224</v>
      </c>
      <c r="D335" s="1" t="s">
        <v>1225</v>
      </c>
      <c r="E335" s="2" t="s">
        <v>1226</v>
      </c>
      <c r="F335" s="2" t="s">
        <v>1227</v>
      </c>
      <c r="G335" s="2">
        <v>6</v>
      </c>
      <c r="H335" s="2">
        <v>0</v>
      </c>
      <c r="I335" s="1">
        <v>0</v>
      </c>
      <c r="J335" s="3" t="s">
        <v>18</v>
      </c>
      <c r="K335" s="2" t="str">
        <f>J335*467.08</f>
        <v>0</v>
      </c>
      <c r="L335" s="5"/>
    </row>
    <row r="336" spans="1:12" customHeight="1" ht="105" outlineLevel="4">
      <c r="A336" s="1"/>
      <c r="B336" s="1">
        <v>839787</v>
      </c>
      <c r="C336" s="1" t="s">
        <v>1228</v>
      </c>
      <c r="D336" s="1" t="s">
        <v>1229</v>
      </c>
      <c r="E336" s="2" t="s">
        <v>1230</v>
      </c>
      <c r="F336" s="2" t="s">
        <v>1231</v>
      </c>
      <c r="G336" s="2">
        <v>6</v>
      </c>
      <c r="H336" s="2">
        <v>0</v>
      </c>
      <c r="I336" s="1">
        <v>0</v>
      </c>
      <c r="J336" s="3" t="s">
        <v>18</v>
      </c>
      <c r="K336" s="2" t="str">
        <f>J336*4264.66</f>
        <v>0</v>
      </c>
      <c r="L336" s="5"/>
    </row>
    <row r="337" spans="1:12" customHeight="1" ht="105" outlineLevel="4">
      <c r="A337" s="1"/>
      <c r="B337" s="1">
        <v>839788</v>
      </c>
      <c r="C337" s="1" t="s">
        <v>1232</v>
      </c>
      <c r="D337" s="1" t="s">
        <v>1233</v>
      </c>
      <c r="E337" s="2" t="s">
        <v>1234</v>
      </c>
      <c r="F337" s="2" t="s">
        <v>1235</v>
      </c>
      <c r="G337" s="2">
        <v>6</v>
      </c>
      <c r="H337" s="2">
        <v>0</v>
      </c>
      <c r="I337" s="1">
        <v>0</v>
      </c>
      <c r="J337" s="3" t="s">
        <v>18</v>
      </c>
      <c r="K337" s="2" t="str">
        <f>J337*3394.48</f>
        <v>0</v>
      </c>
      <c r="L337" s="5"/>
    </row>
    <row r="338" spans="1:12" customHeight="1" ht="105" outlineLevel="4">
      <c r="A338" s="1"/>
      <c r="B338" s="1">
        <v>868496</v>
      </c>
      <c r="C338" s="1" t="s">
        <v>1236</v>
      </c>
      <c r="D338" s="1" t="s">
        <v>1237</v>
      </c>
      <c r="E338" s="2" t="s">
        <v>1238</v>
      </c>
      <c r="F338" s="2" t="s">
        <v>1239</v>
      </c>
      <c r="G338" s="2">
        <v>1</v>
      </c>
      <c r="H338" s="2">
        <v>0</v>
      </c>
      <c r="I338" s="1">
        <v>0</v>
      </c>
      <c r="J338" s="3" t="s">
        <v>18</v>
      </c>
      <c r="K338" s="2" t="str">
        <f>J338*2554.04</f>
        <v>0</v>
      </c>
      <c r="L338" s="5"/>
    </row>
    <row r="339" spans="1:12" customHeight="1" ht="105" outlineLevel="4">
      <c r="A339" s="1"/>
      <c r="B339" s="1">
        <v>871397</v>
      </c>
      <c r="C339" s="1" t="s">
        <v>1240</v>
      </c>
      <c r="D339" s="1" t="s">
        <v>1241</v>
      </c>
      <c r="E339" s="2" t="s">
        <v>1242</v>
      </c>
      <c r="F339" s="2" t="s">
        <v>1243</v>
      </c>
      <c r="G339" s="2">
        <v>0</v>
      </c>
      <c r="H339" s="2">
        <v>0</v>
      </c>
      <c r="I339" s="1">
        <v>0</v>
      </c>
      <c r="J339" s="3" t="s">
        <v>18</v>
      </c>
      <c r="K339" s="2" t="str">
        <f>J339*2726.59</f>
        <v>0</v>
      </c>
      <c r="L339" s="5"/>
    </row>
    <row r="340" spans="1:12" customHeight="1" ht="105" outlineLevel="4">
      <c r="A340" s="1"/>
      <c r="B340" s="1">
        <v>879313</v>
      </c>
      <c r="C340" s="1" t="s">
        <v>1244</v>
      </c>
      <c r="D340" s="1" t="s">
        <v>1245</v>
      </c>
      <c r="E340" s="2" t="s">
        <v>1246</v>
      </c>
      <c r="F340" s="2" t="s">
        <v>1247</v>
      </c>
      <c r="G340" s="2" t="s">
        <v>41</v>
      </c>
      <c r="H340" s="2">
        <v>0</v>
      </c>
      <c r="I340" s="1">
        <v>0</v>
      </c>
      <c r="J340" s="3" t="s">
        <v>18</v>
      </c>
      <c r="K340" s="2" t="str">
        <f>J340*415.01</f>
        <v>0</v>
      </c>
      <c r="L340" s="5"/>
    </row>
    <row r="341" spans="1:12" customHeight="1" ht="105" outlineLevel="4">
      <c r="A341" s="1"/>
      <c r="B341" s="1">
        <v>880039</v>
      </c>
      <c r="C341" s="1" t="s">
        <v>1248</v>
      </c>
      <c r="D341" s="1" t="s">
        <v>1249</v>
      </c>
      <c r="E341" s="2" t="s">
        <v>1250</v>
      </c>
      <c r="F341" s="2" t="s">
        <v>1251</v>
      </c>
      <c r="G341" s="2" t="s">
        <v>23</v>
      </c>
      <c r="H341" s="2">
        <v>0</v>
      </c>
      <c r="I341" s="1">
        <v>0</v>
      </c>
      <c r="J341" s="3" t="s">
        <v>18</v>
      </c>
      <c r="K341" s="2" t="str">
        <f>J341*282.63</f>
        <v>0</v>
      </c>
      <c r="L341" s="5"/>
    </row>
    <row r="342" spans="1:12" customHeight="1" ht="105" outlineLevel="4">
      <c r="A342" s="1"/>
      <c r="B342" s="1">
        <v>880040</v>
      </c>
      <c r="C342" s="1" t="s">
        <v>1252</v>
      </c>
      <c r="D342" s="1" t="s">
        <v>1253</v>
      </c>
      <c r="E342" s="2" t="s">
        <v>1254</v>
      </c>
      <c r="F342" s="2" t="s">
        <v>1255</v>
      </c>
      <c r="G342" s="2" t="s">
        <v>23</v>
      </c>
      <c r="H342" s="2">
        <v>0</v>
      </c>
      <c r="I342" s="1">
        <v>0</v>
      </c>
      <c r="J342" s="3" t="s">
        <v>18</v>
      </c>
      <c r="K342" s="2" t="str">
        <f>J342*260.31</f>
        <v>0</v>
      </c>
      <c r="L342" s="5"/>
    </row>
    <row r="343" spans="1:12" customHeight="1" ht="105" outlineLevel="4">
      <c r="A343" s="1"/>
      <c r="B343" s="1">
        <v>882880</v>
      </c>
      <c r="C343" s="1" t="s">
        <v>1256</v>
      </c>
      <c r="D343" s="1" t="s">
        <v>1257</v>
      </c>
      <c r="E343" s="2" t="s">
        <v>1258</v>
      </c>
      <c r="F343" s="2" t="s">
        <v>1259</v>
      </c>
      <c r="G343" s="2">
        <v>7</v>
      </c>
      <c r="H343" s="2">
        <v>0</v>
      </c>
      <c r="I343" s="1">
        <v>0</v>
      </c>
      <c r="J343" s="3" t="s">
        <v>18</v>
      </c>
      <c r="K343" s="2" t="str">
        <f>J343*1566.34</f>
        <v>0</v>
      </c>
      <c r="L343" s="5"/>
    </row>
    <row r="344" spans="1:12" customHeight="1" ht="105" outlineLevel="4">
      <c r="A344" s="1"/>
      <c r="B344" s="1">
        <v>882908</v>
      </c>
      <c r="C344" s="1" t="s">
        <v>1260</v>
      </c>
      <c r="D344" s="1" t="s">
        <v>1261</v>
      </c>
      <c r="E344" s="2" t="s">
        <v>1262</v>
      </c>
      <c r="F344" s="2" t="s">
        <v>1263</v>
      </c>
      <c r="G344" s="2">
        <v>0</v>
      </c>
      <c r="H344" s="2">
        <v>0</v>
      </c>
      <c r="I344" s="1">
        <v>0</v>
      </c>
      <c r="J344" s="3" t="s">
        <v>998</v>
      </c>
      <c r="K344" s="2" t="str">
        <f>J344*80.33</f>
        <v>0</v>
      </c>
      <c r="L344" s="5"/>
    </row>
    <row r="345" spans="1:12" outlineLevel="2">
      <c r="A345" s="8" t="s">
        <v>1264</v>
      </c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5"/>
    </row>
    <row r="346" spans="1:12" customHeight="1" ht="105" outlineLevel="4">
      <c r="A346" s="1"/>
      <c r="B346" s="1">
        <v>819413</v>
      </c>
      <c r="C346" s="1" t="s">
        <v>1265</v>
      </c>
      <c r="D346" s="1" t="s">
        <v>1266</v>
      </c>
      <c r="E346" s="2" t="s">
        <v>1267</v>
      </c>
      <c r="F346" s="2" t="s">
        <v>1268</v>
      </c>
      <c r="G346" s="2" t="s">
        <v>47</v>
      </c>
      <c r="H346" s="2">
        <v>0</v>
      </c>
      <c r="I346" s="1">
        <v>0</v>
      </c>
      <c r="J346" s="3" t="s">
        <v>1182</v>
      </c>
      <c r="K346" s="2" t="str">
        <f>J346*2568.91</f>
        <v>0</v>
      </c>
      <c r="L346" s="5"/>
    </row>
    <row r="347" spans="1:12" customHeight="1" ht="105" outlineLevel="4">
      <c r="A347" s="1"/>
      <c r="B347" s="1">
        <v>819414</v>
      </c>
      <c r="C347" s="1" t="s">
        <v>1269</v>
      </c>
      <c r="D347" s="1" t="s">
        <v>1270</v>
      </c>
      <c r="E347" s="2" t="s">
        <v>1271</v>
      </c>
      <c r="F347" s="2" t="s">
        <v>1272</v>
      </c>
      <c r="G347" s="2">
        <v>0</v>
      </c>
      <c r="H347" s="2">
        <v>0</v>
      </c>
      <c r="I347" s="1">
        <v>0</v>
      </c>
      <c r="J347" s="3" t="s">
        <v>1182</v>
      </c>
      <c r="K347" s="2" t="str">
        <f>J347*2951.20</f>
        <v>0</v>
      </c>
      <c r="L347" s="5"/>
    </row>
    <row r="348" spans="1:12" customHeight="1" ht="105" outlineLevel="4">
      <c r="A348" s="1"/>
      <c r="B348" s="1">
        <v>819415</v>
      </c>
      <c r="C348" s="1" t="s">
        <v>1273</v>
      </c>
      <c r="D348" s="1" t="s">
        <v>1274</v>
      </c>
      <c r="E348" s="2" t="s">
        <v>1275</v>
      </c>
      <c r="F348" s="2" t="s">
        <v>1276</v>
      </c>
      <c r="G348" s="2">
        <v>0</v>
      </c>
      <c r="H348" s="2">
        <v>0</v>
      </c>
      <c r="I348" s="1">
        <v>0</v>
      </c>
      <c r="J348" s="3" t="s">
        <v>18</v>
      </c>
      <c r="K348" s="2" t="str">
        <f>J348*4437.21</f>
        <v>0</v>
      </c>
      <c r="L348" s="5"/>
    </row>
    <row r="349" spans="1:12" customHeight="1" ht="105" outlineLevel="4">
      <c r="A349" s="1"/>
      <c r="B349" s="1">
        <v>819416</v>
      </c>
      <c r="C349" s="1" t="s">
        <v>1277</v>
      </c>
      <c r="D349" s="1" t="s">
        <v>1278</v>
      </c>
      <c r="E349" s="2" t="s">
        <v>1279</v>
      </c>
      <c r="F349" s="2" t="s">
        <v>1280</v>
      </c>
      <c r="G349" s="2">
        <v>4</v>
      </c>
      <c r="H349" s="2">
        <v>0</v>
      </c>
      <c r="I349" s="1">
        <v>0</v>
      </c>
      <c r="J349" s="3" t="s">
        <v>1182</v>
      </c>
      <c r="K349" s="2" t="str">
        <f>J349*2198.53</f>
        <v>0</v>
      </c>
      <c r="L349" s="5"/>
    </row>
    <row r="350" spans="1:12" customHeight="1" ht="105" outlineLevel="4">
      <c r="A350" s="1"/>
      <c r="B350" s="1">
        <v>837305</v>
      </c>
      <c r="C350" s="1" t="s">
        <v>1281</v>
      </c>
      <c r="D350" s="1" t="s">
        <v>1282</v>
      </c>
      <c r="E350" s="2" t="s">
        <v>1283</v>
      </c>
      <c r="F350" s="2" t="s">
        <v>1284</v>
      </c>
      <c r="G350" s="2">
        <v>0</v>
      </c>
      <c r="H350" s="2">
        <v>0</v>
      </c>
      <c r="I350" s="1">
        <v>0</v>
      </c>
      <c r="J350" s="3" t="s">
        <v>1182</v>
      </c>
      <c r="K350" s="2" t="str">
        <f>J350*3342.41</f>
        <v>0</v>
      </c>
      <c r="L350" s="5"/>
    </row>
    <row r="351" spans="1:12" customHeight="1" ht="105" outlineLevel="4">
      <c r="A351" s="1"/>
      <c r="B351" s="1">
        <v>871396</v>
      </c>
      <c r="C351" s="1" t="s">
        <v>1285</v>
      </c>
      <c r="D351" s="1" t="s">
        <v>1286</v>
      </c>
      <c r="E351" s="2" t="s">
        <v>1287</v>
      </c>
      <c r="F351" s="2" t="s">
        <v>1288</v>
      </c>
      <c r="G351" s="2">
        <v>1</v>
      </c>
      <c r="H351" s="2">
        <v>0</v>
      </c>
      <c r="I351" s="1">
        <v>0</v>
      </c>
      <c r="J351" s="3" t="s">
        <v>18</v>
      </c>
      <c r="K351" s="2" t="str">
        <f>J351*925.23</f>
        <v>0</v>
      </c>
      <c r="L351" s="5"/>
    </row>
    <row r="352" spans="1:12" customHeight="1" ht="105" outlineLevel="4">
      <c r="A352" s="1"/>
      <c r="B352" s="1">
        <v>884721</v>
      </c>
      <c r="C352" s="1" t="s">
        <v>1289</v>
      </c>
      <c r="D352" s="1" t="s">
        <v>1290</v>
      </c>
      <c r="E352" s="2" t="s">
        <v>1291</v>
      </c>
      <c r="F352" s="2" t="s">
        <v>1292</v>
      </c>
      <c r="G352" s="2">
        <v>0</v>
      </c>
      <c r="H352" s="2">
        <v>0</v>
      </c>
      <c r="I352" s="1">
        <v>0</v>
      </c>
      <c r="J352" s="3" t="s">
        <v>18</v>
      </c>
      <c r="K352" s="2" t="str">
        <f>J352*934.15</f>
        <v>0</v>
      </c>
      <c r="L352" s="5"/>
    </row>
    <row r="353" spans="1:12" customHeight="1" ht="105" outlineLevel="4">
      <c r="A353" s="1"/>
      <c r="B353" s="1">
        <v>884722</v>
      </c>
      <c r="C353" s="1" t="s">
        <v>1293</v>
      </c>
      <c r="D353" s="1" t="s">
        <v>1294</v>
      </c>
      <c r="E353" s="2" t="s">
        <v>1295</v>
      </c>
      <c r="F353" s="2" t="s">
        <v>1296</v>
      </c>
      <c r="G353" s="2">
        <v>8</v>
      </c>
      <c r="H353" s="2">
        <v>0</v>
      </c>
      <c r="I353" s="1">
        <v>0</v>
      </c>
      <c r="J353" s="3" t="s">
        <v>1182</v>
      </c>
      <c r="K353" s="2" t="str">
        <f>J353*609.88</f>
        <v>0</v>
      </c>
      <c r="L353" s="5"/>
    </row>
    <row r="354" spans="1:12" customHeight="1" ht="105" outlineLevel="4">
      <c r="A354" s="1"/>
      <c r="B354" s="1">
        <v>885997</v>
      </c>
      <c r="C354" s="1" t="s">
        <v>1297</v>
      </c>
      <c r="D354" s="1" t="s">
        <v>1298</v>
      </c>
      <c r="E354" s="2" t="s">
        <v>1299</v>
      </c>
      <c r="F354" s="2" t="s">
        <v>1300</v>
      </c>
      <c r="G354" s="2" t="s">
        <v>47</v>
      </c>
      <c r="H354" s="2">
        <v>0</v>
      </c>
      <c r="I354" s="1">
        <v>0</v>
      </c>
      <c r="J354" s="3" t="s">
        <v>18</v>
      </c>
      <c r="K354" s="2" t="str">
        <f>J354*263.29</f>
        <v>0</v>
      </c>
      <c r="L354" s="5"/>
    </row>
    <row r="355" spans="1:12" outlineLevel="2">
      <c r="A355" s="8" t="s">
        <v>1301</v>
      </c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5"/>
    </row>
    <row r="356" spans="1:12" customHeight="1" ht="105" outlineLevel="4">
      <c r="A356" s="1"/>
      <c r="B356" s="1">
        <v>835386</v>
      </c>
      <c r="C356" s="1" t="s">
        <v>1302</v>
      </c>
      <c r="D356" s="1" t="s">
        <v>1303</v>
      </c>
      <c r="E356" s="2" t="s">
        <v>1304</v>
      </c>
      <c r="F356" s="2" t="s">
        <v>1305</v>
      </c>
      <c r="G356" s="2">
        <v>7</v>
      </c>
      <c r="H356" s="2">
        <v>0</v>
      </c>
      <c r="I356" s="1">
        <v>0</v>
      </c>
      <c r="J356" s="3" t="s">
        <v>18</v>
      </c>
      <c r="K356" s="2" t="str">
        <f>J356*1182.37</f>
        <v>0</v>
      </c>
      <c r="L356" s="5"/>
    </row>
    <row r="357" spans="1:12" customHeight="1" ht="105" outlineLevel="4">
      <c r="A357" s="1"/>
      <c r="B357" s="1">
        <v>836403</v>
      </c>
      <c r="C357" s="1" t="s">
        <v>1306</v>
      </c>
      <c r="D357" s="1" t="s">
        <v>1307</v>
      </c>
      <c r="E357" s="2" t="s">
        <v>1308</v>
      </c>
      <c r="F357" s="2" t="s">
        <v>1309</v>
      </c>
      <c r="G357" s="2">
        <v>1</v>
      </c>
      <c r="H357" s="2">
        <v>0</v>
      </c>
      <c r="I357" s="1">
        <v>0</v>
      </c>
      <c r="J357" s="3" t="s">
        <v>18</v>
      </c>
      <c r="K357" s="2" t="str">
        <f>J357*4456.87</f>
        <v>0</v>
      </c>
      <c r="L357" s="5"/>
    </row>
    <row r="358" spans="1:12" customHeight="1" ht="105" outlineLevel="4">
      <c r="A358" s="1"/>
      <c r="B358" s="1">
        <v>868668</v>
      </c>
      <c r="C358" s="1" t="s">
        <v>1310</v>
      </c>
      <c r="D358" s="1" t="s">
        <v>1311</v>
      </c>
      <c r="E358" s="2" t="s">
        <v>1312</v>
      </c>
      <c r="F358" s="2" t="s">
        <v>1313</v>
      </c>
      <c r="G358" s="2">
        <v>0</v>
      </c>
      <c r="H358" s="2">
        <v>0</v>
      </c>
      <c r="I358" s="1">
        <v>0</v>
      </c>
      <c r="J358" s="3" t="s">
        <v>18</v>
      </c>
      <c r="K358" s="2" t="str">
        <f>J358*267.98</f>
        <v>0</v>
      </c>
      <c r="L358" s="5"/>
    </row>
    <row r="359" spans="1:12" outlineLevel="1">
      <c r="A359" s="7" t="s">
        <v>1314</v>
      </c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5"/>
    </row>
    <row r="360" spans="1:12" outlineLevel="2">
      <c r="A360" s="8" t="s">
        <v>1315</v>
      </c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5"/>
    </row>
    <row r="361" spans="1:12" outlineLevel="4">
      <c r="A361" s="1"/>
      <c r="B361" s="1">
        <v>954091</v>
      </c>
      <c r="C361" s="1" t="s">
        <v>1316</v>
      </c>
      <c r="D361" s="1"/>
      <c r="E361" s="2" t="s">
        <v>1317</v>
      </c>
      <c r="F361" s="2" t="s">
        <v>1318</v>
      </c>
      <c r="G361" s="2" t="s">
        <v>23</v>
      </c>
      <c r="H361" s="2">
        <v>0</v>
      </c>
      <c r="I361" s="1">
        <v>0</v>
      </c>
      <c r="J361" s="3" t="s">
        <v>18</v>
      </c>
      <c r="K361" s="2" t="str">
        <f>J361*513.00</f>
        <v>0</v>
      </c>
      <c r="L361" s="5"/>
    </row>
    <row r="362" spans="1:12" customHeight="1" ht="105" outlineLevel="4">
      <c r="A362" s="1"/>
      <c r="B362" s="1">
        <v>819412</v>
      </c>
      <c r="C362" s="1" t="s">
        <v>1319</v>
      </c>
      <c r="D362" s="1" t="s">
        <v>1320</v>
      </c>
      <c r="E362" s="2" t="s">
        <v>1321</v>
      </c>
      <c r="F362" s="2" t="s">
        <v>1322</v>
      </c>
      <c r="G362" s="2">
        <v>0</v>
      </c>
      <c r="H362" s="2">
        <v>0</v>
      </c>
      <c r="I362" s="1">
        <v>0</v>
      </c>
      <c r="J362" s="3" t="s">
        <v>18</v>
      </c>
      <c r="K362" s="2" t="str">
        <f>J362*766.06</f>
        <v>0</v>
      </c>
      <c r="L362" s="5"/>
    </row>
    <row r="363" spans="1:12" customHeight="1" ht="105" outlineLevel="4">
      <c r="A363" s="1"/>
      <c r="B363" s="1">
        <v>825277</v>
      </c>
      <c r="C363" s="1" t="s">
        <v>1323</v>
      </c>
      <c r="D363" s="1" t="s">
        <v>1324</v>
      </c>
      <c r="E363" s="2" t="s">
        <v>1325</v>
      </c>
      <c r="F363" s="2" t="s">
        <v>1326</v>
      </c>
      <c r="G363" s="2">
        <v>0</v>
      </c>
      <c r="H363" s="2">
        <v>0</v>
      </c>
      <c r="I363" s="1">
        <v>0</v>
      </c>
      <c r="J363" s="3" t="s">
        <v>18</v>
      </c>
      <c r="K363" s="2" t="str">
        <f>J363*669.38</f>
        <v>0</v>
      </c>
      <c r="L363" s="5"/>
    </row>
    <row r="364" spans="1:12" customHeight="1" ht="105" outlineLevel="4">
      <c r="A364" s="1"/>
      <c r="B364" s="1">
        <v>825278</v>
      </c>
      <c r="C364" s="1" t="s">
        <v>1327</v>
      </c>
      <c r="D364" s="1" t="s">
        <v>1328</v>
      </c>
      <c r="E364" s="2" t="s">
        <v>1329</v>
      </c>
      <c r="F364" s="2" t="s">
        <v>1330</v>
      </c>
      <c r="G364" s="2">
        <v>0</v>
      </c>
      <c r="H364" s="2">
        <v>0</v>
      </c>
      <c r="I364" s="1">
        <v>0</v>
      </c>
      <c r="J364" s="3" t="s">
        <v>18</v>
      </c>
      <c r="K364" s="2" t="str">
        <f>J364*874.65</f>
        <v>0</v>
      </c>
      <c r="L364" s="5"/>
    </row>
    <row r="365" spans="1:12" customHeight="1" ht="105" outlineLevel="4">
      <c r="A365" s="1"/>
      <c r="B365" s="1">
        <v>834446</v>
      </c>
      <c r="C365" s="1" t="s">
        <v>1331</v>
      </c>
      <c r="D365" s="1" t="s">
        <v>1332</v>
      </c>
      <c r="E365" s="2" t="s">
        <v>1333</v>
      </c>
      <c r="F365" s="2" t="s">
        <v>1326</v>
      </c>
      <c r="G365" s="2" t="s">
        <v>48</v>
      </c>
      <c r="H365" s="2">
        <v>0</v>
      </c>
      <c r="I365" s="1">
        <v>0</v>
      </c>
      <c r="J365" s="3" t="s">
        <v>18</v>
      </c>
      <c r="K365" s="2" t="str">
        <f>J365*669.38</f>
        <v>0</v>
      </c>
      <c r="L365" s="5"/>
    </row>
    <row r="366" spans="1:12" customHeight="1" ht="105" outlineLevel="4">
      <c r="A366" s="1"/>
      <c r="B366" s="1">
        <v>837306</v>
      </c>
      <c r="C366" s="1" t="s">
        <v>1334</v>
      </c>
      <c r="D366" s="1" t="s">
        <v>1335</v>
      </c>
      <c r="E366" s="2" t="s">
        <v>1336</v>
      </c>
      <c r="F366" s="2" t="s">
        <v>1337</v>
      </c>
      <c r="G366" s="2">
        <v>10</v>
      </c>
      <c r="H366" s="2">
        <v>0</v>
      </c>
      <c r="I366" s="1">
        <v>0</v>
      </c>
      <c r="J366" s="3" t="s">
        <v>18</v>
      </c>
      <c r="K366" s="2" t="str">
        <f>J366*667.89</f>
        <v>0</v>
      </c>
      <c r="L366" s="5"/>
    </row>
    <row r="367" spans="1:12" customHeight="1" ht="105" outlineLevel="4">
      <c r="A367" s="1"/>
      <c r="B367" s="1">
        <v>882903</v>
      </c>
      <c r="C367" s="1" t="s">
        <v>1338</v>
      </c>
      <c r="D367" s="1" t="s">
        <v>1339</v>
      </c>
      <c r="E367" s="2" t="s">
        <v>1340</v>
      </c>
      <c r="F367" s="2" t="s">
        <v>1341</v>
      </c>
      <c r="G367" s="2">
        <v>0</v>
      </c>
      <c r="H367" s="2">
        <v>0</v>
      </c>
      <c r="I367" s="1">
        <v>0</v>
      </c>
      <c r="J367" s="3" t="s">
        <v>18</v>
      </c>
      <c r="K367" s="2" t="str">
        <f>J367*861.26</f>
        <v>0</v>
      </c>
      <c r="L367" s="5"/>
    </row>
    <row r="368" spans="1:12" customHeight="1" ht="105" outlineLevel="4">
      <c r="A368" s="1"/>
      <c r="B368" s="1">
        <v>819381</v>
      </c>
      <c r="C368" s="1" t="s">
        <v>1342</v>
      </c>
      <c r="D368" s="1" t="s">
        <v>1343</v>
      </c>
      <c r="E368" s="2" t="s">
        <v>1344</v>
      </c>
      <c r="F368" s="2" t="s">
        <v>1345</v>
      </c>
      <c r="G368" s="2">
        <v>1</v>
      </c>
      <c r="H368" s="2">
        <v>0</v>
      </c>
      <c r="I368" s="1">
        <v>0</v>
      </c>
      <c r="J368" s="3" t="s">
        <v>18</v>
      </c>
      <c r="K368" s="2" t="str">
        <f>J368*5720.00</f>
        <v>0</v>
      </c>
      <c r="L368" s="5"/>
    </row>
    <row r="369" spans="1:12" customHeight="1" ht="105" outlineLevel="4">
      <c r="A369" s="1"/>
      <c r="B369" s="1">
        <v>819382</v>
      </c>
      <c r="C369" s="1" t="s">
        <v>1346</v>
      </c>
      <c r="D369" s="1" t="s">
        <v>1347</v>
      </c>
      <c r="E369" s="2" t="s">
        <v>1348</v>
      </c>
      <c r="F369" s="2" t="s">
        <v>1349</v>
      </c>
      <c r="G369" s="2">
        <v>0</v>
      </c>
      <c r="H369" s="2">
        <v>0</v>
      </c>
      <c r="I369" s="1">
        <v>0</v>
      </c>
      <c r="J369" s="3" t="s">
        <v>18</v>
      </c>
      <c r="K369" s="2" t="str">
        <f>J369*5905.00</f>
        <v>0</v>
      </c>
      <c r="L369" s="5"/>
    </row>
    <row r="370" spans="1:12" customHeight="1" ht="105" outlineLevel="4">
      <c r="A370" s="1"/>
      <c r="B370" s="1">
        <v>819383</v>
      </c>
      <c r="C370" s="1" t="s">
        <v>1350</v>
      </c>
      <c r="D370" s="1" t="s">
        <v>1351</v>
      </c>
      <c r="E370" s="2" t="s">
        <v>1352</v>
      </c>
      <c r="F370" s="2" t="s">
        <v>1353</v>
      </c>
      <c r="G370" s="2">
        <v>0</v>
      </c>
      <c r="H370" s="2">
        <v>0</v>
      </c>
      <c r="I370" s="1">
        <v>0</v>
      </c>
      <c r="J370" s="3" t="s">
        <v>18</v>
      </c>
      <c r="K370" s="2" t="str">
        <f>J370*5864.00</f>
        <v>0</v>
      </c>
      <c r="L370" s="5"/>
    </row>
    <row r="371" spans="1:12" customHeight="1" ht="105" outlineLevel="4">
      <c r="A371" s="1"/>
      <c r="B371" s="1">
        <v>819384</v>
      </c>
      <c r="C371" s="1" t="s">
        <v>1354</v>
      </c>
      <c r="D371" s="1" t="s">
        <v>1355</v>
      </c>
      <c r="E371" s="2" t="s">
        <v>1356</v>
      </c>
      <c r="F371" s="2" t="s">
        <v>1357</v>
      </c>
      <c r="G371" s="2">
        <v>0</v>
      </c>
      <c r="H371" s="2">
        <v>0</v>
      </c>
      <c r="I371" s="1">
        <v>0</v>
      </c>
      <c r="J371" s="3" t="s">
        <v>18</v>
      </c>
      <c r="K371" s="2" t="str">
        <f>J371*6192.00</f>
        <v>0</v>
      </c>
      <c r="L371" s="5"/>
    </row>
    <row r="372" spans="1:12" customHeight="1" ht="105" outlineLevel="4">
      <c r="A372" s="1"/>
      <c r="B372" s="1">
        <v>819350</v>
      </c>
      <c r="C372" s="1" t="s">
        <v>1358</v>
      </c>
      <c r="D372" s="1" t="s">
        <v>1359</v>
      </c>
      <c r="E372" s="2" t="s">
        <v>1360</v>
      </c>
      <c r="F372" s="2" t="s">
        <v>1361</v>
      </c>
      <c r="G372" s="2">
        <v>0</v>
      </c>
      <c r="H372" s="2">
        <v>0</v>
      </c>
      <c r="I372" s="1">
        <v>0</v>
      </c>
      <c r="J372" s="3" t="s">
        <v>18</v>
      </c>
      <c r="K372" s="2" t="str">
        <f>J372*12566.00</f>
        <v>0</v>
      </c>
      <c r="L372" s="5"/>
    </row>
    <row r="373" spans="1:12" customHeight="1" ht="105" outlineLevel="4">
      <c r="A373" s="1"/>
      <c r="B373" s="1">
        <v>836328</v>
      </c>
      <c r="C373" s="1" t="s">
        <v>1362</v>
      </c>
      <c r="D373" s="1" t="s">
        <v>1363</v>
      </c>
      <c r="E373" s="2" t="s">
        <v>1364</v>
      </c>
      <c r="F373" s="2" t="s">
        <v>1365</v>
      </c>
      <c r="G373" s="2">
        <v>3</v>
      </c>
      <c r="H373" s="2" t="s">
        <v>17</v>
      </c>
      <c r="I373" s="1">
        <v>0</v>
      </c>
      <c r="J373" s="3" t="s">
        <v>18</v>
      </c>
      <c r="K373" s="2" t="str">
        <f>J373*2016.00</f>
        <v>0</v>
      </c>
      <c r="L373" s="5"/>
    </row>
    <row r="374" spans="1:12" customHeight="1" ht="105" outlineLevel="4">
      <c r="A374" s="1"/>
      <c r="B374" s="1">
        <v>836329</v>
      </c>
      <c r="C374" s="1" t="s">
        <v>1366</v>
      </c>
      <c r="D374" s="1" t="s">
        <v>1367</v>
      </c>
      <c r="E374" s="2" t="s">
        <v>1368</v>
      </c>
      <c r="F374" s="2" t="s">
        <v>1365</v>
      </c>
      <c r="G374" s="2">
        <v>0</v>
      </c>
      <c r="H374" s="2" t="s">
        <v>48</v>
      </c>
      <c r="I374" s="1">
        <v>0</v>
      </c>
      <c r="J374" s="3" t="s">
        <v>18</v>
      </c>
      <c r="K374" s="2" t="str">
        <f>J374*2016.00</f>
        <v>0</v>
      </c>
      <c r="L374" s="5"/>
    </row>
    <row r="375" spans="1:12" customHeight="1" ht="105" outlineLevel="4">
      <c r="A375" s="1"/>
      <c r="B375" s="1">
        <v>836330</v>
      </c>
      <c r="C375" s="1" t="s">
        <v>1369</v>
      </c>
      <c r="D375" s="1" t="s">
        <v>1370</v>
      </c>
      <c r="E375" s="2" t="s">
        <v>1371</v>
      </c>
      <c r="F375" s="2" t="s">
        <v>1372</v>
      </c>
      <c r="G375" s="2">
        <v>4</v>
      </c>
      <c r="H375" s="2" t="s">
        <v>32</v>
      </c>
      <c r="I375" s="1">
        <v>0</v>
      </c>
      <c r="J375" s="3" t="s">
        <v>18</v>
      </c>
      <c r="K375" s="2" t="str">
        <f>J375*2117.00</f>
        <v>0</v>
      </c>
      <c r="L375" s="5"/>
    </row>
    <row r="376" spans="1:12" customHeight="1" ht="105" outlineLevel="4">
      <c r="A376" s="1"/>
      <c r="B376" s="1">
        <v>836331</v>
      </c>
      <c r="C376" s="1" t="s">
        <v>1373</v>
      </c>
      <c r="D376" s="1" t="s">
        <v>1374</v>
      </c>
      <c r="E376" s="2" t="s">
        <v>1375</v>
      </c>
      <c r="F376" s="2" t="s">
        <v>1372</v>
      </c>
      <c r="G376" s="2">
        <v>0</v>
      </c>
      <c r="H376" s="2" t="s">
        <v>48</v>
      </c>
      <c r="I376" s="1">
        <v>0</v>
      </c>
      <c r="J376" s="3" t="s">
        <v>18</v>
      </c>
      <c r="K376" s="2" t="str">
        <f>J376*2117.00</f>
        <v>0</v>
      </c>
      <c r="L376" s="5"/>
    </row>
    <row r="377" spans="1:12" outlineLevel="2">
      <c r="A377" s="8" t="s">
        <v>1376</v>
      </c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5"/>
    </row>
    <row r="378" spans="1:12" customHeight="1" ht="105" outlineLevel="4">
      <c r="A378" s="1"/>
      <c r="B378" s="1">
        <v>954090</v>
      </c>
      <c r="C378" s="1" t="s">
        <v>1377</v>
      </c>
      <c r="D378" s="1"/>
      <c r="E378" s="2" t="s">
        <v>1378</v>
      </c>
      <c r="F378" s="2" t="s">
        <v>1379</v>
      </c>
      <c r="G378" s="2" t="s">
        <v>23</v>
      </c>
      <c r="H378" s="2">
        <v>0</v>
      </c>
      <c r="I378" s="1">
        <v>0</v>
      </c>
      <c r="J378" s="3" t="s">
        <v>18</v>
      </c>
      <c r="K378" s="2" t="str">
        <f>J378*807.12</f>
        <v>0</v>
      </c>
      <c r="L378" s="5"/>
    </row>
    <row r="379" spans="1:12" customHeight="1" ht="105" outlineLevel="4">
      <c r="A379" s="1"/>
      <c r="B379" s="1">
        <v>819410</v>
      </c>
      <c r="C379" s="1" t="s">
        <v>1380</v>
      </c>
      <c r="D379" s="1" t="s">
        <v>1381</v>
      </c>
      <c r="E379" s="2" t="s">
        <v>1382</v>
      </c>
      <c r="F379" s="2" t="s">
        <v>1383</v>
      </c>
      <c r="G379" s="2">
        <v>0</v>
      </c>
      <c r="H379" s="2">
        <v>0</v>
      </c>
      <c r="I379" s="1">
        <v>0</v>
      </c>
      <c r="J379" s="3" t="s">
        <v>18</v>
      </c>
      <c r="K379" s="2" t="str">
        <f>J379*797.30</f>
        <v>0</v>
      </c>
      <c r="L379" s="5"/>
    </row>
    <row r="380" spans="1:12" customHeight="1" ht="105" outlineLevel="4">
      <c r="A380" s="1"/>
      <c r="B380" s="1">
        <v>819411</v>
      </c>
      <c r="C380" s="1" t="s">
        <v>1384</v>
      </c>
      <c r="D380" s="1" t="s">
        <v>1385</v>
      </c>
      <c r="E380" s="2" t="s">
        <v>1386</v>
      </c>
      <c r="F380" s="2" t="s">
        <v>1387</v>
      </c>
      <c r="G380" s="2" t="s">
        <v>47</v>
      </c>
      <c r="H380" s="2">
        <v>0</v>
      </c>
      <c r="I380" s="1">
        <v>0</v>
      </c>
      <c r="J380" s="3" t="s">
        <v>18</v>
      </c>
      <c r="K380" s="2" t="str">
        <f>J380*1496.43</f>
        <v>0</v>
      </c>
      <c r="L380" s="5"/>
    </row>
    <row r="381" spans="1:12" customHeight="1" ht="105" outlineLevel="4">
      <c r="A381" s="1"/>
      <c r="B381" s="1">
        <v>823134</v>
      </c>
      <c r="C381" s="1" t="s">
        <v>1388</v>
      </c>
      <c r="D381" s="1" t="s">
        <v>1389</v>
      </c>
      <c r="E381" s="2" t="s">
        <v>1390</v>
      </c>
      <c r="F381" s="2" t="s">
        <v>1391</v>
      </c>
      <c r="G381" s="2" t="s">
        <v>47</v>
      </c>
      <c r="H381" s="2">
        <v>0</v>
      </c>
      <c r="I381" s="1">
        <v>0</v>
      </c>
      <c r="J381" s="3" t="s">
        <v>18</v>
      </c>
      <c r="K381" s="2" t="str">
        <f>J381*1457.75</f>
        <v>0</v>
      </c>
      <c r="L381" s="5"/>
    </row>
    <row r="382" spans="1:12" customHeight="1" ht="105" outlineLevel="4">
      <c r="A382" s="1"/>
      <c r="B382" s="1">
        <v>823135</v>
      </c>
      <c r="C382" s="1" t="s">
        <v>1392</v>
      </c>
      <c r="D382" s="1" t="s">
        <v>1393</v>
      </c>
      <c r="E382" s="2" t="s">
        <v>1394</v>
      </c>
      <c r="F382" s="2" t="s">
        <v>1395</v>
      </c>
      <c r="G382" s="2">
        <v>1</v>
      </c>
      <c r="H382" s="2">
        <v>0</v>
      </c>
      <c r="I382" s="1">
        <v>0</v>
      </c>
      <c r="J382" s="3" t="s">
        <v>18</v>
      </c>
      <c r="K382" s="2" t="str">
        <f>J382*1926.31</f>
        <v>0</v>
      </c>
      <c r="L382" s="5"/>
    </row>
    <row r="383" spans="1:12" customHeight="1" ht="105" outlineLevel="4">
      <c r="A383" s="1"/>
      <c r="B383" s="1">
        <v>823136</v>
      </c>
      <c r="C383" s="1" t="s">
        <v>1396</v>
      </c>
      <c r="D383" s="1" t="s">
        <v>1397</v>
      </c>
      <c r="E383" s="2" t="s">
        <v>1398</v>
      </c>
      <c r="F383" s="2" t="s">
        <v>1399</v>
      </c>
      <c r="G383" s="2" t="s">
        <v>47</v>
      </c>
      <c r="H383" s="2">
        <v>0</v>
      </c>
      <c r="I383" s="1">
        <v>0</v>
      </c>
      <c r="J383" s="3" t="s">
        <v>18</v>
      </c>
      <c r="K383" s="2" t="str">
        <f>J383*2375.54</f>
        <v>0</v>
      </c>
      <c r="L383" s="5"/>
    </row>
    <row r="384" spans="1:12" customHeight="1" ht="105" outlineLevel="4">
      <c r="A384" s="1"/>
      <c r="B384" s="1">
        <v>837117</v>
      </c>
      <c r="C384" s="1" t="s">
        <v>1400</v>
      </c>
      <c r="D384" s="1" t="s">
        <v>1401</v>
      </c>
      <c r="E384" s="2" t="s">
        <v>1402</v>
      </c>
      <c r="F384" s="2" t="s">
        <v>1403</v>
      </c>
      <c r="G384" s="2">
        <v>1</v>
      </c>
      <c r="H384" s="2">
        <v>0</v>
      </c>
      <c r="I384" s="1">
        <v>0</v>
      </c>
      <c r="J384" s="3" t="s">
        <v>18</v>
      </c>
      <c r="K384" s="2" t="str">
        <f>J384*4575.55</f>
        <v>0</v>
      </c>
      <c r="L384" s="5"/>
    </row>
    <row r="385" spans="1:12" customHeight="1" ht="105" outlineLevel="4">
      <c r="A385" s="1"/>
      <c r="B385" s="1">
        <v>879955</v>
      </c>
      <c r="C385" s="1" t="s">
        <v>1404</v>
      </c>
      <c r="D385" s="1" t="s">
        <v>1405</v>
      </c>
      <c r="E385" s="2" t="s">
        <v>1406</v>
      </c>
      <c r="F385" s="2" t="s">
        <v>1259</v>
      </c>
      <c r="G385" s="2">
        <v>0</v>
      </c>
      <c r="H385" s="2">
        <v>0</v>
      </c>
      <c r="I385" s="1">
        <v>0</v>
      </c>
      <c r="J385" s="3" t="s">
        <v>18</v>
      </c>
      <c r="K385" s="2" t="str">
        <f>J385*1566.34</f>
        <v>0</v>
      </c>
      <c r="L385" s="5"/>
    </row>
    <row r="386" spans="1:12" customHeight="1" ht="105" outlineLevel="4">
      <c r="A386" s="1"/>
      <c r="B386" s="1">
        <v>879956</v>
      </c>
      <c r="C386" s="1" t="s">
        <v>1407</v>
      </c>
      <c r="D386" s="1" t="s">
        <v>1408</v>
      </c>
      <c r="E386" s="2" t="s">
        <v>1409</v>
      </c>
      <c r="F386" s="2" t="s">
        <v>1410</v>
      </c>
      <c r="G386" s="2">
        <v>0</v>
      </c>
      <c r="H386" s="2">
        <v>0</v>
      </c>
      <c r="I386" s="1">
        <v>0</v>
      </c>
      <c r="J386" s="3" t="s">
        <v>18</v>
      </c>
      <c r="K386" s="2" t="str">
        <f>J386*2446.94</f>
        <v>0</v>
      </c>
      <c r="L386" s="5"/>
    </row>
    <row r="387" spans="1:12" customHeight="1" ht="105" outlineLevel="4">
      <c r="A387" s="1"/>
      <c r="B387" s="1">
        <v>884657</v>
      </c>
      <c r="C387" s="1" t="s">
        <v>1411</v>
      </c>
      <c r="D387" s="1" t="s">
        <v>1412</v>
      </c>
      <c r="E387" s="2" t="s">
        <v>1413</v>
      </c>
      <c r="F387" s="2" t="s">
        <v>1414</v>
      </c>
      <c r="G387" s="2">
        <v>1</v>
      </c>
      <c r="H387" s="2">
        <v>0</v>
      </c>
      <c r="I387" s="1">
        <v>0</v>
      </c>
      <c r="J387" s="3" t="s">
        <v>18</v>
      </c>
      <c r="K387" s="2" t="str">
        <f>J387*3082.10</f>
        <v>0</v>
      </c>
      <c r="L387" s="5"/>
    </row>
    <row r="388" spans="1:12" customHeight="1" ht="105" outlineLevel="4">
      <c r="A388" s="1"/>
      <c r="B388" s="1">
        <v>884658</v>
      </c>
      <c r="C388" s="1" t="s">
        <v>1415</v>
      </c>
      <c r="D388" s="1" t="s">
        <v>1416</v>
      </c>
      <c r="E388" s="2" t="s">
        <v>1417</v>
      </c>
      <c r="F388" s="2" t="s">
        <v>1418</v>
      </c>
      <c r="G388" s="2">
        <v>0</v>
      </c>
      <c r="H388" s="2">
        <v>0</v>
      </c>
      <c r="I388" s="1">
        <v>0</v>
      </c>
      <c r="J388" s="3" t="s">
        <v>18</v>
      </c>
      <c r="K388" s="2" t="str">
        <f>J388*2997.31</f>
        <v>0</v>
      </c>
      <c r="L388" s="5"/>
    </row>
    <row r="389" spans="1:12" customHeight="1" ht="105" outlineLevel="4">
      <c r="A389" s="1"/>
      <c r="B389" s="1">
        <v>885117</v>
      </c>
      <c r="C389" s="1" t="s">
        <v>1419</v>
      </c>
      <c r="D389" s="1" t="s">
        <v>1420</v>
      </c>
      <c r="E389" s="2" t="s">
        <v>1421</v>
      </c>
      <c r="F389" s="2" t="s">
        <v>1422</v>
      </c>
      <c r="G389" s="2" t="s">
        <v>47</v>
      </c>
      <c r="H389" s="2">
        <v>0</v>
      </c>
      <c r="I389" s="1">
        <v>0</v>
      </c>
      <c r="J389" s="3" t="s">
        <v>18</v>
      </c>
      <c r="K389" s="2" t="str">
        <f>J389*3317.13</f>
        <v>0</v>
      </c>
      <c r="L389" s="5"/>
    </row>
    <row r="390" spans="1:12" customHeight="1" ht="105" outlineLevel="4">
      <c r="A390" s="1"/>
      <c r="B390" s="1">
        <v>819399</v>
      </c>
      <c r="C390" s="1" t="s">
        <v>1423</v>
      </c>
      <c r="D390" s="1" t="s">
        <v>1424</v>
      </c>
      <c r="E390" s="2" t="s">
        <v>1425</v>
      </c>
      <c r="F390" s="2" t="s">
        <v>1426</v>
      </c>
      <c r="G390" s="2">
        <v>0</v>
      </c>
      <c r="H390" s="2">
        <v>0</v>
      </c>
      <c r="I390" s="1">
        <v>0</v>
      </c>
      <c r="J390" s="3" t="s">
        <v>18</v>
      </c>
      <c r="K390" s="2" t="str">
        <f>J390*6556.00</f>
        <v>0</v>
      </c>
      <c r="L390" s="5"/>
    </row>
    <row r="391" spans="1:12" customHeight="1" ht="105" outlineLevel="4">
      <c r="A391" s="1"/>
      <c r="B391" s="1">
        <v>819400</v>
      </c>
      <c r="C391" s="1" t="s">
        <v>1427</v>
      </c>
      <c r="D391" s="1" t="s">
        <v>1428</v>
      </c>
      <c r="E391" s="2" t="s">
        <v>1429</v>
      </c>
      <c r="F391" s="2" t="s">
        <v>1430</v>
      </c>
      <c r="G391" s="2">
        <v>0</v>
      </c>
      <c r="H391" s="2" t="s">
        <v>23</v>
      </c>
      <c r="I391" s="1">
        <v>0</v>
      </c>
      <c r="J391" s="3" t="s">
        <v>18</v>
      </c>
      <c r="K391" s="2" t="str">
        <f>J391*8174.00</f>
        <v>0</v>
      </c>
      <c r="L391" s="5"/>
    </row>
    <row r="392" spans="1:12" customHeight="1" ht="105" outlineLevel="4">
      <c r="A392" s="1"/>
      <c r="B392" s="1">
        <v>819401</v>
      </c>
      <c r="C392" s="1" t="s">
        <v>1431</v>
      </c>
      <c r="D392" s="1" t="s">
        <v>1432</v>
      </c>
      <c r="E392" s="2" t="s">
        <v>1433</v>
      </c>
      <c r="F392" s="2" t="s">
        <v>1434</v>
      </c>
      <c r="G392" s="2">
        <v>0</v>
      </c>
      <c r="H392" s="2" t="s">
        <v>48</v>
      </c>
      <c r="I392" s="1">
        <v>0</v>
      </c>
      <c r="J392" s="3" t="s">
        <v>18</v>
      </c>
      <c r="K392" s="2" t="str">
        <f>J392*3318.00</f>
        <v>0</v>
      </c>
      <c r="L392" s="5"/>
    </row>
    <row r="393" spans="1:12" customHeight="1" ht="105" outlineLevel="4">
      <c r="A393" s="1"/>
      <c r="B393" s="1">
        <v>819402</v>
      </c>
      <c r="C393" s="1" t="s">
        <v>1435</v>
      </c>
      <c r="D393" s="1" t="s">
        <v>1436</v>
      </c>
      <c r="E393" s="2" t="s">
        <v>1437</v>
      </c>
      <c r="F393" s="2" t="s">
        <v>1438</v>
      </c>
      <c r="G393" s="2">
        <v>0</v>
      </c>
      <c r="H393" s="2">
        <v>2</v>
      </c>
      <c r="I393" s="1">
        <v>0</v>
      </c>
      <c r="J393" s="3" t="s">
        <v>18</v>
      </c>
      <c r="K393" s="2" t="str">
        <f>J393*12773.00</f>
        <v>0</v>
      </c>
      <c r="L393" s="5"/>
    </row>
    <row r="394" spans="1:12" customHeight="1" ht="105" outlineLevel="4">
      <c r="A394" s="1"/>
      <c r="B394" s="1">
        <v>819403</v>
      </c>
      <c r="C394" s="1" t="s">
        <v>1439</v>
      </c>
      <c r="D394" s="1" t="s">
        <v>1440</v>
      </c>
      <c r="E394" s="2" t="s">
        <v>1441</v>
      </c>
      <c r="F394" s="2" t="s">
        <v>1442</v>
      </c>
      <c r="G394" s="2">
        <v>0</v>
      </c>
      <c r="H394" s="2">
        <v>0</v>
      </c>
      <c r="I394" s="1">
        <v>0</v>
      </c>
      <c r="J394" s="3" t="s">
        <v>18</v>
      </c>
      <c r="K394" s="2" t="str">
        <f>J394*4908.00</f>
        <v>0</v>
      </c>
      <c r="L394" s="5"/>
    </row>
    <row r="395" spans="1:12" customHeight="1" ht="105" outlineLevel="4">
      <c r="A395" s="1"/>
      <c r="B395" s="1">
        <v>868502</v>
      </c>
      <c r="C395" s="1" t="s">
        <v>1443</v>
      </c>
      <c r="D395" s="1" t="s">
        <v>1444</v>
      </c>
      <c r="E395" s="2" t="s">
        <v>1445</v>
      </c>
      <c r="F395" s="2" t="s">
        <v>1446</v>
      </c>
      <c r="G395" s="2">
        <v>0</v>
      </c>
      <c r="H395" s="2" t="s">
        <v>41</v>
      </c>
      <c r="I395" s="1">
        <v>0</v>
      </c>
      <c r="J395" s="3" t="s">
        <v>18</v>
      </c>
      <c r="K395" s="2" t="str">
        <f>J395*7422.00</f>
        <v>0</v>
      </c>
      <c r="L395" s="5"/>
    </row>
    <row r="396" spans="1:12" customHeight="1" ht="105" outlineLevel="4">
      <c r="A396" s="1"/>
      <c r="B396" s="1">
        <v>889724</v>
      </c>
      <c r="C396" s="1" t="s">
        <v>1447</v>
      </c>
      <c r="D396" s="1" t="s">
        <v>1448</v>
      </c>
      <c r="E396" s="2" t="s">
        <v>1449</v>
      </c>
      <c r="F396" s="2" t="s">
        <v>1450</v>
      </c>
      <c r="G396" s="2">
        <v>0</v>
      </c>
      <c r="H396" s="2" t="s">
        <v>23</v>
      </c>
      <c r="I396" s="1">
        <v>0</v>
      </c>
      <c r="J396" s="3" t="s">
        <v>18</v>
      </c>
      <c r="K396" s="2" t="str">
        <f>J396*6100.00</f>
        <v>0</v>
      </c>
      <c r="L396" s="5"/>
    </row>
    <row r="397" spans="1:12" customHeight="1" ht="105" outlineLevel="4">
      <c r="A397" s="1"/>
      <c r="B397" s="1">
        <v>890080</v>
      </c>
      <c r="C397" s="1" t="s">
        <v>1451</v>
      </c>
      <c r="D397" s="1" t="s">
        <v>1452</v>
      </c>
      <c r="E397" s="2" t="s">
        <v>1453</v>
      </c>
      <c r="F397" s="2" t="s">
        <v>1454</v>
      </c>
      <c r="G397" s="2">
        <v>0</v>
      </c>
      <c r="H397" s="2" t="s">
        <v>48</v>
      </c>
      <c r="I397" s="1">
        <v>0</v>
      </c>
      <c r="J397" s="3" t="s">
        <v>18</v>
      </c>
      <c r="K397" s="2" t="str">
        <f>J397*3528.00</f>
        <v>0</v>
      </c>
      <c r="L397" s="5"/>
    </row>
    <row r="398" spans="1:12" customHeight="1" ht="105" outlineLevel="4">
      <c r="A398" s="1"/>
      <c r="B398" s="1">
        <v>890116</v>
      </c>
      <c r="C398" s="1" t="s">
        <v>1455</v>
      </c>
      <c r="D398" s="1" t="s">
        <v>1456</v>
      </c>
      <c r="E398" s="2" t="s">
        <v>1457</v>
      </c>
      <c r="F398" s="2" t="s">
        <v>1458</v>
      </c>
      <c r="G398" s="2">
        <v>-2</v>
      </c>
      <c r="H398" s="2" t="s">
        <v>41</v>
      </c>
      <c r="I398" s="1">
        <v>0</v>
      </c>
      <c r="J398" s="3" t="s">
        <v>18</v>
      </c>
      <c r="K398" s="2" t="str">
        <f>J398*3775.00</f>
        <v>0</v>
      </c>
      <c r="L398" s="5"/>
    </row>
    <row r="399" spans="1:12" customHeight="1" ht="105" outlineLevel="4">
      <c r="A399" s="1"/>
      <c r="B399" s="1">
        <v>890117</v>
      </c>
      <c r="C399" s="1" t="s">
        <v>1459</v>
      </c>
      <c r="D399" s="1" t="s">
        <v>1460</v>
      </c>
      <c r="E399" s="2" t="s">
        <v>1461</v>
      </c>
      <c r="F399" s="2" t="s">
        <v>1458</v>
      </c>
      <c r="G399" s="2">
        <v>0</v>
      </c>
      <c r="H399" s="2" t="s">
        <v>32</v>
      </c>
      <c r="I399" s="1">
        <v>0</v>
      </c>
      <c r="J399" s="3" t="s">
        <v>18</v>
      </c>
      <c r="K399" s="2" t="str">
        <f>J399*3775.00</f>
        <v>0</v>
      </c>
      <c r="L399" s="5"/>
    </row>
    <row r="400" spans="1:12" customHeight="1" ht="105" outlineLevel="4">
      <c r="A400" s="1"/>
      <c r="B400" s="1">
        <v>890118</v>
      </c>
      <c r="C400" s="1" t="s">
        <v>1462</v>
      </c>
      <c r="D400" s="1" t="s">
        <v>1463</v>
      </c>
      <c r="E400" s="2" t="s">
        <v>1464</v>
      </c>
      <c r="F400" s="2" t="s">
        <v>1465</v>
      </c>
      <c r="G400" s="2">
        <v>-2</v>
      </c>
      <c r="H400" s="2" t="s">
        <v>23</v>
      </c>
      <c r="I400" s="1">
        <v>0</v>
      </c>
      <c r="J400" s="3" t="s">
        <v>18</v>
      </c>
      <c r="K400" s="2" t="str">
        <f>J400*6300.00</f>
        <v>0</v>
      </c>
      <c r="L400" s="5"/>
    </row>
    <row r="401" spans="1:12" customHeight="1" ht="105" outlineLevel="4">
      <c r="A401" s="1"/>
      <c r="B401" s="1">
        <v>890119</v>
      </c>
      <c r="C401" s="1" t="s">
        <v>1466</v>
      </c>
      <c r="D401" s="1" t="s">
        <v>1467</v>
      </c>
      <c r="E401" s="2" t="s">
        <v>1468</v>
      </c>
      <c r="F401" s="2" t="s">
        <v>1465</v>
      </c>
      <c r="G401" s="2">
        <v>0</v>
      </c>
      <c r="H401" s="2" t="s">
        <v>23</v>
      </c>
      <c r="I401" s="1">
        <v>0</v>
      </c>
      <c r="J401" s="3" t="s">
        <v>18</v>
      </c>
      <c r="K401" s="2" t="str">
        <f>J401*6300.00</f>
        <v>0</v>
      </c>
      <c r="L401" s="5"/>
    </row>
    <row r="402" spans="1:12" customHeight="1" ht="105" outlineLevel="4">
      <c r="A402" s="1"/>
      <c r="B402" s="1">
        <v>890120</v>
      </c>
      <c r="C402" s="1" t="s">
        <v>1469</v>
      </c>
      <c r="D402" s="1" t="s">
        <v>1470</v>
      </c>
      <c r="E402" s="2" t="s">
        <v>1471</v>
      </c>
      <c r="F402" s="2" t="s">
        <v>1472</v>
      </c>
      <c r="G402" s="2">
        <v>0</v>
      </c>
      <c r="H402" s="2" t="s">
        <v>48</v>
      </c>
      <c r="I402" s="1">
        <v>0</v>
      </c>
      <c r="J402" s="3" t="s">
        <v>18</v>
      </c>
      <c r="K402" s="2" t="str">
        <f>J402*3175.00</f>
        <v>0</v>
      </c>
      <c r="L402" s="5"/>
    </row>
    <row r="403" spans="1:12" customHeight="1" ht="105" outlineLevel="4">
      <c r="A403" s="1"/>
      <c r="B403" s="1">
        <v>890121</v>
      </c>
      <c r="C403" s="1" t="s">
        <v>1473</v>
      </c>
      <c r="D403" s="1" t="s">
        <v>1474</v>
      </c>
      <c r="E403" s="2" t="s">
        <v>1475</v>
      </c>
      <c r="F403" s="2" t="s">
        <v>1476</v>
      </c>
      <c r="G403" s="2">
        <v>0</v>
      </c>
      <c r="H403" s="2" t="s">
        <v>41</v>
      </c>
      <c r="I403" s="1">
        <v>0</v>
      </c>
      <c r="J403" s="3" t="s">
        <v>18</v>
      </c>
      <c r="K403" s="2" t="str">
        <f>J403*3152.00</f>
        <v>0</v>
      </c>
      <c r="L403" s="5"/>
    </row>
    <row r="404" spans="1:12" customHeight="1" ht="105" outlineLevel="4">
      <c r="A404" s="1"/>
      <c r="B404" s="1">
        <v>890122</v>
      </c>
      <c r="C404" s="1" t="s">
        <v>1477</v>
      </c>
      <c r="D404" s="1" t="s">
        <v>1478</v>
      </c>
      <c r="E404" s="2" t="s">
        <v>1479</v>
      </c>
      <c r="F404" s="2" t="s">
        <v>1480</v>
      </c>
      <c r="G404" s="2">
        <v>0</v>
      </c>
      <c r="H404" s="2" t="s">
        <v>48</v>
      </c>
      <c r="I404" s="1">
        <v>0</v>
      </c>
      <c r="J404" s="3" t="s">
        <v>18</v>
      </c>
      <c r="K404" s="2" t="str">
        <f>J404*5664.00</f>
        <v>0</v>
      </c>
      <c r="L404" s="5"/>
    </row>
    <row r="405" spans="1:12" customHeight="1" ht="105" outlineLevel="4">
      <c r="A405" s="1"/>
      <c r="B405" s="1">
        <v>890123</v>
      </c>
      <c r="C405" s="1" t="s">
        <v>1481</v>
      </c>
      <c r="D405" s="1" t="s">
        <v>1482</v>
      </c>
      <c r="E405" s="2" t="s">
        <v>1483</v>
      </c>
      <c r="F405" s="2" t="s">
        <v>1484</v>
      </c>
      <c r="G405" s="2">
        <v>0</v>
      </c>
      <c r="H405" s="2" t="s">
        <v>48</v>
      </c>
      <c r="I405" s="1">
        <v>0</v>
      </c>
      <c r="J405" s="3" t="s">
        <v>18</v>
      </c>
      <c r="K405" s="2" t="str">
        <f>J405*6680.00</f>
        <v>0</v>
      </c>
      <c r="L405" s="5"/>
    </row>
    <row r="406" spans="1:12" customHeight="1" ht="105" outlineLevel="4">
      <c r="A406" s="1"/>
      <c r="B406" s="1">
        <v>834803</v>
      </c>
      <c r="C406" s="1" t="s">
        <v>1485</v>
      </c>
      <c r="D406" s="1" t="s">
        <v>1486</v>
      </c>
      <c r="E406" s="2" t="s">
        <v>1487</v>
      </c>
      <c r="F406" s="2" t="s">
        <v>1488</v>
      </c>
      <c r="G406" s="2">
        <v>0</v>
      </c>
      <c r="H406" s="2" t="s">
        <v>41</v>
      </c>
      <c r="I406" s="1">
        <v>0</v>
      </c>
      <c r="J406" s="3" t="s">
        <v>18</v>
      </c>
      <c r="K406" s="2" t="str">
        <f>J406*6090.00</f>
        <v>0</v>
      </c>
      <c r="L406" s="5"/>
    </row>
    <row r="407" spans="1:12" outlineLevel="1">
      <c r="A407" s="7" t="s">
        <v>1489</v>
      </c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5"/>
    </row>
    <row r="408" spans="1:12" customHeight="1" ht="105" outlineLevel="3">
      <c r="A408" s="1"/>
      <c r="B408" s="1">
        <v>954168</v>
      </c>
      <c r="C408" s="1" t="s">
        <v>1490</v>
      </c>
      <c r="D408" s="1" t="s">
        <v>1491</v>
      </c>
      <c r="E408" s="2" t="s">
        <v>1492</v>
      </c>
      <c r="F408" s="2" t="s">
        <v>1493</v>
      </c>
      <c r="G408" s="2">
        <v>2</v>
      </c>
      <c r="H408" s="2">
        <v>0</v>
      </c>
      <c r="I408" s="1">
        <v>0</v>
      </c>
      <c r="J408" s="3" t="s">
        <v>18</v>
      </c>
      <c r="K408" s="2" t="str">
        <f>J408*4991.32</f>
        <v>0</v>
      </c>
      <c r="L40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3:K33"/>
    <mergeCell ref="A170:K170"/>
    <mergeCell ref="A233:K233"/>
    <mergeCell ref="A274:K274"/>
    <mergeCell ref="A359:K359"/>
    <mergeCell ref="A407:K407"/>
    <mergeCell ref="A4:K4"/>
    <mergeCell ref="A19:K19"/>
    <mergeCell ref="A29:K29"/>
    <mergeCell ref="A34:K34"/>
    <mergeCell ref="A73:K73"/>
    <mergeCell ref="A172:K172"/>
    <mergeCell ref="A200:K200"/>
    <mergeCell ref="A230:K230"/>
    <mergeCell ref="A234:K234"/>
    <mergeCell ref="A260:K260"/>
    <mergeCell ref="A276:K276"/>
    <mergeCell ref="A315:K315"/>
    <mergeCell ref="A345:K345"/>
    <mergeCell ref="A355:K355"/>
    <mergeCell ref="A360:K360"/>
    <mergeCell ref="A377:K377"/>
    <mergeCell ref="A35:K35"/>
    <mergeCell ref="A47:K47"/>
    <mergeCell ref="A61:K61"/>
    <mergeCell ref="A74:K74"/>
    <mergeCell ref="A89:K89"/>
    <mergeCell ref="A134:K134"/>
    <mergeCell ref="A173:K173"/>
    <mergeCell ref="A189:K189"/>
    <mergeCell ref="A192:K192"/>
    <mergeCell ref="A201:K201"/>
    <mergeCell ref="A208:K208"/>
    <mergeCell ref="A213:K213"/>
    <mergeCell ref="A135:K135"/>
    <mergeCell ref="A147:K147"/>
    <mergeCell ref="A159:K15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2026-01-29T20:17:09+03:00</dcterms:created>
  <dcterms:modified xsi:type="dcterms:W3CDTF">2026-01-29T20:17:09+03:00</dcterms:modified>
  <dc:title>Untitled Spreadsheet</dc:title>
  <dc:description/>
  <dc:subject/>
  <cp:keywords/>
  <cp:category/>
</cp:coreProperties>
</file>