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<sst xmlns="http://schemas.openxmlformats.org/spreadsheetml/2006/main" uniqueCount="2751">
  <si>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</si>
  <si>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</si>
  <si>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</si>
  <si>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</si>
  <si>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</si>
  <si>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</si>
  <si>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</si>
  <si>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</si>
  <si>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</si>
  <si>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</si>
  <si>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</si>
  <si>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</si>
  <si>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</si>
  <si>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</si>
  <si>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</si>
  <si>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</si>
  <si>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</si>
  <si>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</si>
  <si>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</si>
  <si>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</si>
  <si>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</si>
  <si>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</si>
  <si>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412.00 руб.</t>
  </si>
  <si>
    <t>&gt;100</t>
  </si>
  <si>
    <t>VLC-1411003</t>
  </si>
  <si>
    <t>VTi.900.304.1810</t>
  </si>
  <si>
    <t>Труба нерж. сталь,  18х1.0мм (4 /40шт)</t>
  </si>
  <si>
    <t>542.00 руб.</t>
  </si>
  <si>
    <t>&gt;10</t>
  </si>
  <si>
    <t>VLC-1411004</t>
  </si>
  <si>
    <t>VTi.900.304.2212</t>
  </si>
  <si>
    <t>Труба нерж. сталь,  22х1.2мм (4 /20шт)</t>
  </si>
  <si>
    <t>756.00 руб.</t>
  </si>
  <si>
    <t>&gt;25</t>
  </si>
  <si>
    <t>&gt;500</t>
  </si>
  <si>
    <t>VLC-1411005</t>
  </si>
  <si>
    <t>VTi.900.304.2812</t>
  </si>
  <si>
    <t>Труба нерж. сталь,  28х1.2мм (4 /20шт)</t>
  </si>
  <si>
    <t>989.00 руб.</t>
  </si>
  <si>
    <t>VLC-1411006</t>
  </si>
  <si>
    <t>VTi.900.304.3515</t>
  </si>
  <si>
    <t>Труба нерж. сталь,  35х1.5мм  (4 /20шт)</t>
  </si>
  <si>
    <t>1 613.00 руб.</t>
  </si>
  <si>
    <t>&gt;1000</t>
  </si>
  <si>
    <t>VLC-1411007</t>
  </si>
  <si>
    <t>VTi.900.304.4215</t>
  </si>
  <si>
    <t>Труба нерж. сталь,  42х1.5мм  (4 /16шт)</t>
  </si>
  <si>
    <t>1 999.00 руб.</t>
  </si>
  <si>
    <t>VLC-1411008</t>
  </si>
  <si>
    <t>VTi.900.304.5415</t>
  </si>
  <si>
    <t>Труба нерж. сталь,  54х1.5мм  (4 /12шт)</t>
  </si>
  <si>
    <t>2 625.00 руб.</t>
  </si>
  <si>
    <t>VLC-901051</t>
  </si>
  <si>
    <t>VTi.900.304.7620</t>
  </si>
  <si>
    <t>Труба нерж. сталь, 76.1х2.0мм</t>
  </si>
  <si>
    <t>3 405.00 руб.</t>
  </si>
  <si>
    <t>VLC-901052</t>
  </si>
  <si>
    <t>VTi.900.304.8920</t>
  </si>
  <si>
    <t>Труба нерж. сталь,  88.9х2.0мм</t>
  </si>
  <si>
    <t>3 996.00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</si>
  <si>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</si>
  <si>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</si>
  <si>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</si>
  <si>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</si>
  <si>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</si>
  <si>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</si>
  <si>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</si>
  <si>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</si>
  <si>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</si>
  <si>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</si>
  <si>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</si>
  <si>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</si>
  <si>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</si>
  <si>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</si>
  <si>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</si>
  <si>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</si>
  <si>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</si>
  <si>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</si>
  <si>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</si>
  <si>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</si>
  <si>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</si>
  <si>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</si>
  <si>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</si>
  <si>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</si>
  <si>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</si>
  <si>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</si>
  <si>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</si>
  <si>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</si>
  <si>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</si>
  <si>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</si>
  <si>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&gt;50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</si>
  <si>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</si>
  <si>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</si>
  <si>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</si>
  <si>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</si>
  <si>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</si>
  <si>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</si>
  <si>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</si>
  <si>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</si>
  <si>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</si>
  <si>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</si>
  <si>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</si>
  <si>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</si>
  <si>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</si>
  <si>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</si>
  <si>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</si>
  <si>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</si>
  <si>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</si>
  <si>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</si>
  <si>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</si>
  <si>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</si>
  <si>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</si>
  <si>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</si>
  <si>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</si>
  <si>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</si>
  <si>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</si>
  <si>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350.00 руб.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</si>
  <si>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</si>
  <si>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</si>
  <si>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</si>
  <si>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</si>
  <si>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</si>
  <si>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586.00 руб.</t>
  </si>
  <si>
    <t>SNT-150016</t>
  </si>
  <si>
    <t>Труба 3 метра из нержавеющей стали 35x1.5,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</si>
  <si>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</si>
  <si>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</si>
  <si>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</si>
  <si>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</si>
  <si>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</si>
  <si>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</si>
  <si>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</si>
  <si>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</si>
  <si>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</si>
  <si>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</si>
  <si>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</si>
  <si>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</si>
  <si>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</si>
  <si>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</si>
  <si>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</si>
  <si>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</si>
  <si>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</si>
  <si>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</si>
  <si>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</si>
  <si>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</si>
  <si>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</si>
  <si>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</si>
  <si>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</si>
  <si>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</si>
  <si>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</si>
  <si>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</si>
  <si>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</si>
  <si>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</si>
  <si>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</si>
  <si>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</si>
  <si>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</si>
  <si>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</si>
  <si>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</si>
  <si>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</si>
  <si>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</si>
  <si>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</si>
  <si>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</si>
  <si>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</si>
  <si>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</si>
  <si>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</si>
  <si>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</si>
  <si>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</si>
  <si>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</si>
  <si>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</si>
  <si>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</si>
  <si>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</si>
  <si>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</si>
  <si>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</si>
  <si>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</si>
  <si>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</si>
  <si>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</si>
  <si>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</si>
  <si>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</si>
  <si>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</si>
  <si>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</si>
  <si>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</si>
  <si>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</si>
  <si>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</si>
  <si>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</si>
  <si>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</si>
  <si>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</si>
  <si>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</si>
  <si>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</si>
  <si>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</si>
  <si>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</si>
  <si>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</si>
  <si>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</si>
  <si>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</si>
  <si>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</si>
  <si>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</si>
  <si>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</si>
  <si>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</si>
  <si>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</si>
  <si>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</si>
  <si>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</si>
  <si>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</si>
  <si>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</si>
  <si>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</si>
  <si>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</si>
  <si>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</si>
  <si>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</si>
  <si>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</si>
  <si>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шт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</si>
  <si>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</si>
  <si>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</si>
  <si>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</si>
  <si>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</si>
  <si>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</si>
  <si>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</si>
  <si>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</si>
  <si>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</si>
  <si>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</si>
  <si>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</si>
  <si>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</si>
  <si>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</si>
  <si>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</si>
  <si>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</si>
  <si>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</si>
  <si>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</si>
  <si>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</si>
  <si>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</si>
  <si>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</si>
  <si>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</si>
  <si>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</si>
  <si>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</si>
  <si>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</si>
  <si>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</si>
  <si>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</si>
  <si>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</si>
  <si>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</si>
  <si>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</si>
  <si>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</si>
  <si>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</si>
  <si>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</si>
  <si>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</si>
  <si>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</si>
  <si>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</si>
  <si>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</si>
  <si>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</si>
  <si>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</si>
  <si>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</si>
  <si>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</si>
  <si>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</si>
  <si>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</si>
  <si>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</si>
  <si>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</si>
  <si>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</si>
  <si>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</si>
  <si>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</si>
  <si>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</si>
  <si>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</si>
  <si>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</si>
  <si>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</si>
  <si>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</si>
  <si>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</si>
  <si>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</si>
  <si>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</si>
  <si>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</si>
  <si>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</si>
  <si>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</si>
  <si>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</si>
  <si>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</si>
  <si>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</si>
  <si>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</si>
  <si>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</si>
  <si>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</si>
  <si>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</si>
  <si>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</si>
  <si>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</si>
  <si>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</si>
  <si>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</si>
  <si>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</si>
  <si>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</si>
  <si>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</si>
  <si>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</si>
  <si>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</si>
  <si>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</si>
  <si>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</si>
  <si>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</si>
  <si>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</si>
  <si>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</si>
  <si>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</si>
  <si>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</si>
  <si>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</si>
  <si>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</si>
  <si>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</si>
  <si>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</si>
  <si>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</si>
  <si>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</si>
  <si>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</si>
  <si>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</si>
  <si>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</si>
  <si>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</si>
  <si>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</si>
  <si>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</si>
  <si>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</si>
  <si>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</si>
  <si>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</si>
  <si>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</si>
  <si>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</si>
  <si>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</si>
  <si>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</si>
  <si>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</si>
  <si>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</si>
  <si>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</si>
  <si>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</si>
  <si>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</si>
  <si>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</si>
  <si>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</si>
  <si>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</si>
  <si>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</si>
  <si>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</si>
  <si>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</si>
  <si>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</si>
  <si>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</si>
  <si>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</si>
  <si>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</si>
  <si>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</si>
  <si>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</si>
  <si>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</si>
  <si>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</si>
  <si>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</si>
  <si>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</si>
  <si>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</si>
  <si>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</si>
  <si>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</si>
  <si>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</si>
  <si>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</si>
  <si>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</si>
  <si>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</si>
  <si>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</si>
  <si>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</si>
  <si>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</si>
  <si>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</si>
  <si>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</si>
  <si>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</si>
  <si>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</si>
  <si>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</si>
  <si>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</si>
  <si>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</si>
  <si>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</si>
  <si>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</si>
  <si>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</si>
  <si>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</si>
  <si>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</si>
  <si>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</si>
  <si>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</si>
  <si>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</si>
  <si>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</si>
  <si>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</si>
  <si>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</si>
  <si>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</si>
  <si>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</si>
  <si>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</si>
  <si>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</si>
  <si>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</si>
  <si>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</si>
  <si>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</si>
  <si>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</si>
  <si>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</si>
  <si>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</si>
  <si>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</si>
  <si>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</si>
  <si>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</si>
  <si>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</si>
  <si>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</si>
  <si>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</si>
  <si>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</si>
  <si>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</si>
  <si>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</si>
  <si>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</si>
  <si>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</si>
  <si>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</si>
  <si>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VER-001309</t>
  </si>
  <si>
    <t>VRDN3-204M</t>
  </si>
  <si>
    <t>Муфта для газа с диэлектриком 20Ax3/4" (НР) (120/10шт)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</si>
  <si>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</si>
  <si>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</si>
  <si>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</si>
  <si>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</si>
  <si>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</si>
  <si>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</si>
  <si>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</si>
  <si>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</si>
  <si>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</si>
  <si>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</si>
  <si>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</si>
  <si>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</si>
  <si>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</si>
  <si>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</si>
  <si>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</si>
  <si>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</si>
  <si>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</si>
  <si>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</si>
  <si>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</si>
  <si>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</si>
  <si>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</si>
  <si>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</si>
  <si>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</si>
  <si>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</si>
  <si>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</si>
  <si>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</si>
  <si>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</si>
  <si>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</si>
  <si>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</si>
  <si>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</si>
  <si>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</si>
  <si>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</si>
  <si>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</si>
  <si>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</si>
  <si>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</si>
  <si>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</si>
  <si>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</si>
  <si>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</si>
  <si>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</si>
  <si>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</si>
  <si>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</si>
  <si>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</si>
  <si>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</si>
  <si>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</si>
  <si>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</si>
  <si>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</si>
  <si>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</si>
  <si>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</si>
  <si>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</si>
  <si>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</si>
  <si>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</si>
  <si>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</si>
  <si>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</si>
  <si>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</si>
  <si>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</si>
  <si>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</si>
  <si>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</si>
  <si>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</si>
  <si>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</si>
  <si>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</si>
  <si>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</si>
  <si>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</si>
  <si>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</si>
  <si>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</si>
  <si>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</si>
  <si>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</si>
  <si>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</si>
  <si>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</si>
  <si>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</si>
  <si>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</si>
  <si>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</si>
  <si>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</si>
  <si>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</si>
  <si>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</si>
  <si>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</si>
  <si>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</si>
  <si>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</si>
  <si>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</si>
  <si>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</si>
  <si>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</si>
  <si>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</si>
  <si>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</si>
  <si>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</si>
  <si>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</si>
  <si>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</si>
  <si>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</si>
  <si>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</si>
  <si>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</si>
  <si>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</si>
  <si>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</si>
  <si>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</si>
  <si>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</si>
  <si>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</si>
  <si>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</si>
  <si>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</si>
  <si>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</si>
  <si>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</si>
  <si>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</si>
  <si>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</si>
  <si>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</si>
  <si>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</si>
  <si>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</si>
  <si>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</si>
  <si>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</si>
  <si>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</si>
  <si>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</si>
  <si>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</si>
  <si>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</si>
  <si>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</si>
  <si>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</si>
  <si>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</si>
  <si>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</si>
  <si>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</si>
  <si>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</si>
  <si>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</si>
  <si>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</si>
  <si>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</si>
  <si>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</si>
  <si>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</si>
  <si>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</si>
  <si>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</si>
  <si>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</si>
  <si>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</si>
  <si>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</si>
  <si>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</si>
  <si>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</si>
  <si>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</si>
  <si>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</si>
  <si>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</si>
  <si>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</si>
  <si>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</si>
  <si>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</si>
  <si>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</si>
  <si>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</si>
  <si>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</si>
  <si>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</si>
  <si>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</si>
  <si>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</si>
  <si>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</si>
  <si>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</si>
  <si>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</si>
  <si>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</si>
  <si>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</si>
  <si>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</si>
  <si>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</si>
  <si>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</si>
  <si>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</si>
  <si>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</si>
  <si>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</si>
  <si>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</si>
  <si>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</si>
  <si>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</si>
  <si>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</si>
  <si>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</si>
  <si>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</si>
  <si>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</si>
  <si>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</si>
  <si>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</si>
  <si>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</si>
  <si>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</si>
  <si>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386.00 руб.</t>
  </si>
  <si>
    <t>VLC-1412002</t>
  </si>
  <si>
    <t>VTi.582.I.0404</t>
  </si>
  <si>
    <t>Ниппель нерж. сталь 1/2"х1/2"   (5 /300шт)  (5 /300шт)</t>
  </si>
  <si>
    <t>335.00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</si>
  <si>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</si>
  <si>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</si>
  <si>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</si>
  <si>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</si>
  <si>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</si>
  <si>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</si>
  <si>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</si>
  <si>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329.00 руб.</t>
  </si>
  <si>
    <t>VLC-1412005</t>
  </si>
  <si>
    <t>VTi.901.I.001804</t>
  </si>
  <si>
    <t>Соединитель нерж. сталь с нар.р. 18х1/2"  (5 /180шт)</t>
  </si>
  <si>
    <t>385.00 руб.</t>
  </si>
  <si>
    <t>VLC-1412006</t>
  </si>
  <si>
    <t>VTi.901.I.001805</t>
  </si>
  <si>
    <t>Соединитель нерж. сталь с нар.р. 18х3/4"  (5 /140шт)</t>
  </si>
  <si>
    <t>449.00 руб.</t>
  </si>
  <si>
    <t>VLC-1412007</t>
  </si>
  <si>
    <t>VTi.901.I.002204</t>
  </si>
  <si>
    <t>Соединитель нерж. сталь с нар.р. 22х1/2"  (5 /120шт)</t>
  </si>
  <si>
    <t>VLC-1412008</t>
  </si>
  <si>
    <t>VTi.901.I.002205</t>
  </si>
  <si>
    <t>Соединитель нерж. сталь с нар.р. 22х3/4"  (5 /110шт)</t>
  </si>
  <si>
    <t>VLC-1412009</t>
  </si>
  <si>
    <t>VTi.901.I.002805</t>
  </si>
  <si>
    <t>Соединитель нерж. сталь с нар.р. 28х3/4"  (5 /90шт)</t>
  </si>
  <si>
    <t>580.00 руб.</t>
  </si>
  <si>
    <t>VLC-1412010</t>
  </si>
  <si>
    <t>VTi.901.I.002806</t>
  </si>
  <si>
    <t>Соединитель нерж. сталь с нар.р. 28х1"  (5 /60шт)</t>
  </si>
  <si>
    <t>768.00 руб.</t>
  </si>
  <si>
    <t>VLC-1412011</t>
  </si>
  <si>
    <t>VTi.901.I.003506</t>
  </si>
  <si>
    <t>Соединитель нерж. сталь с нар.р. 35х1"    (5 /50шт)</t>
  </si>
  <si>
    <t>854.00 руб.</t>
  </si>
  <si>
    <t>VLC-1412012</t>
  </si>
  <si>
    <t>VTi.901.I.003507</t>
  </si>
  <si>
    <t>Соединитель нерж. сталь с нар.р. 35х1 1/4" (5 /40шт)</t>
  </si>
  <si>
    <t>971.00 руб.</t>
  </si>
  <si>
    <t>VLC-1412013</t>
  </si>
  <si>
    <t>VTi.901.I.004208</t>
  </si>
  <si>
    <t>Соединитель нерж. сталь с нар.р. 42х1 1/2"    (24шт)</t>
  </si>
  <si>
    <t>1 346.00 руб.</t>
  </si>
  <si>
    <t>VLC-1412014</t>
  </si>
  <si>
    <t>VTi.901.I.005409</t>
  </si>
  <si>
    <t>Соединитель нерж. сталь с нар.р. 54х2"    (16шт)</t>
  </si>
  <si>
    <t>1 756.00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</si>
  <si>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</si>
  <si>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</si>
  <si>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</si>
  <si>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</si>
  <si>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</si>
  <si>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</si>
  <si>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</si>
  <si>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258.00 руб.</t>
  </si>
  <si>
    <t>VLC-1412017</t>
  </si>
  <si>
    <t>VTi.902.I.001804</t>
  </si>
  <si>
    <t>Соединитель нерж. сталь с вн.р. 18х1/2"   (5 /170шт)</t>
  </si>
  <si>
    <t>308.00 руб.</t>
  </si>
  <si>
    <t>VLC-1412018</t>
  </si>
  <si>
    <t>VTi.902.I.001805</t>
  </si>
  <si>
    <t>Соединитель нерж. сталь с вн.р. 18х3/4"     (5 /110шт)</t>
  </si>
  <si>
    <t>457.00 руб.</t>
  </si>
  <si>
    <t>VLC-1412019</t>
  </si>
  <si>
    <t>VTi.902.I.002204</t>
  </si>
  <si>
    <t>Соединитель нерж. сталь с вн.р. 22х1/2"   (5 /130шт)</t>
  </si>
  <si>
    <t>VLC-1412020</t>
  </si>
  <si>
    <t>VTi.902.I.002205</t>
  </si>
  <si>
    <t>Соединитель нерж. сталь с вн.р. 22х3/4"     (5 /110шт)</t>
  </si>
  <si>
    <t>462.00 руб.</t>
  </si>
  <si>
    <t>VLC-1412021</t>
  </si>
  <si>
    <t>VTi.902.I.002805</t>
  </si>
  <si>
    <t>Соединитель нерж. сталь с вн.р. 28х3/4"  (5 /80шт)</t>
  </si>
  <si>
    <t>497.00 руб.</t>
  </si>
  <si>
    <t>VLC-1412022</t>
  </si>
  <si>
    <t>VTi.902.I.002806</t>
  </si>
  <si>
    <t>Соединитель нерж. сталь с вн.р. 28х1"  (5 /60шт)</t>
  </si>
  <si>
    <t>716.00 руб.</t>
  </si>
  <si>
    <t>VLC-1412023</t>
  </si>
  <si>
    <t>VTi.902.I.003506</t>
  </si>
  <si>
    <t>Соединитель нерж. сталь с вн.р. 35х1"  (5 /50шт)</t>
  </si>
  <si>
    <t>794.00 руб.</t>
  </si>
  <si>
    <t>VLC-1412024</t>
  </si>
  <si>
    <t>VTi.902.I.003507</t>
  </si>
  <si>
    <t>Соединитель нерж. сталь с вн.р. 35х1 1/4" (5 /40шт)</t>
  </si>
  <si>
    <t>929.00 руб.</t>
  </si>
  <si>
    <t>VLC-1412025</t>
  </si>
  <si>
    <t>VTi.902.I.004208</t>
  </si>
  <si>
    <t>Соединитель нерж. сталь с вн.р. 42х1 1/2"</t>
  </si>
  <si>
    <t>1 312.00 руб.</t>
  </si>
  <si>
    <t>VLC-1412026</t>
  </si>
  <si>
    <t>VTi.902.I.005409</t>
  </si>
  <si>
    <t>Соединитель нерж. сталь с вн.р. 54х2"</t>
  </si>
  <si>
    <t>1 702.00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</si>
  <si>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</si>
  <si>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</si>
  <si>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</si>
  <si>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</si>
  <si>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</si>
  <si>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</si>
  <si>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</si>
  <si>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172.00 руб.</t>
  </si>
  <si>
    <t>VLC-1412029</t>
  </si>
  <si>
    <t>VTi.903.I.001515</t>
  </si>
  <si>
    <t>Муфта нерж. сталь 15х15  (5 /200шт)</t>
  </si>
  <si>
    <t>153.00 руб.</t>
  </si>
  <si>
    <t>VLC-1412030</t>
  </si>
  <si>
    <t>VTi.903.I.001815</t>
  </si>
  <si>
    <t>Муфта нерж. сталь 18х15  (5 /150шт)</t>
  </si>
  <si>
    <t>253.00 руб.</t>
  </si>
  <si>
    <t>VLC-1412031</t>
  </si>
  <si>
    <t>VTi.903.I.001818</t>
  </si>
  <si>
    <t>Муфта нерж. сталь 18х18   (5 /165шт)</t>
  </si>
  <si>
    <t>220.00 руб.</t>
  </si>
  <si>
    <t>VLC-1412032</t>
  </si>
  <si>
    <t>VTi.903.I.002215</t>
  </si>
  <si>
    <t>Муфта нерж. сталь 22х15   (5 /100шт)</t>
  </si>
  <si>
    <t>274.00 руб.</t>
  </si>
  <si>
    <t>VLC-1412033</t>
  </si>
  <si>
    <t>VTi.903.I.002218</t>
  </si>
  <si>
    <t>Муфта нерж. сталь 22х18   (5 /100шт)</t>
  </si>
  <si>
    <t>317.00 руб.</t>
  </si>
  <si>
    <t>VLC-1412034</t>
  </si>
  <si>
    <t>VTi.903.I.002222</t>
  </si>
  <si>
    <t>Муфта нерж. сталь 22х22  (5 /90шт)</t>
  </si>
  <si>
    <t>239.00 руб.</t>
  </si>
  <si>
    <t>VLC-1412035</t>
  </si>
  <si>
    <t>VTi.903.I.002815</t>
  </si>
  <si>
    <t>Муфта нерж. сталь 28х15  (5 /80шт)</t>
  </si>
  <si>
    <t>349.00 руб.</t>
  </si>
  <si>
    <t>VLC-1412036</t>
  </si>
  <si>
    <t>VTi.903.I.002822</t>
  </si>
  <si>
    <t>Муфта нерж. сталь 28х22  (5 /60шт)</t>
  </si>
  <si>
    <t>367.00 руб.</t>
  </si>
  <si>
    <t>VLC-1412037</t>
  </si>
  <si>
    <t>VTi.903.I.002828</t>
  </si>
  <si>
    <t>Муфта нерж. сталь 28х28  (5 /60шт)</t>
  </si>
  <si>
    <t>284.00 руб.</t>
  </si>
  <si>
    <t>VLC-1412038</t>
  </si>
  <si>
    <t>VTi.903.I.003528</t>
  </si>
  <si>
    <t>Муфта нерж. сталь 35х28   (5 /45шт)</t>
  </si>
  <si>
    <t>520.00 руб.</t>
  </si>
  <si>
    <t>VLC-1412039</t>
  </si>
  <si>
    <t>VTi.903.I.003535</t>
  </si>
  <si>
    <t>Муфта нерж. сталь 35х35  (5 /40шт)</t>
  </si>
  <si>
    <t>387.00 руб.</t>
  </si>
  <si>
    <t>VLC-1412040</t>
  </si>
  <si>
    <t>VTi.903.I.004235</t>
  </si>
  <si>
    <t>Муфта нерж. сталь 42х35</t>
  </si>
  <si>
    <t>589.00 руб.</t>
  </si>
  <si>
    <t>VLC-1412041</t>
  </si>
  <si>
    <t>VTi.903.I.004242</t>
  </si>
  <si>
    <t>Муфта нерж. сталь 42х42</t>
  </si>
  <si>
    <t>524.00 руб.</t>
  </si>
  <si>
    <t>VLC-1412042</t>
  </si>
  <si>
    <t>VTi.903.I.005442</t>
  </si>
  <si>
    <t>Муфта нерж. сталь 54х42</t>
  </si>
  <si>
    <t>857.00 руб.</t>
  </si>
  <si>
    <t>VLC-1412043</t>
  </si>
  <si>
    <t>VTi.903.I.005454</t>
  </si>
  <si>
    <t>Муфта нерж. сталь 54х54</t>
  </si>
  <si>
    <t>678.00 руб.</t>
  </si>
  <si>
    <t>VLC-1412044</t>
  </si>
  <si>
    <t>VTi.904.I.001515</t>
  </si>
  <si>
    <t>Муфта надвижная нерж. сталь 15х15 (5 /160шт)</t>
  </si>
  <si>
    <t>238.00 руб.</t>
  </si>
  <si>
    <t>VLC-1412045</t>
  </si>
  <si>
    <t>VTi.904.I.001818</t>
  </si>
  <si>
    <t>Муфта надвижная нерж. сталь 18х18     (5 /110шт)</t>
  </si>
  <si>
    <t>294.00 руб.</t>
  </si>
  <si>
    <t>VLC-1412046</t>
  </si>
  <si>
    <t>VTi.904.I.002222</t>
  </si>
  <si>
    <t>Муфта надвижная нерж. сталь 22х22    (5 /70шт)</t>
  </si>
  <si>
    <t>332.00 руб.</t>
  </si>
  <si>
    <t>VLC-1412047</t>
  </si>
  <si>
    <t>VTi.904.I.002828</t>
  </si>
  <si>
    <t>Муфта надвижная нерж. сталь 28х28  (5 /40шт)</t>
  </si>
  <si>
    <t>506.00 руб.</t>
  </si>
  <si>
    <t>VLC-1412048</t>
  </si>
  <si>
    <t>VTi.904.I.003535</t>
  </si>
  <si>
    <t>Муфта надвижная нерж. сталь 35х35   (5 /30шт)</t>
  </si>
  <si>
    <t>534.00 руб.</t>
  </si>
  <si>
    <t>VLC-1412049</t>
  </si>
  <si>
    <t>VTi.904.I.004242</t>
  </si>
  <si>
    <t>Муфта надвижная нерж. сталь 42х42</t>
  </si>
  <si>
    <t>613.00 руб.</t>
  </si>
  <si>
    <t>VLC-1412050</t>
  </si>
  <si>
    <t>VTi.904.I.005454</t>
  </si>
  <si>
    <t>Муфта надвижная нерж. сталь 54х54</t>
  </si>
  <si>
    <t>943.00 руб.</t>
  </si>
  <si>
    <t>VLC-1412051</t>
  </si>
  <si>
    <t>VTi.905.I.001815</t>
  </si>
  <si>
    <t>Вставка переходная нерж. сталь 18х15   (5 /200шт)</t>
  </si>
  <si>
    <t>255.00 руб.</t>
  </si>
  <si>
    <t>VLC-1412052</t>
  </si>
  <si>
    <t>VTi.905.I.002215</t>
  </si>
  <si>
    <t>Вставка переходная нерж. сталь 22х15  (5 /160шт)</t>
  </si>
  <si>
    <t>256.00 руб.</t>
  </si>
  <si>
    <t>VLC-1412053</t>
  </si>
  <si>
    <t>VTi.905.I.002218</t>
  </si>
  <si>
    <t>Вставка переходная нерж. сталь 22х18     (5 /150шт)</t>
  </si>
  <si>
    <t>273.00 руб.</t>
  </si>
  <si>
    <t>VLC-1412054</t>
  </si>
  <si>
    <t>VTi.905.I.002815</t>
  </si>
  <si>
    <t>Вставка переходная нерж. сталь 28х15  (5 /120шт)</t>
  </si>
  <si>
    <t>340.00 руб.</t>
  </si>
  <si>
    <t>VLC-1412055</t>
  </si>
  <si>
    <t>VTi.905.I.002818</t>
  </si>
  <si>
    <t>Вставка переходная нерж. сталь 28х18   (5 /100шт)</t>
  </si>
  <si>
    <t>374.00 руб.</t>
  </si>
  <si>
    <t>VLC-1412056</t>
  </si>
  <si>
    <t>VTi.905.I.002822</t>
  </si>
  <si>
    <t>Вставка переходная нерж. сталь 28х22   (5шт)</t>
  </si>
  <si>
    <t>378.00 руб.</t>
  </si>
  <si>
    <t>VLC-1412057</t>
  </si>
  <si>
    <t>VTi.905.I.003515</t>
  </si>
  <si>
    <t>Вставка переходная нерж. сталь 35х15   (5шт)</t>
  </si>
  <si>
    <t>438.00 руб.</t>
  </si>
  <si>
    <t>VLC-1412058</t>
  </si>
  <si>
    <t>VTi.905.I.003518</t>
  </si>
  <si>
    <t>Вставка переходная нерж. сталь 35х18   (5шт)</t>
  </si>
  <si>
    <t>362.00 руб.</t>
  </si>
  <si>
    <t>VLC-1412059</t>
  </si>
  <si>
    <t>VTi.905.I.003522</t>
  </si>
  <si>
    <t>Вставка переходная нерж. сталь 35х22   (5шт)</t>
  </si>
  <si>
    <t>VLC-1412060</t>
  </si>
  <si>
    <t>VTi.905.I.003528</t>
  </si>
  <si>
    <t>Вставка переходная нерж. сталь 35х28  (5 /55шт)</t>
  </si>
  <si>
    <t>452.00 руб.</t>
  </si>
  <si>
    <t>VLC-1412061</t>
  </si>
  <si>
    <t>VTi.905.I.004222</t>
  </si>
  <si>
    <t>Вставка переходная нерж. сталь 42х22    (1 /42шт)</t>
  </si>
  <si>
    <t>666.00 руб.</t>
  </si>
  <si>
    <t>VLC-1412062</t>
  </si>
  <si>
    <t>VTi.905.I.004228</t>
  </si>
  <si>
    <t>Вставка переходная нерж. сталь 42х28</t>
  </si>
  <si>
    <t>681.00 руб.</t>
  </si>
  <si>
    <t>VLC-1412063</t>
  </si>
  <si>
    <t>VTi.905.I.004235</t>
  </si>
  <si>
    <t>Вставка переходная нерж. сталь 42х35   (1 /32шт)</t>
  </si>
  <si>
    <t>583.00 руб.</t>
  </si>
  <si>
    <t>VLC-1412064</t>
  </si>
  <si>
    <t>VTi.905.I.005428</t>
  </si>
  <si>
    <t>Вставка переходная нерж. сталь 54х28</t>
  </si>
  <si>
    <t>VLC-1412065</t>
  </si>
  <si>
    <t>VTi.905.I.005435</t>
  </si>
  <si>
    <t>Вставка переходная нерж. сталь 54х35    (1 /30шт)</t>
  </si>
  <si>
    <t>777.00 руб.</t>
  </si>
  <si>
    <t>VLC-1412066</t>
  </si>
  <si>
    <t>VTi.905.I.005442</t>
  </si>
  <si>
    <t>Вставка переходная нерж. сталь 54х42    (1 /20шт)</t>
  </si>
  <si>
    <t>795.00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</si>
  <si>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</si>
  <si>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</si>
  <si>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</si>
  <si>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</si>
  <si>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</si>
  <si>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</si>
  <si>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</si>
  <si>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388.00 руб.</t>
  </si>
  <si>
    <t>VLC-1412069</t>
  </si>
  <si>
    <t>VTi.908.I.001505</t>
  </si>
  <si>
    <t>Соединитель с накидной гайкой нерж. сталь 15х3/4"     (5 /150шт)</t>
  </si>
  <si>
    <t>530.00 руб.</t>
  </si>
  <si>
    <t>VLC-1412070</t>
  </si>
  <si>
    <t>VTi.908.I.001804</t>
  </si>
  <si>
    <t>Соединитель с накидной гайкой нерж. сталь 18х1/2"     (5 /140шт)</t>
  </si>
  <si>
    <t>488.00 руб.</t>
  </si>
  <si>
    <t>VLC-1412071</t>
  </si>
  <si>
    <t>VTi.908.I.001805</t>
  </si>
  <si>
    <t>Соединитель с накидной гайкой нерж. сталь 18х3/4"     (5 /150шт)</t>
  </si>
  <si>
    <t>584.00 руб.</t>
  </si>
  <si>
    <t>VLC-1412072</t>
  </si>
  <si>
    <t>VTi.908.I.002204</t>
  </si>
  <si>
    <t>Соединитель с накидной гайкой нерж. сталь 22х1/2"     (5 /110шт)</t>
  </si>
  <si>
    <t>503.00 руб.</t>
  </si>
  <si>
    <t>VLC-1412073</t>
  </si>
  <si>
    <t>VTi.908.I.002205</t>
  </si>
  <si>
    <t>Соединитель с накидной гайкой нерж. сталь 22х3/4"    (5 /110шт)</t>
  </si>
  <si>
    <t>575.00 руб.</t>
  </si>
  <si>
    <t>VLC-1412074</t>
  </si>
  <si>
    <t>VTi.908.I.002805</t>
  </si>
  <si>
    <t>Соединитель с накидной гайкой нерж. сталь 28х3/4"  (5 /70шт)</t>
  </si>
  <si>
    <t>651.00 руб.</t>
  </si>
  <si>
    <t>VLC-1412075</t>
  </si>
  <si>
    <t>VTi.908.I.002806</t>
  </si>
  <si>
    <t>Соединитель с накидной гайкой нерж. сталь 28х1"  (5 /80шт)</t>
  </si>
  <si>
    <t>787.00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</si>
  <si>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</si>
  <si>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</si>
  <si>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</si>
  <si>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</si>
  <si>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</si>
  <si>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</si>
  <si>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</si>
  <si>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985.00 руб.</t>
  </si>
  <si>
    <t>VLC-1412078</t>
  </si>
  <si>
    <t>VTi.908.I.004208</t>
  </si>
  <si>
    <t>Соединитель с накидной гайкой нерж. сталь 42х1 1/2"    (1 /35шт)</t>
  </si>
  <si>
    <t>1 690.00 руб.</t>
  </si>
  <si>
    <t>VLC-1412079</t>
  </si>
  <si>
    <t>VTi.908.I.005409</t>
  </si>
  <si>
    <t>Соединитель с накидной гайкой нерж. сталь 54х2"    (1 /20шт)</t>
  </si>
  <si>
    <t>2 067.00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</si>
  <si>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</si>
  <si>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</si>
  <si>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</si>
  <si>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</si>
  <si>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</si>
  <si>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</si>
  <si>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304.00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</si>
  <si>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</si>
  <si>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</si>
  <si>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</si>
  <si>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</si>
  <si>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</si>
  <si>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</si>
  <si>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406.00 руб.</t>
  </si>
  <si>
    <t>VLC-1412084</t>
  </si>
  <si>
    <t>VTi.931.I.222222</t>
  </si>
  <si>
    <t>Тройник нерж. сталь 22  (5 /40шт)</t>
  </si>
  <si>
    <t>469.00 руб.</t>
  </si>
  <si>
    <t>VLC-1412085</t>
  </si>
  <si>
    <t>VTi.931.I.221522</t>
  </si>
  <si>
    <t>Тройник нерж. сталь 22х15х22 (5 /40шт)</t>
  </si>
  <si>
    <t>428.00 руб.</t>
  </si>
  <si>
    <t>VLC-1412086</t>
  </si>
  <si>
    <t>VTi.931.I.221822</t>
  </si>
  <si>
    <t>Тройник нерж. сталь 22х18х22  (5 /40шт)</t>
  </si>
  <si>
    <t>VLC-1412087</t>
  </si>
  <si>
    <t>VTi.931.I.282828</t>
  </si>
  <si>
    <t>Тройник нерж. сталь 28   (5 /30шт)</t>
  </si>
  <si>
    <t>624.00 руб.</t>
  </si>
  <si>
    <t>VLC-1412088</t>
  </si>
  <si>
    <t>VTi.931.I.281528</t>
  </si>
  <si>
    <t>Тройник нерж. сталь 28x15x28   (5 /30шт)</t>
  </si>
  <si>
    <t>557.00 руб.</t>
  </si>
  <si>
    <t>VLC-1412089</t>
  </si>
  <si>
    <t>VTi.931.I.282228</t>
  </si>
  <si>
    <t>Тройник нерж. сталь 28x22x28   (5 /30шт)</t>
  </si>
  <si>
    <t>544.00 руб.</t>
  </si>
  <si>
    <t>VLC-1412090</t>
  </si>
  <si>
    <t>VTi.931.I.353535</t>
  </si>
  <si>
    <t>Тройник нерж. сталь 35   (5 /15шт)</t>
  </si>
  <si>
    <t>811.00 руб.</t>
  </si>
  <si>
    <t>VLC-1412091</t>
  </si>
  <si>
    <t>VTi.931.I.351535</t>
  </si>
  <si>
    <t>Тройник нерж. сталь 35х15х35   (5 /20шт)</t>
  </si>
  <si>
    <t>668.00 руб.</t>
  </si>
  <si>
    <t>VLC-1412092</t>
  </si>
  <si>
    <t>VTi.931.I.352235</t>
  </si>
  <si>
    <t>Тройник нерж. сталь 35х22х35   (5 /20шт)</t>
  </si>
  <si>
    <t>718.00 руб.</t>
  </si>
  <si>
    <t>VLC-1412093</t>
  </si>
  <si>
    <t>VTi.931.I.352835</t>
  </si>
  <si>
    <t>Тройник нерж. сталь 35х28х35  (5 /15шт)</t>
  </si>
  <si>
    <t>VLC-1412094</t>
  </si>
  <si>
    <t>VTi.931.I.424242</t>
  </si>
  <si>
    <t>Тройник нерж. сталь 42</t>
  </si>
  <si>
    <t>1 117.00 руб.</t>
  </si>
  <si>
    <t>VLC-1412095</t>
  </si>
  <si>
    <t>VTi.931.I.423542</t>
  </si>
  <si>
    <t>Тройник нерж. сталь 42х35х42</t>
  </si>
  <si>
    <t>1 054.00 руб.</t>
  </si>
  <si>
    <t>VLC-1412096</t>
  </si>
  <si>
    <t>VTi.931.I.545454</t>
  </si>
  <si>
    <t>Тройник нерж. сталь 54</t>
  </si>
  <si>
    <t>1 476.00 руб.</t>
  </si>
  <si>
    <t>VLC-1412097</t>
  </si>
  <si>
    <t>VTi.931.I.544254</t>
  </si>
  <si>
    <t>Тройник нерж. сталь 54х42х54</t>
  </si>
  <si>
    <t>1 325.00 руб.</t>
  </si>
  <si>
    <t>VLC-1412098</t>
  </si>
  <si>
    <t>VTi.932.I.150415</t>
  </si>
  <si>
    <t>Тройник с вн.р. нерж. сталь 15х1/2"  (5 /80шт)</t>
  </si>
  <si>
    <t>484.00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</si>
  <si>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</si>
  <si>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</si>
  <si>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</si>
  <si>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</si>
  <si>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</si>
  <si>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</si>
  <si>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743.00 руб.</t>
  </si>
  <si>
    <t>VLC-1412101</t>
  </si>
  <si>
    <t>VTi.932.I.220422</t>
  </si>
  <si>
    <t>Тройник с вн.р. нерж. сталь 22х1/2"  (5 /50шт)</t>
  </si>
  <si>
    <t>604.00 руб.</t>
  </si>
  <si>
    <t>VLC-1412102</t>
  </si>
  <si>
    <t>VTi.932.I.220522</t>
  </si>
  <si>
    <t>Тройник с вн.р. нерж. сталь 22х3/4"  (5 /40шт)</t>
  </si>
  <si>
    <t>746.00 руб.</t>
  </si>
  <si>
    <t>VLC-1412103</t>
  </si>
  <si>
    <t>VTi.932.I.280428</t>
  </si>
  <si>
    <t>Тройник с вн.р. нерж. сталь 28х1/2"   (5 /30шт)</t>
  </si>
  <si>
    <t>722.00 руб.</t>
  </si>
  <si>
    <t>VLC-1412104</t>
  </si>
  <si>
    <t>VTi.932.I.280528</t>
  </si>
  <si>
    <t>Тройник с вн.р. нерж. сталь 28х3/4"  (5 /30шт)</t>
  </si>
  <si>
    <t>791.00 руб.</t>
  </si>
  <si>
    <t>VLC-1412105</t>
  </si>
  <si>
    <t>VTi.932.I.280628</t>
  </si>
  <si>
    <t>Тройник с вн.р. нерж. сталь 28х1"   (5 /30шт)</t>
  </si>
  <si>
    <t>1 042.00 руб.</t>
  </si>
  <si>
    <t>VLC-1412106</t>
  </si>
  <si>
    <t>VTi.932.I.350635</t>
  </si>
  <si>
    <t>Тройник с вн.р. нерж. сталь 35х1"    (5 /15шт)</t>
  </si>
  <si>
    <t>1 144.00 руб.</t>
  </si>
  <si>
    <t>VLC-1412107</t>
  </si>
  <si>
    <t>VTi.932.I.350735</t>
  </si>
  <si>
    <t>Тройник с вн.р. нерж. сталь 35х1 1/4"    (5 /15шт)</t>
  </si>
  <si>
    <t>1 364.00 руб.</t>
  </si>
  <si>
    <t>VLC-1412108</t>
  </si>
  <si>
    <t>VTi.933.I.150415</t>
  </si>
  <si>
    <t>Тройник с нар.р. нерж. сталь 15х1/2"  (5 /80шт)</t>
  </si>
  <si>
    <t>472.00 руб.</t>
  </si>
  <si>
    <t>VLC-1412109</t>
  </si>
  <si>
    <t>VTi.933.I.180418</t>
  </si>
  <si>
    <t>Тройник с нар.р. нерж. сталь 18х1/2"   (5 /70шт)</t>
  </si>
  <si>
    <t>VLC-1412110</t>
  </si>
  <si>
    <t>VTi.933.I.180518</t>
  </si>
  <si>
    <t>Тройник с нар.р. нерж. сталь 18х3/4"  (5 /60шт)</t>
  </si>
  <si>
    <t>689.00 руб.</t>
  </si>
  <si>
    <t>VLC-1412111</t>
  </si>
  <si>
    <t>VTi.933.I.220422</t>
  </si>
  <si>
    <t>Тройник с нар.р. нерж. сталь 22х1/2"  (5 /40шт)</t>
  </si>
  <si>
    <t>650.00 руб.</t>
  </si>
  <si>
    <t>VLC-1412112</t>
  </si>
  <si>
    <t>VTi.933.I.220522</t>
  </si>
  <si>
    <t>Тройник с нар.р. нерж. сталь 22х3/4"  (5 /40шт)</t>
  </si>
  <si>
    <t>631.00 руб.</t>
  </si>
  <si>
    <t>VLC-1412113</t>
  </si>
  <si>
    <t>VTi.933.I.280428</t>
  </si>
  <si>
    <t>Тройник с нар.р. нерж. сталь 28х1/2"   (5 /30шт)</t>
  </si>
  <si>
    <t>693.00 руб.</t>
  </si>
  <si>
    <t>VLC-1412114</t>
  </si>
  <si>
    <t>VTi.933.I.280528</t>
  </si>
  <si>
    <t>Тройник с нар.р. нерж. сталь 28х3/4"  (5 /30шт)</t>
  </si>
  <si>
    <t>761.00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</si>
  <si>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</si>
  <si>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</si>
  <si>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</si>
  <si>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</si>
  <si>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</si>
  <si>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</si>
  <si>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1 115.00 руб.</t>
  </si>
  <si>
    <t>VLC-1412117</t>
  </si>
  <si>
    <t>VTi.933.I.350735</t>
  </si>
  <si>
    <t>Тройник с нар.р. нерж. сталь 35х1 1/4"    (5 /15шт)</t>
  </si>
  <si>
    <t>1 532.00 руб.</t>
  </si>
  <si>
    <t>VLC-1412118</t>
  </si>
  <si>
    <t>VTi.950.I.001515</t>
  </si>
  <si>
    <t>Угольник 90° вн.-нар. нерж. сталь 15а х15    (5 /150шт)</t>
  </si>
  <si>
    <t>192.00 руб.</t>
  </si>
  <si>
    <t>VLC-1412119</t>
  </si>
  <si>
    <t>VTi.950.I.001818</t>
  </si>
  <si>
    <t>Угольник 90° вн.-нар. нерж. сталь 18а х18   (5 /100шт)</t>
  </si>
  <si>
    <t>323.00 руб.</t>
  </si>
  <si>
    <t>VLC-1412120</t>
  </si>
  <si>
    <t>VTi.950.I.002222</t>
  </si>
  <si>
    <t>Угольник 90° вн.-нар. нерж. сталь 22а х22  (5 /60шт)</t>
  </si>
  <si>
    <t>334.00 руб.</t>
  </si>
  <si>
    <t>VLC-1412121</t>
  </si>
  <si>
    <t>VTi.950.I.002828</t>
  </si>
  <si>
    <t>Угольник 90° вн.-нар. нерж. сталь 28а х28   (5 /30шт)</t>
  </si>
  <si>
    <t>481.00 руб.</t>
  </si>
  <si>
    <t>VLC-1412122</t>
  </si>
  <si>
    <t>VTi.950.I.003535</t>
  </si>
  <si>
    <t>Угольник 90° вн.-нар. нерж. сталь 35а х35    (5 /15шт)</t>
  </si>
  <si>
    <t>655.00 руб.</t>
  </si>
  <si>
    <t>VLC-1412123</t>
  </si>
  <si>
    <t>VTi.950.I.004242</t>
  </si>
  <si>
    <t>Угольник 90° вн.-нар. нерж. сталь 42а х42</t>
  </si>
  <si>
    <t>1 008.00 руб.</t>
  </si>
  <si>
    <t>VLC-1412124</t>
  </si>
  <si>
    <t>VTi.950.I.005454</t>
  </si>
  <si>
    <t>Угольник 90° вн.-нар. нерж. сталь 54а х54</t>
  </si>
  <si>
    <t>1 198.00 руб.</t>
  </si>
  <si>
    <t>VLC-1412125</t>
  </si>
  <si>
    <t>VTi.951.I.001212</t>
  </si>
  <si>
    <t>Угольник 90° вн.-вн. нерж. сталь 12  (5 /170шт)</t>
  </si>
  <si>
    <t>VLC-1412126</t>
  </si>
  <si>
    <t>VTi.951.I.001515</t>
  </si>
  <si>
    <t>Угольник 90° вн.-вн. нерж. сталь 15   (5 /130шт)</t>
  </si>
  <si>
    <t>207.00 руб.</t>
  </si>
  <si>
    <t>VLC-1412127</t>
  </si>
  <si>
    <t>VTi.951.I.001818</t>
  </si>
  <si>
    <t>Угольник 90° вн.-вн. нерж. сталь 18  (5 /80шт)</t>
  </si>
  <si>
    <t>313.00 руб.</t>
  </si>
  <si>
    <t>VLC-1412128</t>
  </si>
  <si>
    <t>VTi.951.I.002222</t>
  </si>
  <si>
    <t>Угольник 90° вн.-вн. нерж. сталь 22  (5 /40шт)</t>
  </si>
  <si>
    <t>361.00 руб.</t>
  </si>
  <si>
    <t>VLC-1412129</t>
  </si>
  <si>
    <t>VTi.951.I.002828</t>
  </si>
  <si>
    <t>Угольник 90° вн.-вн. нерж. сталь 28   (5 /30шт)</t>
  </si>
  <si>
    <t>496.00 руб.</t>
  </si>
  <si>
    <t>VLC-1412130</t>
  </si>
  <si>
    <t>VTi.951.I.003535</t>
  </si>
  <si>
    <t>Угольник 90° вн.-вн. нерж. сталь 35  (5 /15шт)</t>
  </si>
  <si>
    <t>711.00 руб.</t>
  </si>
  <si>
    <t>VLC-1412131</t>
  </si>
  <si>
    <t>VTi.951.I.004242</t>
  </si>
  <si>
    <t>Угольник 90° вн.-вн. нерж. сталь 42</t>
  </si>
  <si>
    <t>926.00 руб.</t>
  </si>
  <si>
    <t>VLC-1412132</t>
  </si>
  <si>
    <t>VTi.951.I.005454</t>
  </si>
  <si>
    <t>Угольник 90° вн.-вн. нерж. сталь 54</t>
  </si>
  <si>
    <t>1 374.00 руб.</t>
  </si>
  <si>
    <t>VLC-1412133</t>
  </si>
  <si>
    <t>VTi.952.I.001504</t>
  </si>
  <si>
    <t>Угольник 90° с вн.р. нерж. сталь 15х1/2"   (5 /130шт)</t>
  </si>
  <si>
    <t>426.00 руб.</t>
  </si>
  <si>
    <t>VLC-1412134</t>
  </si>
  <si>
    <t>VTi.952.I.001804</t>
  </si>
  <si>
    <t>Угольник 90° с вн.р. нерж. сталь 18х1/2"   (5шт)</t>
  </si>
  <si>
    <t>518.00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</si>
  <si>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</si>
  <si>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</si>
  <si>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</si>
  <si>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</si>
  <si>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</si>
  <si>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</si>
  <si>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</si>
  <si>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511.00 руб.</t>
  </si>
  <si>
    <t>VLC-1412137</t>
  </si>
  <si>
    <t>VTi.952.I.002205</t>
  </si>
  <si>
    <t>Угольник 90° с вн.р. нерж. сталь 22х3/4"  (5 /70шт)</t>
  </si>
  <si>
    <t>634.00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</si>
  <si>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</si>
  <si>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</si>
  <si>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</si>
  <si>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</si>
  <si>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</si>
  <si>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</si>
  <si>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</si>
  <si>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1 015.00 руб.</t>
  </si>
  <si>
    <t>VLC-1412140</t>
  </si>
  <si>
    <t>VTi.953.I.001804</t>
  </si>
  <si>
    <t>Угольник 90° с нар.р. нерж. сталь 18х1/2"   (5шт)</t>
  </si>
  <si>
    <t>515.00 руб.</t>
  </si>
  <si>
    <t>VLC-1412141</t>
  </si>
  <si>
    <t>VTi.953.I.001805</t>
  </si>
  <si>
    <t>Угольник 90° с нар.р. нерж. сталь 18х3/4"   (5шт)</t>
  </si>
  <si>
    <t>670.00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</si>
  <si>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</si>
  <si>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</si>
  <si>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</si>
  <si>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</si>
  <si>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</si>
  <si>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</si>
  <si>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</si>
  <si>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552.00 руб.</t>
  </si>
  <si>
    <t>VLC-1412144</t>
  </si>
  <si>
    <t>VTi.953.I.002205</t>
  </si>
  <si>
    <t>Угольник 90° с нар.р. нерж. сталь 22х3/4"  (5 /80шт)</t>
  </si>
  <si>
    <t>708.00 руб.</t>
  </si>
  <si>
    <t>VLC-1412145</t>
  </si>
  <si>
    <t>VTi.953.I.002805</t>
  </si>
  <si>
    <t>Угольник 90° с нар.р. нерж. сталь 28х3/4"  (5 /60шт)</t>
  </si>
  <si>
    <t>871.00 руб.</t>
  </si>
  <si>
    <t>VLC-1412146</t>
  </si>
  <si>
    <t>VTi.953.I.003506</t>
  </si>
  <si>
    <t>Угольник 90° с нар.р. нерж. сталь 35х1"   (5 /30шт)</t>
  </si>
  <si>
    <t>1 086.00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</si>
  <si>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</si>
  <si>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</si>
  <si>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</si>
  <si>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</si>
  <si>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</si>
  <si>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</si>
  <si>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695.00 руб.</t>
  </si>
  <si>
    <t>VLC-1412149</t>
  </si>
  <si>
    <t>VTi.954.I.001804</t>
  </si>
  <si>
    <t>Водорозетка нерж. сталь 18х1/2"   (5шт)</t>
  </si>
  <si>
    <t>765.00 руб.</t>
  </si>
  <si>
    <t>VLC-1412150</t>
  </si>
  <si>
    <t>VTi.954.I.002204</t>
  </si>
  <si>
    <t>Водорозетка нерж. сталь 22х1/2"  (5 /50шт)</t>
  </si>
  <si>
    <t>842.00 руб.</t>
  </si>
  <si>
    <t>VLC-1412151</t>
  </si>
  <si>
    <t>VTi.954.I.002205</t>
  </si>
  <si>
    <t>Водорозетка нерж. сталь 22х3/4"  (5 /40шт)</t>
  </si>
  <si>
    <t>901.00 руб.</t>
  </si>
  <si>
    <t>VLC-1412152</t>
  </si>
  <si>
    <t>VTi.955.I.151515</t>
  </si>
  <si>
    <t>Отвод безраструбный 15° нар.-нар. нерж. сталь 15ах15а    (5 /100шт)</t>
  </si>
  <si>
    <t>VLC-1412153</t>
  </si>
  <si>
    <t>VTi.955.I.151818</t>
  </si>
  <si>
    <t>Отвод безраструбный 15° нар.-нар. нерж. сталь 18ах18а  (5 /70шт)</t>
  </si>
  <si>
    <t>602.00 руб.</t>
  </si>
  <si>
    <t>VLC-1412154</t>
  </si>
  <si>
    <t>VTi.955.I.152222</t>
  </si>
  <si>
    <t>Отвод безраструбный 15° нар.-нар. нерж. сталь 22ах22а   (5 /50шт)</t>
  </si>
  <si>
    <t>852.00 руб.</t>
  </si>
  <si>
    <t>VLC-1412155</t>
  </si>
  <si>
    <t>VTi.955.I.301515</t>
  </si>
  <si>
    <t>Отвод безраструбный 30° нар.-нар. нерж. сталь 15ах15а   (5 /90шт)</t>
  </si>
  <si>
    <t>475.00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</si>
  <si>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</si>
  <si>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</si>
  <si>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</si>
  <si>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</si>
  <si>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</si>
  <si>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</si>
  <si>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789.00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</si>
  <si>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</si>
  <si>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</si>
  <si>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</si>
  <si>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</si>
  <si>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</si>
  <si>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</si>
  <si>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606.00 руб.</t>
  </si>
  <si>
    <t>VLC-1412160</t>
  </si>
  <si>
    <t>VTi.955.I.452222</t>
  </si>
  <si>
    <t>Отвод безраструбный 45° нар.-нар. нерж. сталь 22ах22а   (5 /40шт)</t>
  </si>
  <si>
    <t>803.00 руб.</t>
  </si>
  <si>
    <t>VLC-1412161</t>
  </si>
  <si>
    <t>VTi.958.I.001515</t>
  </si>
  <si>
    <t>Угольник 45° вн.-нар. нерж. сталь 15а х15  (5 /180шт)</t>
  </si>
  <si>
    <t>164.00 руб.</t>
  </si>
  <si>
    <t>VLC-1412162</t>
  </si>
  <si>
    <t>VTi.958.I.001818</t>
  </si>
  <si>
    <t>Угольник 45° вн.-нар. нерж. сталь 18а х18  (5 /120шт)</t>
  </si>
  <si>
    <t>280.00 руб.</t>
  </si>
  <si>
    <t>VLC-1412163</t>
  </si>
  <si>
    <t>VTi.958.I.002222</t>
  </si>
  <si>
    <t>Угольник 45° вн.-нар. нерж. сталь 22а х22  (5 /80шт)</t>
  </si>
  <si>
    <t>271.00 руб.</t>
  </si>
  <si>
    <t>VLC-1412164</t>
  </si>
  <si>
    <t>VTi.958.I.002828</t>
  </si>
  <si>
    <t>Угольник 45° вн.-нар. нерж. сталь 28а х28   (5 /40шт)</t>
  </si>
  <si>
    <t>383.00 руб.</t>
  </si>
  <si>
    <t>VLC-1412165</t>
  </si>
  <si>
    <t>VTi.958.I.003535</t>
  </si>
  <si>
    <t>Угольник 45° вн.-нар. нерж. сталь 35а х35   (5 /30шт)</t>
  </si>
  <si>
    <t>521.00 руб.</t>
  </si>
  <si>
    <t>VLC-1412166</t>
  </si>
  <si>
    <t>VTi.958.I.004242</t>
  </si>
  <si>
    <t>Угольник 45° вн.-нар. нерж. сталь 42а х42</t>
  </si>
  <si>
    <t>741.00 руб.</t>
  </si>
  <si>
    <t>VLC-1412167</t>
  </si>
  <si>
    <t>VTi.958.I.005454</t>
  </si>
  <si>
    <t>Угольник 45° вн.-нар. нерж. сталь 54а х54</t>
  </si>
  <si>
    <t>1 195.00 руб.</t>
  </si>
  <si>
    <t>VLC-1412168</t>
  </si>
  <si>
    <t>VTi.959.I.001212</t>
  </si>
  <si>
    <t>Угольник 45° вн.-вн. нерж. сталь 12   (5 /220шт)</t>
  </si>
  <si>
    <t>VLC-1412169</t>
  </si>
  <si>
    <t>VTi.959.I.001515</t>
  </si>
  <si>
    <t>Угольник 45° вн.-вн. нерж. сталь 15  (5 /160шт)</t>
  </si>
  <si>
    <t>185.00 руб.</t>
  </si>
  <si>
    <t>VLC-1412170</t>
  </si>
  <si>
    <t>VTi.959.I.001818</t>
  </si>
  <si>
    <t>Угольник 45° вн.-вн. нерж. сталь 18 (5 /115шт)</t>
  </si>
  <si>
    <t>279.00 руб.</t>
  </si>
  <si>
    <t>VLC-1412171</t>
  </si>
  <si>
    <t>VTi.959.I.002222</t>
  </si>
  <si>
    <t>Угольник 45° вн.-вн. нерж. сталь 22  (5 /60шт)</t>
  </si>
  <si>
    <t>298.00 руб.</t>
  </si>
  <si>
    <t>VLC-1412172</t>
  </si>
  <si>
    <t>VTi.959.I.002828</t>
  </si>
  <si>
    <t>Угольник 45° вн.-вн. нерж. сталь 28  (5 /40шт)</t>
  </si>
  <si>
    <t>398.00 руб.</t>
  </si>
  <si>
    <t>VLC-1412173</t>
  </si>
  <si>
    <t>VTi.959.I.003535</t>
  </si>
  <si>
    <t>Угольник 45° вн.-вн. нерж. сталь 35 (5 /25шт)</t>
  </si>
  <si>
    <t>VLC-1412174</t>
  </si>
  <si>
    <t>VTi.959.I.004242</t>
  </si>
  <si>
    <t>Угольник 45° вн.-вн. нерж. сталь 42</t>
  </si>
  <si>
    <t>788.00 руб.</t>
  </si>
  <si>
    <t>VLC-1412175</t>
  </si>
  <si>
    <t>VTi.959.I.005454</t>
  </si>
  <si>
    <t>Угольник 45° вн.-вн. нерж. сталь 54</t>
  </si>
  <si>
    <t>1 134.00 руб.</t>
  </si>
  <si>
    <t>VLC-1412176</t>
  </si>
  <si>
    <t>VTi.960.I.150760</t>
  </si>
  <si>
    <t>Отвод 90 гр. из нержавеющей стали  диаметр 15,  L= 70х160мм  (5 /80шт)</t>
  </si>
  <si>
    <t>322.00 руб.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</si>
  <si>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</si>
  <si>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</si>
  <si>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</si>
  <si>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</si>
  <si>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</si>
  <si>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</si>
  <si>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267.00 руб.</t>
  </si>
  <si>
    <t>VLC-1412179</t>
  </si>
  <si>
    <t>VTi.970.I.001818</t>
  </si>
  <si>
    <t>Обвод вн.-нар. нерж. сталь 18а х18  (5 /55шт)</t>
  </si>
  <si>
    <t>VLC-1412180</t>
  </si>
  <si>
    <t>VTi.970.I.002222</t>
  </si>
  <si>
    <t>Обвод вн.-нар. нерж. сталь 22ах22   (5 /30шт)</t>
  </si>
  <si>
    <t>VLC-1412181</t>
  </si>
  <si>
    <t>VTi.971.I.001212</t>
  </si>
  <si>
    <t>Обвод вн.-вн. нерж. сталь 12х12  (5 /140шт)</t>
  </si>
  <si>
    <t>235.00 руб.</t>
  </si>
  <si>
    <t>VLC-1412182</t>
  </si>
  <si>
    <t>VTi.971.I.001515</t>
  </si>
  <si>
    <t>Обвод вн.-вн. нерж. сталь 15х15  (5 /90шт)</t>
  </si>
  <si>
    <t>300.00 руб.</t>
  </si>
  <si>
    <t>VLC-1412183</t>
  </si>
  <si>
    <t>VTi.971.I.001818</t>
  </si>
  <si>
    <t>Обвод вн.-вн. нерж. сталь 18   (5 /60шт)</t>
  </si>
  <si>
    <t>477.00 руб.</t>
  </si>
  <si>
    <t>VLC-1412184</t>
  </si>
  <si>
    <t>VTi.971.I.002222</t>
  </si>
  <si>
    <t>Обвод вн.-вн. нерж. сталь 22х22  (5 /30шт)</t>
  </si>
  <si>
    <t>535.00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</si>
  <si>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</si>
  <si>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</si>
  <si>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</si>
  <si>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</si>
  <si>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</si>
  <si>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</si>
  <si>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</si>
  <si>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11.00 руб.</t>
  </si>
  <si>
    <t>VLC-1412187</t>
  </si>
  <si>
    <t>VTi.990.I.000022</t>
  </si>
  <si>
    <t>Уплотнительное кольцо 22 FPM (Viton)  (10 /1000шт)</t>
  </si>
  <si>
    <t>22.00 руб.</t>
  </si>
  <si>
    <t>VLC-1412188</t>
  </si>
  <si>
    <t>VTi.990.I.000028</t>
  </si>
  <si>
    <t>Уплотнительное кольцо 28 FPM (Viton)  (10 /1000шт)</t>
  </si>
  <si>
    <t>28.00 руб.</t>
  </si>
  <si>
    <t>VLC-1412189</t>
  </si>
  <si>
    <t>VTi.990.I.000035</t>
  </si>
  <si>
    <t>Уплотнительное кольцо 35 FPM (Viton)  (10 /500шт)</t>
  </si>
  <si>
    <t>37.00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</si>
  <si>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</si>
  <si>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</si>
  <si>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</si>
  <si>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</si>
  <si>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</si>
  <si>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</si>
  <si>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382.00 руб.</t>
  </si>
  <si>
    <t>VLC-1412202</t>
  </si>
  <si>
    <t>VTi.906.I.001805</t>
  </si>
  <si>
    <t>Вставка резьбовая нерж. сталь с нар.р. 18х3/4"</t>
  </si>
  <si>
    <t>405.00 руб.</t>
  </si>
  <si>
    <t>VLC-1412203</t>
  </si>
  <si>
    <t>VTi.906.I.002204</t>
  </si>
  <si>
    <t>Вставка резьбовая нерж. сталь с нар.р. 22х1/2"</t>
  </si>
  <si>
    <t>394.00 руб.</t>
  </si>
  <si>
    <t>VLC-1412204</t>
  </si>
  <si>
    <t>VTi.906.I.002205</t>
  </si>
  <si>
    <t>Вставка резьбовая нерж. сталь с нар.р. 22х3/4"</t>
  </si>
  <si>
    <t>485.00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</si>
  <si>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</si>
  <si>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</si>
  <si>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</si>
  <si>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</si>
  <si>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</si>
  <si>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</si>
  <si>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VLC-1412207</t>
  </si>
  <si>
    <t>VTi.906.I.003507</t>
  </si>
  <si>
    <t>Вставка резьбовая нерж. сталь с нар.р. 35х1 1/4"</t>
  </si>
  <si>
    <t>979.00 руб.</t>
  </si>
  <si>
    <t>VLC-1412208</t>
  </si>
  <si>
    <t>VTi.906.I.004208</t>
  </si>
  <si>
    <t>Вставка резьбовая нерж. сталь с нар.р. 42х1 1/2"</t>
  </si>
  <si>
    <t>1 151.00 руб.</t>
  </si>
  <si>
    <t>VLC-1412209</t>
  </si>
  <si>
    <t>VTi.906.I.005409</t>
  </si>
  <si>
    <t>Вставка резьбовая нерж. сталь с нар.р. 54х2"</t>
  </si>
  <si>
    <t>1 993.00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</si>
  <si>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</si>
  <si>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</si>
  <si>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</si>
  <si>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</si>
  <si>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</si>
  <si>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</si>
  <si>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297.00 руб.</t>
  </si>
  <si>
    <t>VLC-1412212</t>
  </si>
  <si>
    <t>VTi.907.I.001805</t>
  </si>
  <si>
    <t>Вставка резьбовая нерж. сталь с вн.р. 18х3/4"</t>
  </si>
  <si>
    <t>429.00 руб.</t>
  </si>
  <si>
    <t>VLC-1412213</t>
  </si>
  <si>
    <t>VTi.907.I.002204</t>
  </si>
  <si>
    <t>Вставка резьбовая нерж. сталь с вн.р. 22х1/2"</t>
  </si>
  <si>
    <t>310.00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</si>
  <si>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</si>
  <si>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</si>
  <si>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</si>
  <si>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</si>
  <si>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</si>
  <si>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</si>
  <si>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501.00 руб.</t>
  </si>
  <si>
    <t>VLC-1412216</t>
  </si>
  <si>
    <t>VTi.907.I.002806</t>
  </si>
  <si>
    <t>Вставка резьбовая нерж. сталь с вн.р. 28х1"</t>
  </si>
  <si>
    <t>776.00 руб.</t>
  </si>
  <si>
    <t>VLC-1412217</t>
  </si>
  <si>
    <t>VTi.907.I.003507</t>
  </si>
  <si>
    <t>Вставка резьбовая нерж. сталь с вн.р. 35х1 1/4"</t>
  </si>
  <si>
    <t>849.00 руб.</t>
  </si>
  <si>
    <t>VLC-1412218</t>
  </si>
  <si>
    <t>VTi.907.I.004208</t>
  </si>
  <si>
    <t>Вставка резьбовая нерж. сталь с вн.р. 42х1 1/2"</t>
  </si>
  <si>
    <t>1 159.00 руб.</t>
  </si>
  <si>
    <t>VLC-1412219</t>
  </si>
  <si>
    <t>VTi.907.I.005409</t>
  </si>
  <si>
    <t>Вставка резьбовая нерж. сталь с вн.р. 54х2"</t>
  </si>
  <si>
    <t>1 542.00 руб.</t>
  </si>
  <si>
    <t>VLC-900342</t>
  </si>
  <si>
    <t>VTi.901.I.001505</t>
  </si>
  <si>
    <t>Соединитель нерж. сталь с нар.р. 15х3/4"</t>
  </si>
  <si>
    <t>461.00 руб.</t>
  </si>
  <si>
    <t>VLC-900343</t>
  </si>
  <si>
    <t>VTi.901.I.002206</t>
  </si>
  <si>
    <t>Соединитель нерж. сталь с нар.р. 22х1"</t>
  </si>
  <si>
    <t>658.00 руб.</t>
  </si>
  <si>
    <t>VLC-900344</t>
  </si>
  <si>
    <t>VTi.906.I.001505</t>
  </si>
  <si>
    <t>Вставка резьбовая нерж. сталь с нар.р. 15х3/4"</t>
  </si>
  <si>
    <t>433.00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</si>
  <si>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</si>
  <si>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</si>
  <si>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</si>
  <si>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</si>
  <si>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</si>
  <si>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</si>
  <si>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730.00 руб.</t>
  </si>
  <si>
    <t>VLC-900347</t>
  </si>
  <si>
    <t>VTi.932.I.350435</t>
  </si>
  <si>
    <t>Тройник с вн.р. нерж. сталь 35х1/2"</t>
  </si>
  <si>
    <t>1 094.00 руб.</t>
  </si>
  <si>
    <t>VLC-900348</t>
  </si>
  <si>
    <t>VTi.932.I.420442</t>
  </si>
  <si>
    <t>Тройник с вн.р. нерж. сталь 42х1/2"</t>
  </si>
  <si>
    <t>1 245.00 руб.</t>
  </si>
  <si>
    <t>VLC-900349</t>
  </si>
  <si>
    <t>VTi.932.I.420642</t>
  </si>
  <si>
    <t>Тройник с вн.р. нерж. сталь 42х1"</t>
  </si>
  <si>
    <t>1 342.00 руб.</t>
  </si>
  <si>
    <t>VLC-900350</t>
  </si>
  <si>
    <t>VTi.932.I.420742</t>
  </si>
  <si>
    <t>Тройник с вн.р. нерж. сталь 42х1 1/4"</t>
  </si>
  <si>
    <t>1 545.00 руб.</t>
  </si>
  <si>
    <t>VLC-900351</t>
  </si>
  <si>
    <t>VTi.932.I.540454</t>
  </si>
  <si>
    <t>Тройник с вн.р. нерж. сталь 54х1/2"</t>
  </si>
  <si>
    <t>1 711.00 руб.</t>
  </si>
  <si>
    <t>VLC-900352</t>
  </si>
  <si>
    <t>VTi.932.I.540654</t>
  </si>
  <si>
    <t>Тройник с вн.р. нерж. сталь 54х1"</t>
  </si>
  <si>
    <t>1 538.00 руб.</t>
  </si>
  <si>
    <t>VLC-900353</t>
  </si>
  <si>
    <t>VTi.932.I.540754</t>
  </si>
  <si>
    <t>Тройник с вн.р. нерж. сталь 54х1 1/4"</t>
  </si>
  <si>
    <t>2 196.00 руб.</t>
  </si>
  <si>
    <t>VLC-900354</t>
  </si>
  <si>
    <t>VTi.933.I.540654</t>
  </si>
  <si>
    <t>Тройник с нар.р. нерж. сталь 54х1"</t>
  </si>
  <si>
    <t>1 725.00 руб.</t>
  </si>
  <si>
    <t>VLC-900355</t>
  </si>
  <si>
    <t>VTi.933.I.540754</t>
  </si>
  <si>
    <t>Тройник с нар.р. нерж. сталь 54х1 1/4"</t>
  </si>
  <si>
    <t>1 959.00 руб.</t>
  </si>
  <si>
    <t>VLC-900356</t>
  </si>
  <si>
    <t>VTi.955.I.152828</t>
  </si>
  <si>
    <t>Отвод безраструбный 15° нар.-нар. нерж. сталь 28ах28а</t>
  </si>
  <si>
    <t>846.00 руб.</t>
  </si>
  <si>
    <t>VLC-900357</t>
  </si>
  <si>
    <t>VTi.955.I.302828</t>
  </si>
  <si>
    <t>Отвод безраструбный 30° нар.-нар. нерж. сталь 28ах28а</t>
  </si>
  <si>
    <t>805.00 руб.</t>
  </si>
  <si>
    <t>VLC-900358</t>
  </si>
  <si>
    <t>VTi.955.I.452828</t>
  </si>
  <si>
    <t>Отвод безраструбный 45° нар.-нар. нерж. сталь 28ах28а</t>
  </si>
  <si>
    <t>VLC-900359</t>
  </si>
  <si>
    <t>VLC-900360</t>
  </si>
  <si>
    <t>VTi.961.I.000015</t>
  </si>
  <si>
    <t>Заглушка нерж. сталь 15</t>
  </si>
  <si>
    <t>169.00 руб.</t>
  </si>
  <si>
    <t>VLC-900361</t>
  </si>
  <si>
    <t>VTi.961.I.000018</t>
  </si>
  <si>
    <t>Заглушка нерж. сталь 18</t>
  </si>
  <si>
    <t>191.00 руб.</t>
  </si>
  <si>
    <t>VLC-900362</t>
  </si>
  <si>
    <t>VTi.961.I.000022</t>
  </si>
  <si>
    <t>Заглушка нерж. сталь 22</t>
  </si>
  <si>
    <t>254.00 руб.</t>
  </si>
  <si>
    <t>VLC-900363</t>
  </si>
  <si>
    <t>VTi.961.I.000028</t>
  </si>
  <si>
    <t>Заглушка нерж. сталь 28</t>
  </si>
  <si>
    <t>328.00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</si>
  <si>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</si>
  <si>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</si>
  <si>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</si>
  <si>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</si>
  <si>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</si>
  <si>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</si>
  <si>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486.00 руб.</t>
  </si>
  <si>
    <t>VLC-900366</t>
  </si>
  <si>
    <t>VTi.961.I.000054</t>
  </si>
  <si>
    <t>Заглушка нерж. сталь 54</t>
  </si>
  <si>
    <t>VLC-900425</t>
  </si>
  <si>
    <t>VTi.582.I.0505</t>
  </si>
  <si>
    <t>Ниппель нерж. сталь 3/4"х3/4"</t>
  </si>
  <si>
    <t>510.00 руб.</t>
  </si>
  <si>
    <t>VLC-900426</t>
  </si>
  <si>
    <t>VTi.582.I.0606</t>
  </si>
  <si>
    <t>Ниппель нерж. сталь 1"х1"</t>
  </si>
  <si>
    <t>VLC-900589</t>
  </si>
  <si>
    <t>VTi.941.I.001515</t>
  </si>
  <si>
    <t>Крестовина нерж. сталь 15х15х15х15</t>
  </si>
  <si>
    <t>473.00 руб.</t>
  </si>
  <si>
    <t>VLC-900590</t>
  </si>
  <si>
    <t>VTi.941.I.001818</t>
  </si>
  <si>
    <t>Крестовина нерж. сталь 18х18х18х18</t>
  </si>
  <si>
    <t>672.00 руб.</t>
  </si>
  <si>
    <t>VLC-900591</t>
  </si>
  <si>
    <t>VTi.941.I.001815</t>
  </si>
  <si>
    <t>Крестовина нерж. сталь 18х15х18х15</t>
  </si>
  <si>
    <t>638.00 руб.</t>
  </si>
  <si>
    <t>VLC-900592</t>
  </si>
  <si>
    <t>VTi.941.I.002222</t>
  </si>
  <si>
    <t>Крестовина нерж. сталь 22х22х22х22</t>
  </si>
  <si>
    <t>723.00 руб.</t>
  </si>
  <si>
    <t>VLC-900593</t>
  </si>
  <si>
    <t>VTi.941.I.002215</t>
  </si>
  <si>
    <t>Крестовина нерж. сталь 22х15х22х15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</si>
  <si>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</si>
  <si>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</si>
  <si>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</si>
  <si>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</si>
  <si>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</si>
  <si>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</si>
  <si>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903.00 руб.</t>
  </si>
  <si>
    <t>VLC-900596</t>
  </si>
  <si>
    <t>VTi.941.I.002822</t>
  </si>
  <si>
    <t>Крестовина нерж. сталь 28х22х28х22</t>
  </si>
  <si>
    <t>799.00 руб.</t>
  </si>
  <si>
    <t>VLC-901031</t>
  </si>
  <si>
    <t>VTi.903.I.007676</t>
  </si>
  <si>
    <t>Муфта нерж. сталь 76.1х76.1</t>
  </si>
  <si>
    <t>1 824.00 руб.</t>
  </si>
  <si>
    <t>VLC-901032</t>
  </si>
  <si>
    <t>VTi.903.I.008989</t>
  </si>
  <si>
    <t>Муфта нерж. сталь 88.9х88.9</t>
  </si>
  <si>
    <t>2 183.00 руб.</t>
  </si>
  <si>
    <t>VLC-901033</t>
  </si>
  <si>
    <t>VTi.905.I.007654</t>
  </si>
  <si>
    <t>Вставка переходная нерж. сталь 76.1х54</t>
  </si>
  <si>
    <t>1 475.00 руб.</t>
  </si>
  <si>
    <t>VLC-901034</t>
  </si>
  <si>
    <t>VTi.905.I.008954</t>
  </si>
  <si>
    <t>Вставка переходная нерж. сталь 88,9х54</t>
  </si>
  <si>
    <t>1 903.00 руб.</t>
  </si>
  <si>
    <t>VLC-901035</t>
  </si>
  <si>
    <t>VTi.905.I.008976</t>
  </si>
  <si>
    <t>Вставка переходная нерж. сталь 88,9х76.1</t>
  </si>
  <si>
    <t>2 377.00 руб.</t>
  </si>
  <si>
    <t>VLC-901036</t>
  </si>
  <si>
    <t>VTi.931.I.767676</t>
  </si>
  <si>
    <t>Тройник нерж. сталь 76.1х76.1х76.1</t>
  </si>
  <si>
    <t>3 274.00 руб.</t>
  </si>
  <si>
    <t>VLC-901037</t>
  </si>
  <si>
    <t>VTi.931.I.898989</t>
  </si>
  <si>
    <t>Тройник нерж. сталь 88.9х88.9х88.9</t>
  </si>
  <si>
    <t>4 366.00 руб.</t>
  </si>
  <si>
    <t>VLC-901038</t>
  </si>
  <si>
    <t>VTi.950.I.007676</t>
  </si>
  <si>
    <t>Угольник 90° вн.-нар. нерж. сталь 76.1а х76.1</t>
  </si>
  <si>
    <t>4 006.00 руб.</t>
  </si>
  <si>
    <t>VLC-901039</t>
  </si>
  <si>
    <t>VTi.950.I.008989</t>
  </si>
  <si>
    <t>Угольник 90° вн.-нар. нерж. сталь 88.9а х88.9</t>
  </si>
  <si>
    <t>5 255.00 руб.</t>
  </si>
  <si>
    <t>VLC-901040</t>
  </si>
  <si>
    <t>VTi.951.I.007676</t>
  </si>
  <si>
    <t>Угольник 90° вн.-вн. нерж. сталь 76.1х76.1</t>
  </si>
  <si>
    <t>3 389.00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</si>
  <si>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</si>
  <si>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</si>
  <si>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</si>
  <si>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</si>
  <si>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</si>
  <si>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</si>
  <si>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3 537.00 руб.</t>
  </si>
  <si>
    <t>VLC-901043</t>
  </si>
  <si>
    <t>VTi.958.I.008989</t>
  </si>
  <si>
    <t>Угольник 45° вн.-нар. нерж. сталь 88.9а х88.9</t>
  </si>
  <si>
    <t>4 684.00 руб.</t>
  </si>
  <si>
    <t>VLC-901044</t>
  </si>
  <si>
    <t>VTi.959.I.007676</t>
  </si>
  <si>
    <t>Угольник 45° вн.-вн. нерж. сталь 76.1х76.1</t>
  </si>
  <si>
    <t>3 160.00 руб.</t>
  </si>
  <si>
    <t>VLC-901045</t>
  </si>
  <si>
    <t>VTi.959.I.008989</t>
  </si>
  <si>
    <t>Угольник 45° вн.-вн. нерж. сталь 88.9х88.9</t>
  </si>
  <si>
    <t>4 085.00 руб.</t>
  </si>
  <si>
    <t>VLC-901046</t>
  </si>
  <si>
    <t>VTi.961.I.000076</t>
  </si>
  <si>
    <t>Заглушка нерж. сталь 76.1</t>
  </si>
  <si>
    <t>1 957.00 руб.</t>
  </si>
  <si>
    <t>VLC-901047</t>
  </si>
  <si>
    <t>VTi.961.I.000089</t>
  </si>
  <si>
    <t>Заглушка нерж. сталь 88.9</t>
  </si>
  <si>
    <t>2 122.00 руб.</t>
  </si>
  <si>
    <t>VLC-901048</t>
  </si>
  <si>
    <t>VTi.980.I.054050</t>
  </si>
  <si>
    <t>Соединитель с переходом  на фланец, нержавеющая сталь 54хDN50</t>
  </si>
  <si>
    <t>3 824.00 руб.</t>
  </si>
  <si>
    <t>VLC-901049</t>
  </si>
  <si>
    <t>VTi.980.I.076065</t>
  </si>
  <si>
    <t>Соединитель с переходом  на фланец,  нержавеющая сталь 76,1хDN65</t>
  </si>
  <si>
    <t>6 771.00 руб.</t>
  </si>
  <si>
    <t>VLC-901050</t>
  </si>
  <si>
    <t>VTi.980.I.089080</t>
  </si>
  <si>
    <t>Соединитель с переходом  на фланец,  нержавеющая сталь 88,9хDN80</t>
  </si>
  <si>
    <t>8 382.00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</si>
  <si>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</si>
  <si>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</si>
  <si>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</si>
  <si>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</si>
  <si>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</si>
  <si>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</si>
  <si>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</si>
  <si>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</si>
  <si>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</si>
  <si>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</si>
  <si>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</si>
  <si>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</si>
  <si>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431.00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</si>
  <si>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</si>
  <si>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</si>
  <si>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</si>
  <si>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</si>
  <si>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</si>
  <si>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</si>
  <si>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759.00 руб.</t>
  </si>
  <si>
    <t>VLC-901124</t>
  </si>
  <si>
    <t>VTi.956.I.003506</t>
  </si>
  <si>
    <t>Отвод 90* с переходом на вн. р., нерж. сталь 35х1"</t>
  </si>
  <si>
    <t>858.00 руб.</t>
  </si>
  <si>
    <t>VLC-901125</t>
  </si>
  <si>
    <t>VTi.957.I.001504</t>
  </si>
  <si>
    <t>Отвод 90* с переходом на нар. р., нерж. сталь 15х1/2"</t>
  </si>
  <si>
    <t>336.00 руб.</t>
  </si>
  <si>
    <t>VLC-901126</t>
  </si>
  <si>
    <t>VTi.957.I.001804</t>
  </si>
  <si>
    <t>Отвод 90* с переходом на  нар. р., нерж. сталь 18х1/2"</t>
  </si>
  <si>
    <t>402.00 руб.</t>
  </si>
  <si>
    <t>VLC-901127</t>
  </si>
  <si>
    <t>VTi.957.I.001805</t>
  </si>
  <si>
    <t>Отвод 90* с переходом на  нар. р., нерж. сталь 18х3/4"</t>
  </si>
  <si>
    <t>VLC-901128</t>
  </si>
  <si>
    <t>VTi.957.I.002204</t>
  </si>
  <si>
    <t>Отвод 90* с переходом на  нар. р., нерж. сталь 22х1/2"</t>
  </si>
  <si>
    <t>VLC-901129</t>
  </si>
  <si>
    <t>VTi.957.I.002205</t>
  </si>
  <si>
    <t>Отвод 90* с переходом на  нар. р., нерж. сталь 22х3/4"</t>
  </si>
  <si>
    <t>500.00 руб.</t>
  </si>
  <si>
    <t>VLC-901130</t>
  </si>
  <si>
    <t>VTi.957.I.002805</t>
  </si>
  <si>
    <t>Отвод 90* с переходом на  нар. р., нерж. сталь 28х3/4"</t>
  </si>
  <si>
    <t>656.00 руб.</t>
  </si>
  <si>
    <t>VLC-901131</t>
  </si>
  <si>
    <t>VTi.957.I.003506</t>
  </si>
  <si>
    <t>Отвод 90* с переходом на  нар. р., нерж. сталь 35х1"</t>
  </si>
  <si>
    <t>882.00 руб.</t>
  </si>
  <si>
    <t>VLC-901153</t>
  </si>
  <si>
    <t>VTi.903.I.108108</t>
  </si>
  <si>
    <t>Муфта, нержавеющая сталь 108х108</t>
  </si>
  <si>
    <t>2 854.00 руб.</t>
  </si>
  <si>
    <t>VLC-901154</t>
  </si>
  <si>
    <t>VTi.905.I.108076</t>
  </si>
  <si>
    <t>Вставка переходная, нержавеющая сталь 108х76,1</t>
  </si>
  <si>
    <t>3 321.00 руб.</t>
  </si>
  <si>
    <t>VLC-901155</t>
  </si>
  <si>
    <t>VTi.905.I.108089</t>
  </si>
  <si>
    <t>Вставка переходная, нержавеющая сталь 108х88,9</t>
  </si>
  <si>
    <t>3 514.00 руб.</t>
  </si>
  <si>
    <t>VLC-901156</t>
  </si>
  <si>
    <t>VTi.931.I.765476</t>
  </si>
  <si>
    <t>Тройник нерж. cталь 76,1х54х76,1</t>
  </si>
  <si>
    <t>3 333.00 руб.</t>
  </si>
  <si>
    <t>VLC-901157</t>
  </si>
  <si>
    <t>VTi.951.I.108108</t>
  </si>
  <si>
    <t>Угольник 90° вн.-вн. нерж. сталь 108</t>
  </si>
  <si>
    <t>6 638.00 руб.</t>
  </si>
  <si>
    <t>VLC-901158</t>
  </si>
  <si>
    <t>VTi.959.I.108108</t>
  </si>
  <si>
    <t>Угольник 45⁰ вн.-вн. нерж. сталь 108</t>
  </si>
  <si>
    <t>5 345.00 руб.</t>
  </si>
  <si>
    <t>VLC-901159</t>
  </si>
  <si>
    <t>VTi.980.I.108100</t>
  </si>
  <si>
    <t>Соединитель с переходом на фланец, нержавеющая сталь 108х DN100</t>
  </si>
  <si>
    <t>10 035.00 руб.</t>
  </si>
  <si>
    <t>VLC-901160</t>
  </si>
  <si>
    <t>VTi.900.304.10820</t>
  </si>
  <si>
    <t>Труба нерж. сталь, 108х2.0мм</t>
  </si>
  <si>
    <t>5 142.00 руб.</t>
  </si>
  <si>
    <t>VLC-901179</t>
  </si>
  <si>
    <t>VTi.932.I.760576</t>
  </si>
  <si>
    <t>Тройник с вн.р. нерж. сталь 76,1х3/4"х76,1</t>
  </si>
  <si>
    <t>2 952.00 руб.</t>
  </si>
  <si>
    <t>VLC-901180</t>
  </si>
  <si>
    <t>VTi.932.I.760676</t>
  </si>
  <si>
    <t>Тройник с вн.р. нерж. сталь 76,1х1"х76,1</t>
  </si>
  <si>
    <t>3 049.00 руб.</t>
  </si>
  <si>
    <t>VLC-901181</t>
  </si>
  <si>
    <t>VTi.932.I.760976</t>
  </si>
  <si>
    <t>Тройник с вн.р. нерж. сталь 76,1х2"х76,1</t>
  </si>
  <si>
    <t>3 733.00 руб.</t>
  </si>
  <si>
    <t>VLC-901182</t>
  </si>
  <si>
    <t>VTi.980.I.042040</t>
  </si>
  <si>
    <t>Соединитель с переходом  на фланец, нержавеющая сталь 42хDN40</t>
  </si>
  <si>
    <t>3 490.00 руб.</t>
  </si>
  <si>
    <t>VLC-902053</t>
  </si>
  <si>
    <t>VTi.909.I.151622</t>
  </si>
  <si>
    <t>Вставка с переходом на аксиальное соединение, нержавеющая сталь 15х16(2.2)</t>
  </si>
  <si>
    <t>VLC-902054</t>
  </si>
  <si>
    <t>VTi.909.I.182028</t>
  </si>
  <si>
    <t>Вставка с переходом на аксиальное соединение, нержавеющая сталь 18х20(2.8)</t>
  </si>
  <si>
    <t>VLC-902055</t>
  </si>
  <si>
    <t>VTi.909.I.222028</t>
  </si>
  <si>
    <t>Вставка с переходом на аксиальное соединение, нержавеющая сталь 22х20(2.8)</t>
  </si>
  <si>
    <t>289.00 руб.</t>
  </si>
  <si>
    <t>VLC-902056</t>
  </si>
  <si>
    <t>VTi.909.I.222535</t>
  </si>
  <si>
    <t>Вставка с переходом на аксиальное соединение, нержавеющая сталь 22х25(3.5)</t>
  </si>
  <si>
    <t>VLC-902057</t>
  </si>
  <si>
    <t>VTi.909.I.283244</t>
  </si>
  <si>
    <t>Вставка с переходом на аксиальное соединение, нержавеющая сталь 28х32(4.4)</t>
  </si>
  <si>
    <t>509.00 руб.</t>
  </si>
  <si>
    <t>VLC-902058</t>
  </si>
  <si>
    <t>VTi.931.I.108108108</t>
  </si>
  <si>
    <t>Тройник нерж. сталь 108</t>
  </si>
  <si>
    <t>5 219.00 руб.</t>
  </si>
  <si>
    <t>VLC-902059</t>
  </si>
  <si>
    <t>VTi.961.I.000108</t>
  </si>
  <si>
    <t>Заглушка нерж. сталь 108</t>
  </si>
  <si>
    <t>2 901.00 руб.</t>
  </si>
  <si>
    <t>VLC-999085</t>
  </si>
  <si>
    <t>VTi.906.I.001806</t>
  </si>
  <si>
    <t>Вставка резьбовая нерж. сталь с нар.р. 18х1"</t>
  </si>
  <si>
    <t>600.00 руб.</t>
  </si>
  <si>
    <t>VLC-999086</t>
  </si>
  <si>
    <t>VTi.906.I.002206</t>
  </si>
  <si>
    <t>Вставка резьбовая нерж. сталь с нар.р. 22х1"</t>
  </si>
  <si>
    <t>576.00 руб.</t>
  </si>
  <si>
    <t>VLC-999087</t>
  </si>
  <si>
    <t>VTi.907.I.001505</t>
  </si>
  <si>
    <t>Вставка резьбовая нерж. сталь с вн.р. 15х3/4"</t>
  </si>
  <si>
    <t>400.00 руб.</t>
  </si>
  <si>
    <t>VLC-999088</t>
  </si>
  <si>
    <t>VTi.907.I.001806</t>
  </si>
  <si>
    <t>Вставка резьбовая нерж. сталь с вн.р. 18х1"</t>
  </si>
  <si>
    <t>585.00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</si>
  <si>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</si>
  <si>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</si>
  <si>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</si>
  <si>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</si>
  <si>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</si>
  <si>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</si>
  <si>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1 389.00 руб.</t>
  </si>
  <si>
    <t>VLC-999091</t>
  </si>
  <si>
    <t>VTi.933.I.420742</t>
  </si>
  <si>
    <t>Тройник с нар.р. нерж. сталь 42х1 1/4"</t>
  </si>
  <si>
    <t>1 604.00 руб.</t>
  </si>
  <si>
    <t>VLC-999092</t>
  </si>
  <si>
    <t>VTi.954.DI.150415</t>
  </si>
  <si>
    <t>Водорозетка проходная нерж. сталь 15х1/2"</t>
  </si>
  <si>
    <t>1 002.00 руб.</t>
  </si>
  <si>
    <t>VLC-999093</t>
  </si>
  <si>
    <t>VTi.971.I.002828</t>
  </si>
  <si>
    <t>Обвод, вн.-вн. нерж. сталь 28х28</t>
  </si>
  <si>
    <t>703.00 руб.</t>
  </si>
  <si>
    <t>VLC-999094</t>
  </si>
  <si>
    <t>VTi.990.I.000018</t>
  </si>
  <si>
    <t>Уплотнительное кольцо 18 FPM (Viton)</t>
  </si>
  <si>
    <t>19.00 руб.</t>
  </si>
  <si>
    <t>VLC-999095</t>
  </si>
  <si>
    <t>VTi.990.I.000042</t>
  </si>
  <si>
    <t>Уплотнительное кольцо 42 FPM (Viton)</t>
  </si>
  <si>
    <t>44.00 руб.</t>
  </si>
  <si>
    <t>VLC-999096</t>
  </si>
  <si>
    <t>VTi.990.I.000054</t>
  </si>
  <si>
    <t>Уплотнительное кольцо 54 FPM (Viton)</t>
  </si>
  <si>
    <t>50.00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</si>
  <si>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</si>
  <si>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</si>
  <si>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</si>
  <si>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</si>
  <si>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183.75 руб.</t>
  </si>
  <si>
    <t>SNT-240002</t>
  </si>
  <si>
    <t>VPSF223</t>
  </si>
  <si>
    <t>Соединитель из нерж. стали  22×1/2" внутр. резьба "VER-PRO"   (70/5шт)</t>
  </si>
  <si>
    <t>214.62 руб.</t>
  </si>
  <si>
    <t>SNT-240003</t>
  </si>
  <si>
    <t>VPSF224</t>
  </si>
  <si>
    <t>Соединитель из нерж. стали  22×3/4" внутр. резьба "VER-PRO"   (60/5шт)</t>
  </si>
  <si>
    <t>254.31 руб.</t>
  </si>
  <si>
    <t>SNT-240004</t>
  </si>
  <si>
    <t>VPSF284</t>
  </si>
  <si>
    <t>Соединитель из нерж. стали  28×3/4" внутр. резьба "VER-PRO"   (50/5шт)</t>
  </si>
  <si>
    <t>318.99 руб.</t>
  </si>
  <si>
    <t>SNT-240005</t>
  </si>
  <si>
    <t>VPSF285</t>
  </si>
  <si>
    <t>Соединитель из нерж. стали  28×1" внутр. резьба  "VER-PRO"   (50/5шт)</t>
  </si>
  <si>
    <t>357.21 руб.</t>
  </si>
  <si>
    <t>SNT-240006</t>
  </si>
  <si>
    <t>VPSF355</t>
  </si>
  <si>
    <t>Соединитель из нерж. стали  35×1"  внутр. резьба "VER-PRO"   (35/5шт)</t>
  </si>
  <si>
    <t>482.16 руб.</t>
  </si>
  <si>
    <t>SNT-240007</t>
  </si>
  <si>
    <t>VPSF356</t>
  </si>
  <si>
    <t>Соединитель из нерж. стали  35×11/4" внутр. резьба  "VER-PRO"   (24/3шт)</t>
  </si>
  <si>
    <t>511.56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</si>
  <si>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</si>
  <si>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</si>
  <si>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</si>
  <si>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</si>
  <si>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</si>
  <si>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</si>
  <si>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</si>
  <si>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</si>
  <si>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</si>
  <si>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</si>
  <si>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</si>
  <si>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</si>
  <si>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</si>
  <si>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</si>
  <si>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</si>
  <si>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358.68 руб.</t>
  </si>
  <si>
    <t>SNT-240013</t>
  </si>
  <si>
    <t>VPSM355</t>
  </si>
  <si>
    <t>Соединитель из нерж. стали  35×1" нар. резьба  "VER-PRO"   (35/5шт)</t>
  </si>
  <si>
    <t>446.88 руб.</t>
  </si>
  <si>
    <t>SNT-240014</t>
  </si>
  <si>
    <t>VPSM356</t>
  </si>
  <si>
    <t>Соединитель из нерж. стали  35×11/4" нар. резьба  "VER-PRO"   (24/3шт)</t>
  </si>
  <si>
    <t>539.49 руб.</t>
  </si>
  <si>
    <t>SNT-240015</t>
  </si>
  <si>
    <t>VPS1515</t>
  </si>
  <si>
    <t>Муфта из нержавеющей стали 15×15  "VER-PRO"   (100/5шт)</t>
  </si>
  <si>
    <t>77.91 руб.</t>
  </si>
  <si>
    <t>SNT-240016</t>
  </si>
  <si>
    <t>VPS2222</t>
  </si>
  <si>
    <t>Муфта из нержавеющей стали 22×22  "VER-PRO"   (60/5шт)</t>
  </si>
  <si>
    <t>126.42 руб.</t>
  </si>
  <si>
    <t>SNT-240017</t>
  </si>
  <si>
    <t>VPS2828</t>
  </si>
  <si>
    <t>Муфта из нержавеющей стали 28×28  "VER-PRO"   (40/4шт)</t>
  </si>
  <si>
    <t>163.17 руб.</t>
  </si>
  <si>
    <t>SNT-240018</t>
  </si>
  <si>
    <t>VPS3535</t>
  </si>
  <si>
    <t>Муфта из нержавеющей стали 35×35  "VER-PRO"   (30/3шт)</t>
  </si>
  <si>
    <t>219.03 руб.</t>
  </si>
  <si>
    <t>SNT-240019</t>
  </si>
  <si>
    <t>VPS2215</t>
  </si>
  <si>
    <t>Вставка переходная  из нержавеющей стали  22а×15  "VER-PRO"   (100/5шт)</t>
  </si>
  <si>
    <t>174.93 руб.</t>
  </si>
  <si>
    <t>SNT-240020</t>
  </si>
  <si>
    <t>VPS2822</t>
  </si>
  <si>
    <t>Вставка переходная  из нержавеющей стали  28а×22  "VER-PRO"   (50/5шт)</t>
  </si>
  <si>
    <t>177.87 руб.</t>
  </si>
  <si>
    <t>SNT-240021</t>
  </si>
  <si>
    <t>VPS3528</t>
  </si>
  <si>
    <t>Вставка переходная  из нержавеющей стали  35а×28  "VER-PRO"   (33/3шт)</t>
  </si>
  <si>
    <t>216.09 руб.</t>
  </si>
  <si>
    <t>SNT-240022</t>
  </si>
  <si>
    <t>VPSC153</t>
  </si>
  <si>
    <t>Соединитель с накидной гайкой из нержавеющей стали 15×1/2"  "VER-PRO"   (100/5шт)</t>
  </si>
  <si>
    <t>241.08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</si>
  <si>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</si>
  <si>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</si>
  <si>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</si>
  <si>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</si>
  <si>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</si>
  <si>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</si>
  <si>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345.45 руб.</t>
  </si>
  <si>
    <t>SNT-240025</t>
  </si>
  <si>
    <t>VPSC285</t>
  </si>
  <si>
    <t>Соединитель с накидной гайкой из нержавеющей стали 28×1"  "VER-PRO"   (50/5шт)</t>
  </si>
  <si>
    <t>485.10 руб.</t>
  </si>
  <si>
    <t>SNT-240026</t>
  </si>
  <si>
    <t>VPSC356</t>
  </si>
  <si>
    <t>Соединитель с накидной гайкой из нержавеющей стали 35×11/4"  "VER-PRO"   (32/4шт)</t>
  </si>
  <si>
    <t>580.65 руб.</t>
  </si>
  <si>
    <t>SNT-240027</t>
  </si>
  <si>
    <t>VPTF15315</t>
  </si>
  <si>
    <t>Тройник из нерж. стали   15×1/2"×15  внутр. резьба "VER-PRO" (60/5шт)</t>
  </si>
  <si>
    <t>274.89 руб.</t>
  </si>
  <si>
    <t>SNT-240028</t>
  </si>
  <si>
    <t>VPTF22322</t>
  </si>
  <si>
    <t>Тройник из нерж. стали   22×1/2"×22 внутр. резьба "VER-PRO" (40/4шт)</t>
  </si>
  <si>
    <t>421.89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</si>
  <si>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</si>
  <si>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</si>
  <si>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</si>
  <si>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</si>
  <si>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</si>
  <si>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</si>
  <si>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410.13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</si>
  <si>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</si>
  <si>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</si>
  <si>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</si>
  <si>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</si>
  <si>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</si>
  <si>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</si>
  <si>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</si>
  <si>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</si>
  <si>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</si>
  <si>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</si>
  <si>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</si>
  <si>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</si>
  <si>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</si>
  <si>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371.91 руб.</t>
  </si>
  <si>
    <t>SNT-240035</t>
  </si>
  <si>
    <t>VPTM22422</t>
  </si>
  <si>
    <t>Тройник из нерж. стали   22×3/4"×22 нар. резьба "VER-PRO" (28/4шт)</t>
  </si>
  <si>
    <t>399.84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</si>
  <si>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</si>
  <si>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</si>
  <si>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</si>
  <si>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</si>
  <si>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</si>
  <si>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</si>
  <si>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</si>
  <si>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</si>
  <si>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</si>
  <si>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523.32 руб.</t>
  </si>
  <si>
    <t>SNT-240039</t>
  </si>
  <si>
    <t>VPT151515</t>
  </si>
  <si>
    <t>Тройник из нержавеющей стали 15×15×15  "VER-PRO" (50/5шт)</t>
  </si>
  <si>
    <t>179.34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</si>
  <si>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</si>
  <si>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</si>
  <si>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</si>
  <si>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</si>
  <si>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</si>
  <si>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</si>
  <si>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307.23 руб.</t>
  </si>
  <si>
    <t>SNT-240042</t>
  </si>
  <si>
    <t>VPT221522</t>
  </si>
  <si>
    <t>Тройник из нержавеющей стали 22×15×22  "VER-PRO" (40/4шт)</t>
  </si>
  <si>
    <t>235.20 руб.</t>
  </si>
  <si>
    <t>SNT-240043</t>
  </si>
  <si>
    <t>VPT281528</t>
  </si>
  <si>
    <t>Тройник из нержавеющей стали 28×15×28  "VER-PRO" (28/4шт)</t>
  </si>
  <si>
    <t>310.17 руб.</t>
  </si>
  <si>
    <t>SNT-240044</t>
  </si>
  <si>
    <t>VPT282228</t>
  </si>
  <si>
    <t>Тройник из нержавеющей стали 28×22×28  "VER-PRO" (24/3шт)</t>
  </si>
  <si>
    <t>305.76 руб.</t>
  </si>
  <si>
    <t>SNT-240045</t>
  </si>
  <si>
    <t>VPT352835</t>
  </si>
  <si>
    <t>Тройник из нержавеющей стали 35×28×35  "VER-PRO" (16/2шт)</t>
  </si>
  <si>
    <t>465.99 руб.</t>
  </si>
  <si>
    <t>SNT-240046</t>
  </si>
  <si>
    <t>VPCL1515</t>
  </si>
  <si>
    <t>Уголок 45° вн-вн из нержавеющей стали  15×15  "VER-PRO" (100/5шт)</t>
  </si>
  <si>
    <t>107.31 руб.</t>
  </si>
  <si>
    <t>SNT-240047</t>
  </si>
  <si>
    <t>VPCL2222</t>
  </si>
  <si>
    <t>Уголок 45° вн-вн из нержавеющей стали  22×22  "VER-PRO" (50/5шт)</t>
  </si>
  <si>
    <t>188.16 руб.</t>
  </si>
  <si>
    <t>SNT-240048</t>
  </si>
  <si>
    <t>VPCL2828</t>
  </si>
  <si>
    <t>Уголок 45° вн-вн из нержавеющей стали  28×28  "VER-PRO" (32/4шт)</t>
  </si>
  <si>
    <t>258.72 руб.</t>
  </si>
  <si>
    <t>SNT-240049</t>
  </si>
  <si>
    <t>VPCL3535</t>
  </si>
  <si>
    <t>Уголок 45° вн-вн из нержавеющей стали  35×35  "VER-PRO" (21/3шт)</t>
  </si>
  <si>
    <t>295.47 руб.</t>
  </si>
  <si>
    <t>SNT-240050</t>
  </si>
  <si>
    <t>VPDL1515</t>
  </si>
  <si>
    <t>Уголок 45° вн-нар из нержавеющей стали  15a×15  "VER-PRO" (80/5шт)</t>
  </si>
  <si>
    <t>123.48 руб.</t>
  </si>
  <si>
    <t>SNT-240051</t>
  </si>
  <si>
    <t>VPDL2222</t>
  </si>
  <si>
    <t>Уголок 45° вн-нар из нержавеющей стали  22а×22  "VER-PRO" (50/5шт)</t>
  </si>
  <si>
    <t>204.33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</si>
  <si>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</si>
  <si>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</si>
  <si>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</si>
  <si>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</si>
  <si>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</si>
  <si>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</si>
  <si>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338.10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</si>
  <si>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</si>
  <si>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</si>
  <si>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</si>
  <si>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</si>
  <si>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</si>
  <si>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</si>
  <si>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189.63 руб.</t>
  </si>
  <si>
    <t>SNT-240056</t>
  </si>
  <si>
    <t>VPAL2828</t>
  </si>
  <si>
    <t>Уголок 90° вн-вн из нержавеющей стали 28×28 "VER-PRO" (24/3шт)</t>
  </si>
  <si>
    <t>261.66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</si>
  <si>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</si>
  <si>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</si>
  <si>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</si>
  <si>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</si>
  <si>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</si>
  <si>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</si>
  <si>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124.95 руб.</t>
  </si>
  <si>
    <t>SNT-240059</t>
  </si>
  <si>
    <t>VPBL2222</t>
  </si>
  <si>
    <t>Уголок 90° вн-нар из нержавеющей стали 22а×22  "VER-PRO" (40/4шт)</t>
  </si>
  <si>
    <t>205.80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</si>
  <si>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</si>
  <si>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</si>
  <si>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</si>
  <si>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</si>
  <si>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</si>
  <si>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</si>
  <si>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396.90 руб.</t>
  </si>
  <si>
    <t>SNT-240062</t>
  </si>
  <si>
    <t>VPLF153</t>
  </si>
  <si>
    <t>Уголок 90° из нерж. стали 15×1/2" внутр. резьба "VER-PRO" (60/5шт)</t>
  </si>
  <si>
    <t>327.81 руб.</t>
  </si>
  <si>
    <t>SNT-240063</t>
  </si>
  <si>
    <t>VPLF223</t>
  </si>
  <si>
    <t>Уголок 90° из нерж. стали   22×1/2" внутр. резьба "VER-PRO" (60/4шт)</t>
  </si>
  <si>
    <t>382.20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</si>
  <si>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</si>
  <si>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</si>
  <si>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</si>
  <si>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</si>
  <si>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</si>
  <si>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</si>
  <si>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805.56 руб.</t>
  </si>
  <si>
    <t>SNT-240066</t>
  </si>
  <si>
    <t>VPLF285</t>
  </si>
  <si>
    <t>Уголок 90° из нерж. стали   28×1" внутр. резьба "VER-PRO" (30/3шт)</t>
  </si>
  <si>
    <t>820.26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</si>
  <si>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</si>
  <si>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</si>
  <si>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</si>
  <si>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</si>
  <si>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</si>
  <si>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</si>
  <si>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533.61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</si>
  <si>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</si>
  <si>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</si>
  <si>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</si>
  <si>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</si>
  <si>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</si>
  <si>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</si>
  <si>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749.70 руб.</t>
  </si>
  <si>
    <t>SNT-240071</t>
  </si>
  <si>
    <t>VPLM285</t>
  </si>
  <si>
    <t>Уголок 90° из нерж. стали   28×1" нар. резьба "VER-PRO" (30/2шт)</t>
  </si>
  <si>
    <t>751.17 руб.</t>
  </si>
  <si>
    <t>SNT-240072</t>
  </si>
  <si>
    <t>VPLC153</t>
  </si>
  <si>
    <t>Уголок с креплением (водорозетка) из нерж. стали   и креплением 15×1/2"  "VER-PRO" (40/5шт)</t>
  </si>
  <si>
    <t>405.72 руб.</t>
  </si>
  <si>
    <t>SNT-240073</t>
  </si>
  <si>
    <t>VPLC223</t>
  </si>
  <si>
    <t>Уголок с креплением (водорозетка) из нерж. стали   и креплением 22×1/2"  "VER-PRO" (40/5шт)</t>
  </si>
  <si>
    <t>560.07 руб.</t>
  </si>
  <si>
    <t>SNT-240074</t>
  </si>
  <si>
    <t>VPLC224</t>
  </si>
  <si>
    <t>Уголок с креплением (водорозетка) из нерж. стали   и креплением 22×3/4"  "VER-PRO" (30/3шт)</t>
  </si>
  <si>
    <t>567.42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</si>
  <si>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</si>
  <si>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</si>
  <si>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</si>
  <si>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</si>
  <si>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</si>
  <si>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</si>
  <si>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251.37 руб.</t>
  </si>
  <si>
    <t>SNT-240080</t>
  </si>
  <si>
    <t>VPSM183</t>
  </si>
  <si>
    <t>Соединитель из нерж. стали  18×1/2" нар. резьба "VER-PRO"   (70/5шт)</t>
  </si>
  <si>
    <t>232.26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</si>
  <si>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</si>
  <si>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</si>
  <si>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</si>
  <si>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</si>
  <si>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</si>
  <si>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</si>
  <si>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95.55 руб.</t>
  </si>
  <si>
    <t>SNT-240083</t>
  </si>
  <si>
    <t>VPS1815</t>
  </si>
  <si>
    <t>Вставка переходная  из нержавеющей стали 18а×15   VER-PRO    (80/5шт)</t>
  </si>
  <si>
    <t>145.53 руб.</t>
  </si>
  <si>
    <t>SNT-240084</t>
  </si>
  <si>
    <t>VPSC183</t>
  </si>
  <si>
    <t>Соединитель с накидной гайкой из нержавеющей стали 18×1/2    VER-PRO    (100/5шт)</t>
  </si>
  <si>
    <t>286.65 руб.</t>
  </si>
  <si>
    <t>SNT-240085</t>
  </si>
  <si>
    <t>VPT181518</t>
  </si>
  <si>
    <t>Тройник из нержавеющей стали 18×15×18   VER-PRO  (50/5шт)</t>
  </si>
  <si>
    <t>SNT-240086</t>
  </si>
  <si>
    <t>VPT181818</t>
  </si>
  <si>
    <t>Тройник из нержавеющей стали 18×18×18   VER-PRO  (50/5шт)</t>
  </si>
  <si>
    <t>210.21 руб.</t>
  </si>
  <si>
    <t>SNT-240087</t>
  </si>
  <si>
    <t>VPT353535</t>
  </si>
  <si>
    <t>Тройник из нержавеющей стали 35×35×35   VER-PRO  (16/2шт)</t>
  </si>
  <si>
    <t>468.93 руб.</t>
  </si>
  <si>
    <t>SNT-240088</t>
  </si>
  <si>
    <t>VPT221822</t>
  </si>
  <si>
    <t>Тройник из нержавеющей стали 22×18×22   VER-PRO  (40/4шт)</t>
  </si>
  <si>
    <t>242.55 руб.</t>
  </si>
  <si>
    <t>SNT-240090</t>
  </si>
  <si>
    <t>VPT351535</t>
  </si>
  <si>
    <t>Тройник из нержавеющей стали 35×15×35   VER-PRO  (16/2шт)</t>
  </si>
  <si>
    <t>490.98 руб.</t>
  </si>
  <si>
    <t>SNT-240091</t>
  </si>
  <si>
    <t>VPT352235</t>
  </si>
  <si>
    <t>Тройник из нержавеющей стали 35×22×35   VER-PRO  (16/2шт)</t>
  </si>
  <si>
    <t>463.05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</si>
  <si>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</si>
  <si>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</si>
  <si>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</si>
  <si>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</si>
  <si>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</si>
  <si>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</si>
  <si>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</si>
  <si>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</si>
  <si>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</si>
  <si>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127.89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</si>
  <si>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</si>
  <si>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</si>
  <si>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</si>
  <si>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</si>
  <si>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</si>
  <si>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</si>
  <si>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343.98 руб.</t>
  </si>
  <si>
    <t>SNT-240097</t>
  </si>
  <si>
    <t>VPLM183</t>
  </si>
  <si>
    <t>Уголок 90° из нерж. стали   18×1/2" нар. резьба "VER-PRO" (60/5шт)</t>
  </si>
  <si>
    <t>479.22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</si>
  <si>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</si>
  <si>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</si>
  <si>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</si>
  <si>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11.76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</si>
  <si>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</si>
  <si>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</si>
  <si>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</si>
  <si>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20.58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</si>
  <si>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</si>
  <si>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</si>
  <si>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</si>
  <si>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29.40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</si>
  <si>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</si>
  <si>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</si>
  <si>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</si>
  <si>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10.29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</si>
  <si>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</si>
  <si>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</si>
  <si>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</si>
  <si>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</si>
  <si>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</si>
  <si>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</si>
  <si>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</si>
  <si>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</si>
  <si>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</si>
  <si>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507.15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</si>
  <si>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</si>
  <si>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</si>
  <si>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</si>
  <si>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</si>
  <si>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</si>
  <si>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</si>
  <si>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</si>
  <si>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</si>
  <si>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</si>
  <si>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SNT-240108</t>
  </si>
  <si>
    <t>VPSF427</t>
  </si>
  <si>
    <t>Соединитель прямой с переходом на внутреннюю резьбу42×11/2"  "VER-PRO"   (16/2шт)</t>
  </si>
  <si>
    <t>739.41 руб.</t>
  </si>
  <si>
    <t>SNT-240109</t>
  </si>
  <si>
    <t>VPSF548</t>
  </si>
  <si>
    <t>Соединитель прямой с переходом на внутреннюю резьбу54×2"  "VER-PRO"   (8/2шт)</t>
  </si>
  <si>
    <t>1 093.68 руб.</t>
  </si>
  <si>
    <t>SNT-240110</t>
  </si>
  <si>
    <t>VPSM427</t>
  </si>
  <si>
    <t>Соединитель прямой с переходом на наружную резьбу42×11/2"  "VER-PRO"   (16/2шт)</t>
  </si>
  <si>
    <t>704.13 руб.</t>
  </si>
  <si>
    <t>SNT-240111</t>
  </si>
  <si>
    <t>VPSM548</t>
  </si>
  <si>
    <t>Соединитель прямой с переходом на наружную резьбу54×2"  "VER-PRO"   (8/2шт)</t>
  </si>
  <si>
    <t>1 056.93 руб.</t>
  </si>
  <si>
    <t>SNT-240112</t>
  </si>
  <si>
    <t>VPS4242</t>
  </si>
  <si>
    <t>Муфта из нержавеющей стали42×42  "VER-PRO"   (18/3шт)</t>
  </si>
  <si>
    <t>332.22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</si>
  <si>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</si>
  <si>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</si>
  <si>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</si>
  <si>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</si>
  <si>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</si>
  <si>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</si>
  <si>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158.76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</si>
  <si>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</si>
  <si>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</si>
  <si>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</si>
  <si>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</si>
  <si>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</si>
  <si>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</si>
  <si>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</si>
  <si>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</si>
  <si>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</si>
  <si>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249.90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</si>
  <si>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</si>
  <si>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</si>
  <si>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</si>
  <si>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</si>
  <si>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</si>
  <si>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</si>
  <si>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227.85 руб.</t>
  </si>
  <si>
    <t>SNT-240120</t>
  </si>
  <si>
    <t>VPS4235-A</t>
  </si>
  <si>
    <t>Муфта переходная 2-х раструб из нержавеющей стали 42×35  "VER-PRO"   (18/3шт)</t>
  </si>
  <si>
    <t>413.07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</si>
  <si>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</si>
  <si>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</si>
  <si>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</si>
  <si>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</si>
  <si>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</si>
  <si>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</si>
  <si>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</si>
  <si>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</si>
  <si>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</si>
  <si>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</si>
  <si>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</si>
  <si>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</si>
  <si>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</si>
  <si>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</si>
  <si>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</si>
  <si>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</si>
  <si>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</si>
  <si>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</si>
  <si>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230.79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</si>
  <si>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</si>
  <si>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</si>
  <si>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</si>
  <si>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</si>
  <si>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</si>
  <si>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</si>
  <si>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SNT-240129</t>
  </si>
  <si>
    <t>VPS5435</t>
  </si>
  <si>
    <t>Вставка переходная из нержавеющей стали54a×35  "VER-PRO"   (10/2шт)</t>
  </si>
  <si>
    <t>457.17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</si>
  <si>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</si>
  <si>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</si>
  <si>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</si>
  <si>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</si>
  <si>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</si>
  <si>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</si>
  <si>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333.69 руб.</t>
  </si>
  <si>
    <t>SNT-240132</t>
  </si>
  <si>
    <t>VPSC225</t>
  </si>
  <si>
    <t>Соединитель с накидной гайкой из нержавеющей стали22×1"  "VER-PRO"   (50/5шт)</t>
  </si>
  <si>
    <t>367.50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</si>
  <si>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</si>
  <si>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</si>
  <si>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</si>
  <si>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</si>
  <si>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</si>
  <si>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</si>
  <si>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</si>
  <si>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</si>
  <si>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</si>
  <si>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780.57 руб.</t>
  </si>
  <si>
    <t>SNT-240136</t>
  </si>
  <si>
    <t>VPSC548</t>
  </si>
  <si>
    <t>Соединитель с накидной гайкой из нержавеющей стали54×2"  "VER-PRO"   (12/3шт)</t>
  </si>
  <si>
    <t>1 123.08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</si>
  <si>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</si>
  <si>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</si>
  <si>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</si>
  <si>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</si>
  <si>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</si>
  <si>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</si>
  <si>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</si>
  <si>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</si>
  <si>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</si>
  <si>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732.06 руб.</t>
  </si>
  <si>
    <t>SNT-240140</t>
  </si>
  <si>
    <t>VPTF35635</t>
  </si>
  <si>
    <t>Тройник с переходом на внутреннюю резьбу 35×11/4"×35  "VER-PRO" (12/2шт)</t>
  </si>
  <si>
    <t>787.92 руб.</t>
  </si>
  <si>
    <t>SNT-240141</t>
  </si>
  <si>
    <t>VPTM18318</t>
  </si>
  <si>
    <t>Тройник с переходом на наружную резьбу 18×1/2"×18  "VER-PRO" (50/5шт)</t>
  </si>
  <si>
    <t>321.93 руб.</t>
  </si>
  <si>
    <t>SNT-240142</t>
  </si>
  <si>
    <t>VPTM18418</t>
  </si>
  <si>
    <t>Тройник с переходом на наружную резьбу 18×3/4"×18  "VER-PRO" (40/5шт)</t>
  </si>
  <si>
    <t>377.79 руб.</t>
  </si>
  <si>
    <t>SNT-240143</t>
  </si>
  <si>
    <t>VPTM35535</t>
  </si>
  <si>
    <t>Тройник с переходом на наружную резьбу 35×1"×35  "VER-PRO"(10/2шт)</t>
  </si>
  <si>
    <t>808.50 руб.</t>
  </si>
  <si>
    <t>SNT-240144</t>
  </si>
  <si>
    <t>VPTM35635</t>
  </si>
  <si>
    <t>Тройник с переходом на наружную резьбу 35×11/4"×35  "VER-PRO"(10/2шт)</t>
  </si>
  <si>
    <t>812.91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</si>
  <si>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</si>
  <si>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</si>
  <si>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</si>
  <si>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</si>
  <si>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</si>
  <si>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</si>
  <si>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720.30 руб.</t>
  </si>
  <si>
    <t>SNT-240147</t>
  </si>
  <si>
    <t>VPT545454</t>
  </si>
  <si>
    <t>Тройник из нержавеющей стали54×54×54  "VER-PRO" (3/1шт)</t>
  </si>
  <si>
    <t>965.79 руб.</t>
  </si>
  <si>
    <t>SNT-240148</t>
  </si>
  <si>
    <t>VPT544254</t>
  </si>
  <si>
    <t>Тройник из нержавеющей стали54×42×54  "VER-PRO" (4/1шт)</t>
  </si>
  <si>
    <t>914.34 руб.</t>
  </si>
  <si>
    <t>SNT-240149</t>
  </si>
  <si>
    <t>VPCL4242</t>
  </si>
  <si>
    <t>Уголок 45° внутренний/внутренний из нержавеющей стали 42×42  "VER-PRO" (10/2шт)</t>
  </si>
  <si>
    <t>480.69 руб.</t>
  </si>
  <si>
    <t>SNT-240150</t>
  </si>
  <si>
    <t>VPCL5454</t>
  </si>
  <si>
    <t>Уголок 45° внутренний/внутренний из нержавеющей стали 54×54  "VER-PRO" (6/2шт)</t>
  </si>
  <si>
    <t>617.40 руб.</t>
  </si>
  <si>
    <t>SNT-240151</t>
  </si>
  <si>
    <t>VPDL4242</t>
  </si>
  <si>
    <t>Уголок 45° из нержавеющей стали 42а×42  "VER-PRO" (10/2шт)</t>
  </si>
  <si>
    <t>492.45 руб.</t>
  </si>
  <si>
    <t>SNT-240152</t>
  </si>
  <si>
    <t>VPDL5454</t>
  </si>
  <si>
    <t>Уголок 45° из нержавеющей стали 54а×54  "VER-PRO" (6/2шт)</t>
  </si>
  <si>
    <t>664.44 руб.</t>
  </si>
  <si>
    <t>SNT-240153</t>
  </si>
  <si>
    <t>VPAL4242</t>
  </si>
  <si>
    <t>Уголок 90° внутренний/внутренний из нержавеющей стали 42×42  "VER-PRO" (8/2шт)</t>
  </si>
  <si>
    <t>563.01 руб.</t>
  </si>
  <si>
    <t>SNT-240154</t>
  </si>
  <si>
    <t>VPAL5454</t>
  </si>
  <si>
    <t>Уголок 90° внутренний/внутренний из нержавеющей стали 54×54  "VER-PRO" (4/2шт)</t>
  </si>
  <si>
    <t>736.47 руб.</t>
  </si>
  <si>
    <t>SNT-240155</t>
  </si>
  <si>
    <t>VPBL4242</t>
  </si>
  <si>
    <t>Уголок 90° из нержавеющей стали 42а×42  "VER-PRO" (7/1шт)</t>
  </si>
  <si>
    <t>804.09 руб.</t>
  </si>
  <si>
    <t>SNT-240156</t>
  </si>
  <si>
    <t>VPBL5454</t>
  </si>
  <si>
    <t>Уголок 90° из нержавеющей стали 54а×54  "VER-PRO" (4/1шт)</t>
  </si>
  <si>
    <t>876.12 руб.</t>
  </si>
  <si>
    <t>SNT-240157</t>
  </si>
  <si>
    <t>VPLF184</t>
  </si>
  <si>
    <t>Уголок 90° с переходом на внутреннюю резьбу 18×3/4"  "VER-PRO" (50/5шт)</t>
  </si>
  <si>
    <t>445.41 руб.</t>
  </si>
  <si>
    <t>SNT-240158</t>
  </si>
  <si>
    <t>VPLF355</t>
  </si>
  <si>
    <t>Уголок 90° с переходом на внутреннюю резьбу 35×1"  "VER-PRO" (21/3шт)</t>
  </si>
  <si>
    <t>1 439.13 руб.</t>
  </si>
  <si>
    <t>SNT-240159</t>
  </si>
  <si>
    <t>VPLF356</t>
  </si>
  <si>
    <t>Уголок 90° с переходом на внутреннюю резьбу 35×11/4"  "VER-PRO" (12/3шт)</t>
  </si>
  <si>
    <t>1 461.18 руб.</t>
  </si>
  <si>
    <t>SNT-240160</t>
  </si>
  <si>
    <t>VPLM184</t>
  </si>
  <si>
    <t>Уголок 90° из нерж. стали   18×3/4" нар. резьба "VER-PRO" (50/5шт)</t>
  </si>
  <si>
    <t>474.81 руб.</t>
  </si>
  <si>
    <t>SNT-240161</t>
  </si>
  <si>
    <t>VPLM355</t>
  </si>
  <si>
    <t>Уголок 90° с переходом на наружную резьбу 35×1"  "VER-PRO" (18/2шт)</t>
  </si>
  <si>
    <t>1 249.50 руб.</t>
  </si>
  <si>
    <t>SNT-240162</t>
  </si>
  <si>
    <t>VPLM356</t>
  </si>
  <si>
    <t>Уголок 90° с переходом на наружную резьбу 35×11/4"  "VER-PRO" (12/2шт)</t>
  </si>
  <si>
    <t>1 345.05 руб.</t>
  </si>
  <si>
    <t>SNT-240163</t>
  </si>
  <si>
    <t>VPLC183</t>
  </si>
  <si>
    <t>Уголок с переходом на внутреннюю резьбу и креплением 18×1/2"  "VER-PRO" (30/5шт)</t>
  </si>
  <si>
    <t>464.52 руб.</t>
  </si>
  <si>
    <t>VER-000139</t>
  </si>
  <si>
    <t>VP15G</t>
  </si>
  <si>
    <t>Заглушка из нержавеющей стали 15мм  "VER-PRO" (200/10шт)</t>
  </si>
  <si>
    <t>91.14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</si>
  <si>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</si>
  <si>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</si>
  <si>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</si>
  <si>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</si>
  <si>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</si>
  <si>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</si>
  <si>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99.96 руб.</t>
  </si>
  <si>
    <t>VER-000142</t>
  </si>
  <si>
    <t>VP28G</t>
  </si>
  <si>
    <t>Заглушка из нержавеющей стали 28мм  "VER-PRO" (80/5шт)</t>
  </si>
  <si>
    <t>132.30 руб.</t>
  </si>
  <si>
    <t>VER-000143</t>
  </si>
  <si>
    <t>VP35G</t>
  </si>
  <si>
    <t>Заглушка из нержавеющей стали 35мм  "VER-PRO" (50/5шт)</t>
  </si>
  <si>
    <t>144.06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</si>
  <si>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</si>
  <si>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</si>
  <si>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</si>
  <si>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</si>
  <si>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</si>
  <si>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</si>
  <si>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279.30 руб.</t>
  </si>
  <si>
    <t>VER-000312</t>
  </si>
  <si>
    <t>VPS5442</t>
  </si>
  <si>
    <t>Вставка переходная из нержавеющей стали54a×42  "VER-PRO"   (12/2шт)</t>
  </si>
  <si>
    <t>489.51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</si>
  <si>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</si>
  <si>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</si>
  <si>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</si>
  <si>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</si>
  <si>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</si>
  <si>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</si>
  <si>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708.54 руб.</t>
  </si>
  <si>
    <t>VER-000315</t>
  </si>
  <si>
    <t>VPTF54354</t>
  </si>
  <si>
    <t>Тройник с переходом на внутреннюю резьбу 54×1/2"×54  "VER-PRO" (6/2шт)</t>
  </si>
  <si>
    <t>892.29 руб.</t>
  </si>
  <si>
    <t>VER-000355</t>
  </si>
  <si>
    <t>VRP153LL</t>
  </si>
  <si>
    <t>Пресс-водорозетка проходная из нержавеющей стали 15×1/2"  "VER-PRO" (20/2шт)</t>
  </si>
  <si>
    <t>801.15 руб.</t>
  </si>
  <si>
    <t>VER-001017</t>
  </si>
  <si>
    <t>VPSM76.1-9</t>
  </si>
  <si>
    <t>Соединитель прямой с переходом на наружную резьбу76.1x2 1/2"  "VER-PRO"   (4/1шт)</t>
  </si>
  <si>
    <t>3 476.55 руб.</t>
  </si>
  <si>
    <t>VER-001018</t>
  </si>
  <si>
    <t>VPS64-35</t>
  </si>
  <si>
    <t>Вставка переходная из нержавеющей стали 64ax35  "VER-PRO"   (6/1шт)</t>
  </si>
  <si>
    <t>1 024.59 руб.</t>
  </si>
  <si>
    <t>VER-001019</t>
  </si>
  <si>
    <t>VPS64-42</t>
  </si>
  <si>
    <t>Вставка переходная из нержавеющей стали 64ax42  "VER-PRO"   (6/1шт)</t>
  </si>
  <si>
    <t>1 224.51 руб.</t>
  </si>
  <si>
    <t>VER-001020</t>
  </si>
  <si>
    <t>VPS64-54</t>
  </si>
  <si>
    <t>Вставка переходная из нержавеющей стали 64ax54  "VER-PRO"   (6/1шт)</t>
  </si>
  <si>
    <t>1 225.98 руб.</t>
  </si>
  <si>
    <t>VER-001021</t>
  </si>
  <si>
    <t>VPS76.1-54</t>
  </si>
  <si>
    <t>Вставка переходная из нержавеющей стали 76.1ax54  "VER-PRO"   (3/1шт)</t>
  </si>
  <si>
    <t>1 497.93 руб.</t>
  </si>
  <si>
    <t>VER-001022</t>
  </si>
  <si>
    <t>VPS88.9-54</t>
  </si>
  <si>
    <t>Вставка переходная из нержавеющей стали 88.9ax54  "VER-PRO"   (2/1шт)</t>
  </si>
  <si>
    <t>1 984.50 руб.</t>
  </si>
  <si>
    <t>VER-001023</t>
  </si>
  <si>
    <t>VPS88.9-76.1</t>
  </si>
  <si>
    <t>Вставка переходная из нержавеющей стали 88.9ax76.1  "VER-PRO"   (2/1шт)</t>
  </si>
  <si>
    <t>2 027.13 руб.</t>
  </si>
  <si>
    <t>VER-001024</t>
  </si>
  <si>
    <t>VPS108-54</t>
  </si>
  <si>
    <t>Вставка переходная из нержавеющей стали 108ax54  "VER-PRO"   (10/1шт)</t>
  </si>
  <si>
    <t>2 523.99 руб.</t>
  </si>
  <si>
    <t>VER-001025</t>
  </si>
  <si>
    <t>VPS108-76.1</t>
  </si>
  <si>
    <t>Вставка переходная из нержавеющей стали 108ax76.1  "VER-PRO"   (10/1шт)</t>
  </si>
  <si>
    <t>2 600.43 руб.</t>
  </si>
  <si>
    <t>VER-001026</t>
  </si>
  <si>
    <t>VPS108-88.9</t>
  </si>
  <si>
    <t>Вставка переходная из нержавеющей стали 108ax88.9  "VER-PRO"   (8/1шт)</t>
  </si>
  <si>
    <t>2 648.94 руб.</t>
  </si>
  <si>
    <t>VER-001027</t>
  </si>
  <si>
    <t>VPTF64-4</t>
  </si>
  <si>
    <t>Тройник с переходом на внутреннюю резьбу 64x3/4"x64  "VER-PRO" (3/1шт)</t>
  </si>
  <si>
    <t>1 397.97 руб.</t>
  </si>
  <si>
    <t>VER-001028</t>
  </si>
  <si>
    <t>VPTF76.1-4</t>
  </si>
  <si>
    <t>Тройник с переходом на внутреннюю резьбу 76.1x3/4"x76.1  "VER-PRO" (2/1шт)</t>
  </si>
  <si>
    <t>1 934.52 руб.</t>
  </si>
  <si>
    <t>VER-001029</t>
  </si>
  <si>
    <t>VPTF88.9-4</t>
  </si>
  <si>
    <t>Тройник с переходом на внутреннюю резьбу 88.9x3/4"x88.9  "VER-PRO" (10/1шт)</t>
  </si>
  <si>
    <t>2 793.00 руб.</t>
  </si>
  <si>
    <t>VER-001030</t>
  </si>
  <si>
    <t>VPTF108-4</t>
  </si>
  <si>
    <t>Тройник с переходом на внутреннюю резьбу 108x3/4"x108  "VER-PRO" (5/1шт)</t>
  </si>
  <si>
    <t>3 545.64 руб.</t>
  </si>
  <si>
    <t>VER-001031</t>
  </si>
  <si>
    <t>VPT64</t>
  </si>
  <si>
    <t>Тройник из нержавеющей стали64x64x64  "VER-PRO" (2/1шт)</t>
  </si>
  <si>
    <t>1 702.26 руб.</t>
  </si>
  <si>
    <t>VER-001032</t>
  </si>
  <si>
    <t>VPT76.1</t>
  </si>
  <si>
    <t>Тройник из нержавеющей стали76.1x76.1x76.1  "VER-PRO" (8/1шт)</t>
  </si>
  <si>
    <t>2 209.41 руб.</t>
  </si>
  <si>
    <t>VER-001033</t>
  </si>
  <si>
    <t>VPT88.9</t>
  </si>
  <si>
    <t>Тройник из нержавеющей стали88.9x88.9x88.9  "VER-PRO" (5/1шт)</t>
  </si>
  <si>
    <t>2 953.23 руб.</t>
  </si>
  <si>
    <t>VER-001034</t>
  </si>
  <si>
    <t>VPT108</t>
  </si>
  <si>
    <t>Тройник из нержавеющей стали108x108x108  "VER-PRO" (2/1шт)</t>
  </si>
  <si>
    <t>4 354.14 руб.</t>
  </si>
  <si>
    <t>VER-001035</t>
  </si>
  <si>
    <t>VPCL64</t>
  </si>
  <si>
    <t>Уголок 45° внутренний/внутренний из нержавеющей стали 64x64  "VER-PRO" (2/1шт)</t>
  </si>
  <si>
    <t>1 722.84 руб.</t>
  </si>
  <si>
    <t>VER-001036</t>
  </si>
  <si>
    <t>VPCL76.1</t>
  </si>
  <si>
    <t>Уголок 45° внутренний/внутренний из нержавеющей стали 76.1x76.1  "VER-PRO" (10/1шт)</t>
  </si>
  <si>
    <t>2 259.39 руб.</t>
  </si>
  <si>
    <t>VER-001037</t>
  </si>
  <si>
    <t>VPCL88.9</t>
  </si>
  <si>
    <t>Уголок 45° внутренний/внутренний из нержавеющей стали 88.9x88.9  "VER-PRO" (7/1шт)</t>
  </si>
  <si>
    <t>2 917.95 руб.</t>
  </si>
  <si>
    <t>VER-001038</t>
  </si>
  <si>
    <t>VPCL108</t>
  </si>
  <si>
    <t>Уголок 45° внутренний/внутренний из нержавеющей стали 108x108  "VER-PRO" (4/1шт)</t>
  </si>
  <si>
    <t>3 711.75 руб.</t>
  </si>
  <si>
    <t>VER-001039</t>
  </si>
  <si>
    <t>VPDL64</t>
  </si>
  <si>
    <t>Уголок 45° из нержавеющей стали 64ax64a  "VER-PRO" (2/1шт)</t>
  </si>
  <si>
    <t>1 600.83 руб.</t>
  </si>
  <si>
    <t>VER-001040</t>
  </si>
  <si>
    <t>VPDL76.1</t>
  </si>
  <si>
    <t>Уголок 45° из нержавеющей стали 76.1ax76.1a  "VER-PRO" (10/1шт)</t>
  </si>
  <si>
    <t>2 618.07 руб.</t>
  </si>
  <si>
    <t>VER-001041</t>
  </si>
  <si>
    <t>VPDL88.9</t>
  </si>
  <si>
    <t>Уголок 45° из нержавеющей стали 88.9ax88.9a  "VER-PRO" (7/1шт)</t>
  </si>
  <si>
    <t>3 344.25 руб.</t>
  </si>
  <si>
    <t>VER-001042</t>
  </si>
  <si>
    <t>VPAL64</t>
  </si>
  <si>
    <t>Уголок 90° внутренний/внутренний из нержавеющей стали 64x64  "VER-PRO" (15/1шт)</t>
  </si>
  <si>
    <t>1 605.24 руб.</t>
  </si>
  <si>
    <t>VER-001043</t>
  </si>
  <si>
    <t>VPAL76.1</t>
  </si>
  <si>
    <t>Уголок 90° внутренний/внутренний из нержавеющей стали 76.1x76.1  "VER-PRO" (9/1шт)</t>
  </si>
  <si>
    <t>2 434.32 руб.</t>
  </si>
  <si>
    <t>VER-001044</t>
  </si>
  <si>
    <t>VPAL88.9</t>
  </si>
  <si>
    <t>Уголок 90° внутренний/внутренний из нержавеющей стали 88.9x88.9  "VER-PRO" (6/1шт)</t>
  </si>
  <si>
    <t>3 150.21 руб.</t>
  </si>
  <si>
    <t>VER-001045</t>
  </si>
  <si>
    <t>VPAL108</t>
  </si>
  <si>
    <t>Уголок 90° внутренний/внутренний из нержавеющей стали 108x108  "VER-PRO" (14/1шт)</t>
  </si>
  <si>
    <t>3 958.71 руб.</t>
  </si>
  <si>
    <t>VER-001046</t>
  </si>
  <si>
    <t>VPBL64</t>
  </si>
  <si>
    <t>Уголок 90° из нержавеющей стали 64а×64  "VER-PRO" (14/1шт)</t>
  </si>
  <si>
    <t>2 306.43 руб.</t>
  </si>
  <si>
    <t>VER-001047</t>
  </si>
  <si>
    <t>VPBL76.1</t>
  </si>
  <si>
    <t>Уголок 90° из нержавеющей стали 76.1ax76.1  "VER-PRO" (9/1шт)</t>
  </si>
  <si>
    <t>2 822.40 руб.</t>
  </si>
  <si>
    <t>VER-001048</t>
  </si>
  <si>
    <t>VPBL88.9</t>
  </si>
  <si>
    <t>Уголок 90° из нержавеющей стали 88.9ax88.9  "VER-PRO" (6/1шт)</t>
  </si>
  <si>
    <t>3 739.68 руб.</t>
  </si>
  <si>
    <t>VER-001049</t>
  </si>
  <si>
    <t>VPBL108</t>
  </si>
  <si>
    <t>Уголок 90° из нержавеющей стали 108ax108  "VER-PRO" (4/1шт)</t>
  </si>
  <si>
    <t>4 830.42 руб.</t>
  </si>
  <si>
    <t>VER-001050</t>
  </si>
  <si>
    <t>VPS64</t>
  </si>
  <si>
    <t>Муфта надвижная раструб - раструб 64x64 (4/1шт)</t>
  </si>
  <si>
    <t>1 528.80 руб.</t>
  </si>
  <si>
    <t>VER-001051</t>
  </si>
  <si>
    <t>VPS76.1</t>
  </si>
  <si>
    <t>Муфта надвижная раструб - раструб 76.1x76.1 (12/1шт)</t>
  </si>
  <si>
    <t>2 018.31 руб.</t>
  </si>
  <si>
    <t>VER-001052</t>
  </si>
  <si>
    <t>VPS88.9</t>
  </si>
  <si>
    <t>Муфта надвижная раструб - раструб 88.9x88.9 (8/1шт)</t>
  </si>
  <si>
    <t>1 603.77 руб.</t>
  </si>
  <si>
    <t>VER-001053</t>
  </si>
  <si>
    <t>VPS108</t>
  </si>
  <si>
    <t>Муфта надвижная раструб - раструб 108x108 (4/1шт)</t>
  </si>
  <si>
    <t>3 160.50 руб.</t>
  </si>
  <si>
    <t>VER-001054</t>
  </si>
  <si>
    <t>VPOD64-9</t>
  </si>
  <si>
    <t>Фланец из нерж. стали с прессовым соединением OD64x2 1/2" (1шт)</t>
  </si>
  <si>
    <t>6 181.35 руб.</t>
  </si>
  <si>
    <t>VER-001055</t>
  </si>
  <si>
    <t>VPOD76.1-9</t>
  </si>
  <si>
    <t>Фланец из нерж. стали с прессовым соединением OD76.1x2 1/2" (1шт)</t>
  </si>
  <si>
    <t>6 168.12 руб.</t>
  </si>
  <si>
    <t>VER-001056</t>
  </si>
  <si>
    <t>VPOD76.1-10</t>
  </si>
  <si>
    <t>Фланец из нерж. стали с прессовым соединением OD76.1x3" (6/1шт)</t>
  </si>
  <si>
    <t>7 125.09 руб.</t>
  </si>
  <si>
    <t>VER-001057</t>
  </si>
  <si>
    <t>VPOD88.9-11</t>
  </si>
  <si>
    <t>Фланец из нерж. стали с прессовым соединением OD88.9x3.5" (6/1шт)</t>
  </si>
  <si>
    <t>7 397.04 руб.</t>
  </si>
  <si>
    <t>VER-001058</t>
  </si>
  <si>
    <t>VPOD108-12</t>
  </si>
  <si>
    <t>Фланец из нерж. стали с прессовым соединением OD108x4" (4/1шт)</t>
  </si>
  <si>
    <t>8 664.18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</si>
  <si>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</si>
  <si>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</si>
  <si>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</si>
  <si>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16.17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</si>
  <si>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</si>
  <si>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</si>
  <si>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</si>
  <si>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22.05 руб.</t>
  </si>
  <si>
    <t>VER-001177</t>
  </si>
  <si>
    <t>VPSM154</t>
  </si>
  <si>
    <t>Соединитель прямой с переходом на наружную резьбу15×3/4"  "VER-PRO"   (80/5шт)</t>
  </si>
  <si>
    <t>194.04 руб.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</si>
  <si>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</si>
  <si>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</si>
  <si>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</si>
  <si>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</si>
  <si>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</si>
  <si>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</si>
  <si>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</si>
  <si>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</si>
  <si>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</si>
  <si>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455.70 руб.</t>
  </si>
  <si>
    <t>VER-001181</t>
  </si>
  <si>
    <t>VPTF35435</t>
  </si>
  <si>
    <t>Тройник с переходом на внутреннюю резьбу 35×3/4"×35  "VER-PRO" (20/2шт)</t>
  </si>
  <si>
    <t>602.70 руб.</t>
  </si>
  <si>
    <t>VER-001182</t>
  </si>
  <si>
    <t>VPDL108</t>
  </si>
  <si>
    <t>Уголок 45° из нержавеющей стали 108ax108a  "VER-PRO" (2/1шт)</t>
  </si>
  <si>
    <t>4 085.13 руб.</t>
  </si>
  <si>
    <t>VER-001183</t>
  </si>
  <si>
    <t>VPG2828A</t>
  </si>
  <si>
    <t>Обвод из нержавеющей стали 28×28  "VER-PRO" (12/1шт)</t>
  </si>
  <si>
    <t>686.49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</si>
  <si>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</si>
  <si>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</si>
  <si>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</si>
  <si>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</si>
  <si>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</si>
  <si>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</si>
  <si>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217.56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</si>
  <si>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</si>
  <si>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</si>
  <si>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</si>
  <si>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</si>
  <si>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</si>
  <si>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</si>
  <si>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285.18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</si>
  <si>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</si>
  <si>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</si>
  <si>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</si>
  <si>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</si>
  <si>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</si>
  <si>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</si>
  <si>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</si>
  <si>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</si>
  <si>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</si>
  <si>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</si>
  <si>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</si>
  <si>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</si>
  <si>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</si>
  <si>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</si>
  <si>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</si>
  <si>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570.36 руб.</t>
  </si>
  <si>
    <t>VER-001193</t>
  </si>
  <si>
    <t>VPBM427</t>
  </si>
  <si>
    <t>Вставка из нерж. стали с наружной резьбой 42×1 1/2" (16/2шт)</t>
  </si>
  <si>
    <t>824.67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</si>
  <si>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</si>
  <si>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</si>
  <si>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</si>
  <si>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</si>
  <si>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</si>
  <si>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</si>
  <si>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198.45 руб.</t>
  </si>
  <si>
    <t>VER-001196</t>
  </si>
  <si>
    <t>VPBF154</t>
  </si>
  <si>
    <t>Вставка из нерж. стали с внутренней резьбой 15х3/4" (90/5шт)</t>
  </si>
  <si>
    <t>211.68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</si>
  <si>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</si>
  <si>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</si>
  <si>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</si>
  <si>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</si>
  <si>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</si>
  <si>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</si>
  <si>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276.36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</si>
  <si>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</si>
  <si>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</si>
  <si>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</si>
  <si>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</si>
  <si>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</si>
  <si>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</si>
  <si>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</si>
  <si>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</si>
  <si>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</si>
  <si>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</si>
  <si>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</si>
  <si>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</si>
  <si>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389.55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</si>
  <si>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</si>
  <si>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</si>
  <si>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</si>
  <si>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</si>
  <si>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</si>
  <si>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</si>
  <si>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761.46 руб.</t>
  </si>
  <si>
    <t>VER-001205</t>
  </si>
  <si>
    <t>VPBF548</t>
  </si>
  <si>
    <t>Вставка из нерж. стали с внутренней резьбой 54×2" (10/1шт)</t>
  </si>
  <si>
    <t>1 101.03 руб.</t>
  </si>
  <si>
    <t>VER-001206</t>
  </si>
  <si>
    <t>VP15-716</t>
  </si>
  <si>
    <t>Отвод 90° 15x70x60 (45/5шт)</t>
  </si>
  <si>
    <t>111.72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</si>
  <si>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</si>
  <si>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</si>
  <si>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</si>
  <si>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</si>
  <si>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</si>
  <si>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</si>
  <si>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5 400.78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</si>
  <si>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</si>
  <si>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</si>
  <si>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</si>
  <si>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</si>
  <si>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</si>
  <si>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</si>
  <si>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</si>
  <si>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</si>
  <si>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</si>
  <si>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301.35 руб.</t>
  </si>
  <si>
    <t>VER-001440</t>
  </si>
  <si>
    <t>VPXF2215</t>
  </si>
  <si>
    <t>Пресс-крестовина из нержавеющей стали OD22x15(18/2шт)</t>
  </si>
  <si>
    <t>341.04 руб.</t>
  </si>
  <si>
    <t>VER-001441</t>
  </si>
  <si>
    <t>VPXF2218</t>
  </si>
  <si>
    <t>Пресс-крестовина из нержавеющей стали OD22x18(18/2шт)</t>
  </si>
  <si>
    <t>320.46 руб.</t>
  </si>
  <si>
    <t>VER-001442</t>
  </si>
  <si>
    <t>VPXF2222</t>
  </si>
  <si>
    <t>Пресс-крестовина из нержавеющей стали OD22x22(18/2шт)</t>
  </si>
  <si>
    <t>339.57 руб.</t>
  </si>
  <si>
    <t>VER-001443</t>
  </si>
  <si>
    <t>VPXF2822</t>
  </si>
  <si>
    <t>Пресс-крестовина из нержавеющей стали OD28x22(12/2шт)</t>
  </si>
  <si>
    <t>407.19 руб.</t>
  </si>
  <si>
    <t>VER-001444</t>
  </si>
  <si>
    <t>VPXF2828</t>
  </si>
  <si>
    <t>Пресс-крестовина из нержавеющей стали OD28x28(12/2шт)</t>
  </si>
  <si>
    <t>VER-001593</t>
  </si>
  <si>
    <t>VPOD18</t>
  </si>
  <si>
    <t>Компенсатор из нерж.стали сильфонный осевой Ø18 (25/1шт)</t>
  </si>
  <si>
    <t>1 167.18 руб.</t>
  </si>
  <si>
    <t>VER-001594</t>
  </si>
  <si>
    <t>VPOD22</t>
  </si>
  <si>
    <t>Компенсатор из нерж.стали сильфонный осевой Ø22 (25/1шт)</t>
  </si>
  <si>
    <t>1 296.54 руб.</t>
  </si>
  <si>
    <t>VER-001595</t>
  </si>
  <si>
    <t>VPOD28</t>
  </si>
  <si>
    <t>Компенсатор из нерж.стали сильфонный осевой Ø28 (20/1шт)</t>
  </si>
  <si>
    <t>1 340.64 руб.</t>
  </si>
  <si>
    <t>VER-001596</t>
  </si>
  <si>
    <t>VPOD35</t>
  </si>
  <si>
    <t>Компенсатор из нерж.стали сильфонный осевой Ø35 (10/1шт)</t>
  </si>
  <si>
    <t>1 644.93 руб.</t>
  </si>
  <si>
    <t>VER-001597</t>
  </si>
  <si>
    <t>VPOD42</t>
  </si>
  <si>
    <t>Компенсатор из нерж.стали сильфонный осевой Ø42 (8/1шт)</t>
  </si>
  <si>
    <t>1 908.06 руб.</t>
  </si>
  <si>
    <t>VER-001598</t>
  </si>
  <si>
    <t>VPOD54</t>
  </si>
  <si>
    <t>Компенсатор из нерж.стали сильфонный осевой Ø54 (5/1шт)</t>
  </si>
  <si>
    <t>2 516.64 руб.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</si>
  <si>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</si>
  <si>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</si>
  <si>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</si>
  <si>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</si>
  <si>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</si>
  <si>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</si>
  <si>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</si>
  <si>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</si>
  <si>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</si>
  <si>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329.28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</si>
  <si>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</si>
  <si>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</si>
  <si>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</si>
  <si>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</si>
  <si>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</si>
  <si>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</si>
  <si>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589.47 руб.</t>
  </si>
  <si>
    <t>VER-001746</t>
  </si>
  <si>
    <t>VPZ01-1618</t>
  </si>
  <si>
    <t>Переходник с надвижной гильзы под пресс нерж.сталь 16x18 (80шт)</t>
  </si>
  <si>
    <t>292.53 руб.</t>
  </si>
  <si>
    <t>VER-001747</t>
  </si>
  <si>
    <t>VPZ01-3228</t>
  </si>
  <si>
    <t>Переходник с надвижной гильзы под пресс нерж.сталь 32x28 (32шт)</t>
  </si>
  <si>
    <t>571.83 руб.</t>
  </si>
  <si>
    <t>VER-001748</t>
  </si>
  <si>
    <t>VPZ01-2522</t>
  </si>
  <si>
    <t>Переходник с надвижной гильзы под пресс нерж.сталь 25x22 (52шт)</t>
  </si>
  <si>
    <t>388.08 руб.</t>
  </si>
  <si>
    <t>VER-001784</t>
  </si>
  <si>
    <t>VPEL1615</t>
  </si>
  <si>
    <t>Уголок 90° переходной с надвижной гильзы под пресс нерж.сталь раструб 16x15  (80шт)</t>
  </si>
  <si>
    <t>364.56 руб.</t>
  </si>
  <si>
    <t>VER-001785</t>
  </si>
  <si>
    <t>VPEL2018</t>
  </si>
  <si>
    <t>Уголок 90° переходной с надвижной гильзы под пресс нерж.сталь раструб 20x18 (60шт)</t>
  </si>
  <si>
    <t>VER-001786</t>
  </si>
  <si>
    <t>VPEL2522</t>
  </si>
  <si>
    <t>Уголок 90° переходной с надвижной гильзы под пресс нерж.сталь раструб 25x22 (40шт)</t>
  </si>
  <si>
    <t>532.14 руб.</t>
  </si>
  <si>
    <t>VER-001787</t>
  </si>
  <si>
    <t>VPEL3228</t>
  </si>
  <si>
    <t>Уголок 90° переходной с надвижной гильзы под пресс нерж.сталь раструб 32x28 (21шт)</t>
  </si>
  <si>
    <t>VER-001788</t>
  </si>
  <si>
    <t>VPT76.15476.1</t>
  </si>
  <si>
    <t>Тройник из нержавеющей стали76.1x54x76.1 (8шт)</t>
  </si>
  <si>
    <t>2 177.07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</si>
</sst>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Relationship Id="rId31" Type="http://schemas.openxmlformats.org/officeDocument/2006/relationships/image" Target="../media/c6a1720b_86a5_11e9_8101_003048fd731b_7017f105_a59b_11ee_a526_047c1617b14331.jpeg"/><Relationship Id="rId32" Type="http://schemas.openxmlformats.org/officeDocument/2006/relationships/image" Target="../media/c6a1720d_86a5_11e9_8101_003048fd731b_7017f106_a59b_11ee_a526_047c1617b14332.jpeg"/><Relationship Id="rId33" Type="http://schemas.openxmlformats.org/officeDocument/2006/relationships/image" Target="../media/c6a1720f_86a5_11e9_8101_003048fd731b_7017f107_a59b_11ee_a526_047c1617b14333.jpeg"/><Relationship Id="rId34" Type="http://schemas.openxmlformats.org/officeDocument/2006/relationships/image" Target="../media/8280a1b0_369d_11ea_810f_003048fd731b_7017f108_a59b_11ee_a526_047c1617b14334.jpeg"/><Relationship Id="rId35" Type="http://schemas.openxmlformats.org/officeDocument/2006/relationships/image" Target="../media/e54756f2_35e6_11ea_810f_003048fd731b_ac993d55_476f_11ea_810f_003048fd731b35.jpeg"/><Relationship Id="rId36" Type="http://schemas.openxmlformats.org/officeDocument/2006/relationships/image" Target="../media/1f13c40f_37d2_11ef_a5e9_047c1617b143_19e96868_793a_11f0_a79f_047c1617b14336.jpeg"/><Relationship Id="rId37" Type="http://schemas.openxmlformats.org/officeDocument/2006/relationships/image" Target="../media/14ba1472_ce2b_11f0_a80d_047c1617b143_b4b9bca1_d8cb_11f0_a81b_047c1617b14337.png"/><Relationship Id="rId38" Type="http://schemas.openxmlformats.org/officeDocument/2006/relationships/image" Target="../media/14ba1474_ce2b_11f0_a80d_047c1617b143_b4b9bca2_d8cb_11f0_a81b_047c1617b14338.png"/><Relationship Id="rId39" Type="http://schemas.openxmlformats.org/officeDocument/2006/relationships/image" Target="../media/14ba1476_ce2b_11f0_a80d_047c1617b143_b4b9bca3_d8cb_11f0_a81b_047c1617b14339.png"/><Relationship Id="rId40" Type="http://schemas.openxmlformats.org/officeDocument/2006/relationships/image" Target="../media/14ba1478_ce2b_11f0_a80d_047c1617b143_b4b9bca4_d8cb_11f0_a81b_047c1617b14340.png"/><Relationship Id="rId41" Type="http://schemas.openxmlformats.org/officeDocument/2006/relationships/image" Target="../media/f97c4db8_e161_11f0_a826_047c1617b143_0a6f3ab8_310d_11f1_a89b_047c1617b14341.jpeg"/><Relationship Id="rId42" Type="http://schemas.openxmlformats.org/officeDocument/2006/relationships/image" Target="../media/f97c4dba_e161_11f0_a826_047c1617b143_0a6f3aba_310d_11f1_a89b_047c1617b14342.jpeg"/><Relationship Id="rId43" Type="http://schemas.openxmlformats.org/officeDocument/2006/relationships/image" Target="../media/f97c4dbc_e161_11f0_a826_047c1617b143_0a6f3abc_310d_11f1_a89b_047c1617b14343.jpeg"/><Relationship Id="rId44" Type="http://schemas.openxmlformats.org/officeDocument/2006/relationships/image" Target="../media/f97c4dbe_e161_11f0_a826_047c1617b143_0a6f3abe_310d_11f1_a89b_047c1617b14344.jpeg"/><Relationship Id="rId45" Type="http://schemas.openxmlformats.org/officeDocument/2006/relationships/image" Target="../media/f97c4dc0_e161_11f0_a826_047c1617b143_0a6f3ac0_310d_11f1_a89b_047c1617b14345.jpeg"/><Relationship Id="rId46" Type="http://schemas.openxmlformats.org/officeDocument/2006/relationships/image" Target="../media/f97c4dc2_e161_11f0_a826_047c1617b143_0a6f3ac2_310d_11f1_a89b_047c1617b14346.jpeg"/><Relationship Id="rId47" Type="http://schemas.openxmlformats.org/officeDocument/2006/relationships/image" Target="../media/f97c4dc4_e161_11f0_a826_047c1617b143_0a6f3ac4_310d_11f1_a89b_047c1617b14347.jpeg"/><Relationship Id="rId48" Type="http://schemas.openxmlformats.org/officeDocument/2006/relationships/image" Target="../media/c6a1728d_86a5_11e9_8101_003048fd731b_e28851ce_a59b_11ee_a526_047c1617b14348.jpeg"/><Relationship Id="rId49" Type="http://schemas.openxmlformats.org/officeDocument/2006/relationships/image" Target="../media/c6a1728f_86a5_11e9_8101_003048fd731b_e28851cf_a59b_11ee_a526_047c1617b14349.jpeg"/><Relationship Id="rId50" Type="http://schemas.openxmlformats.org/officeDocument/2006/relationships/image" Target="../media/c6a17291_86a5_11e9_8101_003048fd731b_e28851d0_a59b_11ee_a526_047c1617b14350.jpeg"/><Relationship Id="rId51" Type="http://schemas.openxmlformats.org/officeDocument/2006/relationships/image" Target="../media/c6a17293_86a5_11e9_8101_003048fd731b_e28851d1_a59b_11ee_a526_047c1617b14351.jpeg"/><Relationship Id="rId52" Type="http://schemas.openxmlformats.org/officeDocument/2006/relationships/image" Target="../media/c6a17295_86a5_11e9_8101_003048fd731b_e28851d2_a59b_11ee_a526_047c1617b14352.jpeg"/><Relationship Id="rId53" Type="http://schemas.openxmlformats.org/officeDocument/2006/relationships/image" Target="../media/c6a17297_86a5_11e9_8101_003048fd731b_e28851d3_a59b_11ee_a526_047c1617b14353.jpeg"/><Relationship Id="rId54" Type="http://schemas.openxmlformats.org/officeDocument/2006/relationships/image" Target="../media/c6a17299_86a5_11e9_8101_003048fd731b_e28851d4_a59b_11ee_a526_047c1617b14354.jpeg"/><Relationship Id="rId55" Type="http://schemas.openxmlformats.org/officeDocument/2006/relationships/image" Target="../media/c6a1729b_86a5_11e9_8101_003048fd731b_e28851d5_a59b_11ee_a526_047c1617b14355.jpeg"/><Relationship Id="rId56" Type="http://schemas.openxmlformats.org/officeDocument/2006/relationships/image" Target="../media/60a9d7bf_d53f_11e9_8109_003048fd731b_e28851d6_a59b_11ee_a526_047c1617b14356.jpeg"/><Relationship Id="rId57" Type="http://schemas.openxmlformats.org/officeDocument/2006/relationships/image" Target="../media/60a9d7c4_d53f_11e9_8109_003048fd731b_e28851d7_a59b_11ee_a526_047c1617b14357.jpeg"/><Relationship Id="rId58" Type="http://schemas.openxmlformats.org/officeDocument/2006/relationships/image" Target="../media/60a9d7c7_d53f_11e9_8109_003048fd731b_e28851d8_a59b_11ee_a526_047c1617b14358.jpeg"/><Relationship Id="rId59" Type="http://schemas.openxmlformats.org/officeDocument/2006/relationships/image" Target="../media/60a9d7cc_d53f_11e9_8109_003048fd731b_e28851d9_a59b_11ee_a526_047c1617b14359.jpeg"/><Relationship Id="rId60" Type="http://schemas.openxmlformats.org/officeDocument/2006/relationships/image" Target="../media/60a9d7ce_d53f_11e9_8109_003048fd731b_e28851da_a59b_11ee_a526_047c1617b14360.jpeg"/><Relationship Id="rId61" Type="http://schemas.openxmlformats.org/officeDocument/2006/relationships/image" Target="../media/60a9d7d0_d53f_11e9_8109_003048fd731b_e28851db_a59b_11ee_a526_047c1617b14361.jpeg"/><Relationship Id="rId62" Type="http://schemas.openxmlformats.org/officeDocument/2006/relationships/image" Target="../media/60a9d7d2_d53f_11e9_8109_003048fd731b_e28851dc_a59b_11ee_a526_047c1617b14362.jpeg"/><Relationship Id="rId63" Type="http://schemas.openxmlformats.org/officeDocument/2006/relationships/image" Target="../media/60a9d7d4_d53f_11e9_8109_003048fd731b_e28851dd_a59b_11ee_a526_047c1617b14363.jpeg"/><Relationship Id="rId64" Type="http://schemas.openxmlformats.org/officeDocument/2006/relationships/image" Target="../media/a9089673_d540_11e9_8109_003048fd731b_e28851de_a59b_11ee_a526_047c1617b14364.jpeg"/><Relationship Id="rId65" Type="http://schemas.openxmlformats.org/officeDocument/2006/relationships/image" Target="../media/a9089675_d540_11e9_8109_003048fd731b_e28851df_a59b_11ee_a526_047c1617b14365.jpeg"/><Relationship Id="rId66" Type="http://schemas.openxmlformats.org/officeDocument/2006/relationships/image" Target="../media/a9089677_d540_11e9_8109_003048fd731b_e28851e0_a59b_11ee_a526_047c1617b14366.jpeg"/><Relationship Id="rId67" Type="http://schemas.openxmlformats.org/officeDocument/2006/relationships/image" Target="../media/a9089679_d540_11e9_8109_003048fd731b_e28851e1_a59b_11ee_a526_047c1617b14367.jpeg"/><Relationship Id="rId68" Type="http://schemas.openxmlformats.org/officeDocument/2006/relationships/image" Target="../media/a908967b_d540_11e9_8109_003048fd731b_e28851e2_a59b_11ee_a526_047c1617b14368.jpeg"/><Relationship Id="rId69" Type="http://schemas.openxmlformats.org/officeDocument/2006/relationships/image" Target="../media/a908967d_d540_11e9_8109_003048fd731b_e28851e3_a59b_11ee_a526_047c1617b14369.jpeg"/><Relationship Id="rId70" Type="http://schemas.openxmlformats.org/officeDocument/2006/relationships/image" Target="../media/a908967f_d540_11e9_8109_003048fd731b_e28851e4_a59b_11ee_a526_047c1617b14370.jpeg"/><Relationship Id="rId71" Type="http://schemas.openxmlformats.org/officeDocument/2006/relationships/image" Target="../media/a9089681_d540_11e9_8109_003048fd731b_e28851e5_a59b_11ee_a526_047c1617b14371.jpeg"/><Relationship Id="rId72" Type="http://schemas.openxmlformats.org/officeDocument/2006/relationships/image" Target="../media/a9089683_d540_11e9_8109_003048fd731b_592215d3_11fe_11ef_a5b8_047c1617b14372.jpeg"/><Relationship Id="rId73" Type="http://schemas.openxmlformats.org/officeDocument/2006/relationships/image" Target="../media/a9089685_d540_11e9_8109_003048fd731b_e28851e6_a59b_11ee_a526_047c1617b14373.jpeg"/><Relationship Id="rId74" Type="http://schemas.openxmlformats.org/officeDocument/2006/relationships/image" Target="../media/a9089687_d540_11e9_8109_003048fd731b_e28851e7_a59b_11ee_a526_047c1617b14374.jpeg"/><Relationship Id="rId75" Type="http://schemas.openxmlformats.org/officeDocument/2006/relationships/image" Target="../media/a9089689_d540_11e9_8109_003048fd731b_e28851e8_a59b_11ee_a526_047c1617b14375.jpeg"/><Relationship Id="rId76" Type="http://schemas.openxmlformats.org/officeDocument/2006/relationships/image" Target="../media/a908968b_d540_11e9_8109_003048fd731b_e28851e9_a59b_11ee_a526_047c1617b14376.jpeg"/><Relationship Id="rId77" Type="http://schemas.openxmlformats.org/officeDocument/2006/relationships/image" Target="../media/a908968d_d540_11e9_8109_003048fd731b_e28851ea_a59b_11ee_a526_047c1617b14377.jpeg"/><Relationship Id="rId78" Type="http://schemas.openxmlformats.org/officeDocument/2006/relationships/image" Target="../media/a908968f_d540_11e9_8109_003048fd731b_e28851eb_a59b_11ee_a526_047c1617b14378.jpeg"/><Relationship Id="rId79" Type="http://schemas.openxmlformats.org/officeDocument/2006/relationships/image" Target="../media/a9089691_d540_11e9_8109_003048fd731b_e28851ec_a59b_11ee_a526_047c1617b14379.jpeg"/><Relationship Id="rId80" Type="http://schemas.openxmlformats.org/officeDocument/2006/relationships/image" Target="../media/a9089693_d540_11e9_8109_003048fd731b_e28851ed_a59b_11ee_a526_047c1617b14380.jpeg"/><Relationship Id="rId81" Type="http://schemas.openxmlformats.org/officeDocument/2006/relationships/image" Target="../media/a9089695_d540_11e9_8109_003048fd731b_e28851ee_a59b_11ee_a526_047c1617b14381.jpeg"/><Relationship Id="rId82" Type="http://schemas.openxmlformats.org/officeDocument/2006/relationships/image" Target="../media/a9089697_d540_11e9_8109_003048fd731b_e28851ef_a59b_11ee_a526_047c1617b14382.jpeg"/><Relationship Id="rId83" Type="http://schemas.openxmlformats.org/officeDocument/2006/relationships/image" Target="../media/a9089699_d540_11e9_8109_003048fd731b_e28851f0_a59b_11ee_a526_047c1617b14383.jpeg"/><Relationship Id="rId84" Type="http://schemas.openxmlformats.org/officeDocument/2006/relationships/image" Target="../media/d0d91a89_7762_11ec_a212_00259070b487_22f63782_11b9_11ef_a5b8_047c1617b14384.jpeg"/><Relationship Id="rId85" Type="http://schemas.openxmlformats.org/officeDocument/2006/relationships/image" Target="../media/e23bb3e2_c446_11ec_a27f_00259070b487_22f63784_11b9_11ef_a5b8_047c1617b14385.jpeg"/><Relationship Id="rId86" Type="http://schemas.openxmlformats.org/officeDocument/2006/relationships/image" Target="../media/e23bb3e4_c446_11ec_a27f_00259070b487_22f63786_11b9_11ef_a5b8_047c1617b14386.jpeg"/><Relationship Id="rId87" Type="http://schemas.openxmlformats.org/officeDocument/2006/relationships/image" Target="../media/2d78e13d_dbed_11ec_a2a4_00259070b487_22f63785_11b9_11ef_a5b8_047c1617b14387.jpeg"/><Relationship Id="rId88" Type="http://schemas.openxmlformats.org/officeDocument/2006/relationships/image" Target="../media/2d78e13f_dbed_11ec_a2a4_00259070b487_22f63780_11b9_11ef_a5b8_047c1617b14388.jpeg"/><Relationship Id="rId89" Type="http://schemas.openxmlformats.org/officeDocument/2006/relationships/image" Target="../media/2d78e141_dbed_11ec_a2a4_00259070b487_22f63781_11b9_11ef_a5b8_047c1617b14389.jpeg"/><Relationship Id="rId90" Type="http://schemas.openxmlformats.org/officeDocument/2006/relationships/image" Target="../media/2d78e143_dbed_11ec_a2a4_00259070b487_22f63783_11b9_11ef_a5b8_047c1617b14390.jpeg"/><Relationship Id="rId91" Type="http://schemas.openxmlformats.org/officeDocument/2006/relationships/image" Target="../media/3e8472a2_afd7_11ef_a68d_047c1617b143_d92286e3_f1db_11ef_a6e1_047c1617b14391.jpeg"/><Relationship Id="rId92" Type="http://schemas.openxmlformats.org/officeDocument/2006/relationships/image" Target="../media/3e8472a4_afd7_11ef_a68d_047c1617b143_d92286e4_f1db_11ef_a6e1_047c1617b14392.jpeg"/><Relationship Id="rId93" Type="http://schemas.openxmlformats.org/officeDocument/2006/relationships/image" Target="../media/3e8472a6_afd7_11ef_a68d_047c1617b143_d92286e5_f1db_11ef_a6e1_047c1617b14393.jpeg"/><Relationship Id="rId94" Type="http://schemas.openxmlformats.org/officeDocument/2006/relationships/image" Target="../media/3e8472a8_afd7_11ef_a68d_047c1617b143_d92286e6_f1db_11ef_a6e1_047c1617b14394.jpeg"/><Relationship Id="rId95" Type="http://schemas.openxmlformats.org/officeDocument/2006/relationships/image" Target="../media/3e8472aa_afd7_11ef_a68d_047c1617b143_d92286e7_f1db_11ef_a6e1_047c1617b14395.jpeg"/><Relationship Id="rId96" Type="http://schemas.openxmlformats.org/officeDocument/2006/relationships/image" Target="../media/3e8472ac_afd7_11ef_a68d_047c1617b143_d92286e8_f1db_11ef_a6e1_047c1617b14396.jpeg"/><Relationship Id="rId97" Type="http://schemas.openxmlformats.org/officeDocument/2006/relationships/image" Target="../media/3e8472c8_afd7_11ef_a68d_047c1617b143_d92286e9_f1db_11ef_a6e1_047c1617b14397.jpeg"/><Relationship Id="rId98" Type="http://schemas.openxmlformats.org/officeDocument/2006/relationships/image" Target="../media/3e8472ca_afd7_11ef_a68d_047c1617b143_d92286ea_f1db_11ef_a6e1_047c1617b14398.jpeg"/><Relationship Id="rId99" Type="http://schemas.openxmlformats.org/officeDocument/2006/relationships/image" Target="../media/0e877b96_ce2b_11f0_a80d_047c1617b143_ab7d8fd8_d05b_11f0_a810_047c1617b14399.jpeg"/><Relationship Id="rId100" Type="http://schemas.openxmlformats.org/officeDocument/2006/relationships/image" Target="../media/0e877b98_ce2b_11f0_a80d_047c1617b143_ab7d8fd9_d05b_11f0_a810_047c1617b143100.jpeg"/><Relationship Id="rId101" Type="http://schemas.openxmlformats.org/officeDocument/2006/relationships/image" Target="../media/0e877b9a_ce2b_11f0_a80d_047c1617b143_ab7d8fda_d05b_11f0_a810_047c1617b143101.jpeg"/><Relationship Id="rId102" Type="http://schemas.openxmlformats.org/officeDocument/2006/relationships/image" Target="../media/0e877b9c_ce2b_11f0_a80d_047c1617b143_ab7d8fdb_d05b_11f0_a810_047c1617b143102.jpeg"/><Relationship Id="rId103" Type="http://schemas.openxmlformats.org/officeDocument/2006/relationships/image" Target="../media/0e877b9e_ce2b_11f0_a80d_047c1617b143_ab7d8fdc_d05b_11f0_a810_047c1617b143103.jpeg"/><Relationship Id="rId104" Type="http://schemas.openxmlformats.org/officeDocument/2006/relationships/image" Target="../media/0e877ba0_ce2b_11f0_a80d_047c1617b143_ab7d8fdd_d05b_11f0_a810_047c1617b143104.jpeg"/><Relationship Id="rId105" Type="http://schemas.openxmlformats.org/officeDocument/2006/relationships/image" Target="../media/0e877ba2_ce2b_11f0_a80d_047c1617b143_ab7d8fde_d05b_11f0_a810_047c1617b143105.jpeg"/><Relationship Id="rId106" Type="http://schemas.openxmlformats.org/officeDocument/2006/relationships/image" Target="../media/0e877ba4_ce2b_11f0_a80d_047c1617b143_ab7d8fdf_d05b_11f0_a810_047c1617b143106.jpeg"/><Relationship Id="rId107" Type="http://schemas.openxmlformats.org/officeDocument/2006/relationships/image" Target="../media/0e877ba6_ce2b_11f0_a80d_047c1617b143_ab7d8fe0_d05b_11f0_a810_047c1617b143107.jpeg"/><Relationship Id="rId108" Type="http://schemas.openxmlformats.org/officeDocument/2006/relationships/image" Target="../media/0e877ba8_ce2b_11f0_a80d_047c1617b143_ab7d8fe1_d05b_11f0_a810_047c1617b143108.jpeg"/><Relationship Id="rId109" Type="http://schemas.openxmlformats.org/officeDocument/2006/relationships/image" Target="../media/0e877baa_ce2b_11f0_a80d_047c1617b143_0172d6b9_229c_11f1_a889_047c1617b143109.jpeg"/><Relationship Id="rId110" Type="http://schemas.openxmlformats.org/officeDocument/2006/relationships/image" Target="../media/0e877bac_ce2b_11f0_a80d_047c1617b143_ab7d8fe2_d05b_11f0_a810_047c1617b143110.jpeg"/><Relationship Id="rId111" Type="http://schemas.openxmlformats.org/officeDocument/2006/relationships/image" Target="../media/0e877bae_ce2b_11f0_a80d_047c1617b143_ab7d8fe3_d05b_11f0_a810_047c1617b143111.jpeg"/><Relationship Id="rId112" Type="http://schemas.openxmlformats.org/officeDocument/2006/relationships/image" Target="../media/0e877bb0_ce2b_11f0_a80d_047c1617b143_ab7d8fe4_d05b_11f0_a810_047c1617b143112.jpeg"/><Relationship Id="rId113" Type="http://schemas.openxmlformats.org/officeDocument/2006/relationships/image" Target="../media/0e877bb2_ce2b_11f0_a80d_047c1617b143_ab7d8fe5_d05b_11f0_a810_047c1617b143113.jpeg"/><Relationship Id="rId114" Type="http://schemas.openxmlformats.org/officeDocument/2006/relationships/image" Target="../media/0e877bb4_ce2b_11f0_a80d_047c1617b143_ab7d8fe6_d05b_11f0_a810_047c1617b143114.jpeg"/><Relationship Id="rId115" Type="http://schemas.openxmlformats.org/officeDocument/2006/relationships/image" Target="../media/0e877bb6_ce2b_11f0_a80d_047c1617b143_ab7d8fe7_d05b_11f0_a810_047c1617b143115.jpeg"/><Relationship Id="rId116" Type="http://schemas.openxmlformats.org/officeDocument/2006/relationships/image" Target="../media/0e877bb8_ce2b_11f0_a80d_047c1617b143_ab7d8fe8_d05b_11f0_a810_047c1617b143116.jpeg"/><Relationship Id="rId117" Type="http://schemas.openxmlformats.org/officeDocument/2006/relationships/image" Target="../media/0e877bba_ce2b_11f0_a80d_047c1617b143_ab7d8fe9_d05b_11f0_a810_047c1617b143117.jpeg"/><Relationship Id="rId118" Type="http://schemas.openxmlformats.org/officeDocument/2006/relationships/image" Target="../media/0e877bbc_ce2b_11f0_a80d_047c1617b143_ab7d8fea_d05b_11f0_a810_047c1617b143118.jpeg"/><Relationship Id="rId119" Type="http://schemas.openxmlformats.org/officeDocument/2006/relationships/image" Target="../media/0e877bbe_ce2b_11f0_a80d_047c1617b143_ab7d8feb_d05b_11f0_a810_047c1617b143119.jpeg"/><Relationship Id="rId120" Type="http://schemas.openxmlformats.org/officeDocument/2006/relationships/image" Target="../media/0e877bc0_ce2b_11f0_a80d_047c1617b143_ab7d8fec_d05b_11f0_a810_047c1617b143120.jpeg"/><Relationship Id="rId121" Type="http://schemas.openxmlformats.org/officeDocument/2006/relationships/image" Target="../media/0e877bc2_ce2b_11f0_a80d_047c1617b143_ab7d8fed_d05b_11f0_a810_047c1617b143121.jpeg"/><Relationship Id="rId122" Type="http://schemas.openxmlformats.org/officeDocument/2006/relationships/image" Target="../media/0e877bc4_ce2b_11f0_a80d_047c1617b143_ab7d8fee_d05b_11f0_a810_047c1617b143122.jpeg"/><Relationship Id="rId123" Type="http://schemas.openxmlformats.org/officeDocument/2006/relationships/image" Target="../media/0e877bc6_ce2b_11f0_a80d_047c1617b143_ab7d8fef_d05b_11f0_a810_047c1617b143123.jpeg"/><Relationship Id="rId124" Type="http://schemas.openxmlformats.org/officeDocument/2006/relationships/image" Target="../media/0e877bc8_ce2b_11f0_a80d_047c1617b143_ab7d8ff0_d05b_11f0_a810_047c1617b143124.jpeg"/><Relationship Id="rId125" Type="http://schemas.openxmlformats.org/officeDocument/2006/relationships/image" Target="../media/0e877bca_ce2b_11f0_a80d_047c1617b143_ab7d8ff1_d05b_11f0_a810_047c1617b143125.jpeg"/><Relationship Id="rId126" Type="http://schemas.openxmlformats.org/officeDocument/2006/relationships/image" Target="../media/0e877bcc_ce2b_11f0_a80d_047c1617b143_ab7d8ff2_d05b_11f0_a810_047c1617b143126.jpeg"/><Relationship Id="rId127" Type="http://schemas.openxmlformats.org/officeDocument/2006/relationships/image" Target="../media/14ba146c_ce2b_11f0_a80d_047c1617b143_ab7d8ff3_d05b_11f0_a810_047c1617b143127.jpeg"/><Relationship Id="rId128" Type="http://schemas.openxmlformats.org/officeDocument/2006/relationships/image" Target="../media/14ba146e_ce2b_11f0_a80d_047c1617b143_ab7d8ff4_d05b_11f0_a810_047c1617b143128.jpeg"/><Relationship Id="rId129" Type="http://schemas.openxmlformats.org/officeDocument/2006/relationships/image" Target="../media/14ba1470_ce2b_11f0_a80d_047c1617b143_ab7d8ff5_d05b_11f0_a810_047c1617b143129.jpeg"/><Relationship Id="rId130" Type="http://schemas.openxmlformats.org/officeDocument/2006/relationships/image" Target="../media/f97c4dcc_e161_11f0_a826_047c1617b143_0a6f3ac6_310d_11f1_a89b_047c1617b143130.jpeg"/><Relationship Id="rId131" Type="http://schemas.openxmlformats.org/officeDocument/2006/relationships/image" Target="../media/fad72a4f_e167_11f0_a826_047c1617b143_0a6f3ac9_310d_11f1_a89b_047c1617b143131.jpeg"/><Relationship Id="rId132" Type="http://schemas.openxmlformats.org/officeDocument/2006/relationships/image" Target="../media/c6a1729e_86a5_11e9_8101_003048fd731b_e28851f1_a59b_11ee_a526_047c1617b143132.jpeg"/><Relationship Id="rId133" Type="http://schemas.openxmlformats.org/officeDocument/2006/relationships/image" Target="../media/c6a172a2_86a5_11e9_8101_003048fd731b_592215de_11fe_11ef_a5b8_047c1617b143133.jpeg"/><Relationship Id="rId134" Type="http://schemas.openxmlformats.org/officeDocument/2006/relationships/image" Target="../media/c6a172a6_86a5_11e9_8101_003048fd731b_e28851f7_a59b_11ee_a526_047c1617b143134.jpeg"/><Relationship Id="rId135" Type="http://schemas.openxmlformats.org/officeDocument/2006/relationships/image" Target="../media/c6a172aa_86a5_11e9_8101_003048fd731b_e28851fb_a59b_11ee_a526_047c1617b143135.jpeg"/><Relationship Id="rId136" Type="http://schemas.openxmlformats.org/officeDocument/2006/relationships/image" Target="../media/c6a172ae_86a5_11e9_8101_003048fd731b_e28851ff_a59b_11ee_a526_047c1617b143136.jpeg"/><Relationship Id="rId137" Type="http://schemas.openxmlformats.org/officeDocument/2006/relationships/image" Target="../media/c6a172b2_86a5_11e9_8101_003048fd731b_e2885203_a59b_11ee_a526_047c1617b143137.jpeg"/><Relationship Id="rId138" Type="http://schemas.openxmlformats.org/officeDocument/2006/relationships/image" Target="../media/c6a172b6_86a5_11e9_8101_003048fd731b_e2885207_a59b_11ee_a526_047c1617b143138.jpeg"/><Relationship Id="rId139" Type="http://schemas.openxmlformats.org/officeDocument/2006/relationships/image" Target="../media/c6a172ba_86a5_11e9_8101_003048fd731b_e288520b_a59b_11ee_a526_047c1617b143139.jpeg"/><Relationship Id="rId140" Type="http://schemas.openxmlformats.org/officeDocument/2006/relationships/image" Target="../media/c6a172be_86a5_11e9_8101_003048fd731b_e288520f_a59b_11ee_a526_047c1617b143140.jpeg"/><Relationship Id="rId141" Type="http://schemas.openxmlformats.org/officeDocument/2006/relationships/image" Target="../media/c6a172c2_86a5_11e9_8101_003048fd731b_e2885213_a59b_11ee_a526_047c1617b143141.jpeg"/><Relationship Id="rId142" Type="http://schemas.openxmlformats.org/officeDocument/2006/relationships/image" Target="../media/c6a172c6_86a5_11e9_8101_003048fd731b_e2885217_a59b_11ee_a526_047c1617b143142.jpeg"/><Relationship Id="rId143" Type="http://schemas.openxmlformats.org/officeDocument/2006/relationships/image" Target="../media/c6a172ca_86a5_11e9_8101_003048fd731b_e288521b_a59b_11ee_a526_047c1617b143143.jpeg"/><Relationship Id="rId144" Type="http://schemas.openxmlformats.org/officeDocument/2006/relationships/image" Target="../media/c6a172ce_86a5_11e9_8101_003048fd731b_e288521f_a59b_11ee_a526_047c1617b143144.jpeg"/><Relationship Id="rId145" Type="http://schemas.openxmlformats.org/officeDocument/2006/relationships/image" Target="../media/c6a172d1_86a5_11e9_8101_003048fd731b_e2885223_a59b_11ee_a526_047c1617b143145.jpeg"/><Relationship Id="rId146" Type="http://schemas.openxmlformats.org/officeDocument/2006/relationships/image" Target="../media/c6a172d4_86a5_11e9_8101_003048fd731b_e2885227_a59b_11ee_a526_047c1617b143146.jpeg"/><Relationship Id="rId147" Type="http://schemas.openxmlformats.org/officeDocument/2006/relationships/image" Target="../media/c6a172d8_86a5_11e9_8101_003048fd731b_e288522b_a59b_11ee_a526_047c1617b143147.jpeg"/><Relationship Id="rId148" Type="http://schemas.openxmlformats.org/officeDocument/2006/relationships/image" Target="../media/c6a172dc_86a5_11e9_8101_003048fd731b_e288522f_a59b_11ee_a526_047c1617b143148.jpeg"/><Relationship Id="rId149" Type="http://schemas.openxmlformats.org/officeDocument/2006/relationships/image" Target="../media/c6a172e0_86a5_11e9_8101_003048fd731b_e2885233_a59b_11ee_a526_047c1617b143149.jpeg"/><Relationship Id="rId150" Type="http://schemas.openxmlformats.org/officeDocument/2006/relationships/image" Target="../media/c6a172e4_86a5_11e9_8101_003048fd731b_e2885237_a59b_11ee_a526_047c1617b143150.jpeg"/><Relationship Id="rId151" Type="http://schemas.openxmlformats.org/officeDocument/2006/relationships/image" Target="../media/c6a172e8_86a5_11e9_8101_003048fd731b_e288523b_a59b_11ee_a526_047c1617b143151.jpeg"/><Relationship Id="rId152" Type="http://schemas.openxmlformats.org/officeDocument/2006/relationships/image" Target="../media/c6a172ec_86a5_11e9_8101_003048fd731b_e288523f_a59b_11ee_a526_047c1617b143152.jpeg"/><Relationship Id="rId153" Type="http://schemas.openxmlformats.org/officeDocument/2006/relationships/image" Target="../media/c6a172f0_86a5_11e9_8101_003048fd731b_e2885243_a59b_11ee_a526_047c1617b143153.jpeg"/><Relationship Id="rId154" Type="http://schemas.openxmlformats.org/officeDocument/2006/relationships/image" Target="../media/c6a172f4_86a5_11e9_8101_003048fd731b_e2885247_a59b_11ee_a526_047c1617b143154.jpeg"/><Relationship Id="rId155" Type="http://schemas.openxmlformats.org/officeDocument/2006/relationships/image" Target="../media/c6a172f8_86a5_11e9_8101_003048fd731b_e288524b_a59b_11ee_a526_047c1617b143155.jpeg"/><Relationship Id="rId156" Type="http://schemas.openxmlformats.org/officeDocument/2006/relationships/image" Target="../media/c6a172fc_86a5_11e9_8101_003048fd731b_e288524f_a59b_11ee_a526_047c1617b143156.jpeg"/><Relationship Id="rId157" Type="http://schemas.openxmlformats.org/officeDocument/2006/relationships/image" Target="../media/c6a172fe_86a5_11e9_8101_003048fd731b_e2885253_a59b_11ee_a526_047c1617b143157.jpeg"/><Relationship Id="rId158" Type="http://schemas.openxmlformats.org/officeDocument/2006/relationships/image" Target="../media/c6a17301_86a5_11e9_8101_003048fd731b_e2885257_a59b_11ee_a526_047c1617b143158.jpeg"/><Relationship Id="rId159" Type="http://schemas.openxmlformats.org/officeDocument/2006/relationships/image" Target="../media/c6a17305_86a5_11e9_8101_003048fd731b_e288525b_a59b_11ee_a526_047c1617b143159.jpeg"/><Relationship Id="rId160" Type="http://schemas.openxmlformats.org/officeDocument/2006/relationships/image" Target="../media/c6a17309_86a5_11e9_8101_003048fd731b_e288525f_a59b_11ee_a526_047c1617b143160.jpeg"/><Relationship Id="rId161" Type="http://schemas.openxmlformats.org/officeDocument/2006/relationships/image" Target="../media/c6a1730d_86a5_11e9_8101_003048fd731b_e2885263_a59b_11ee_a526_047c1617b143161.jpeg"/><Relationship Id="rId162" Type="http://schemas.openxmlformats.org/officeDocument/2006/relationships/image" Target="../media/c6a17311_86a5_11e9_8101_003048fd731b_e2885267_a59b_11ee_a526_047c1617b143162.jpeg"/><Relationship Id="rId163" Type="http://schemas.openxmlformats.org/officeDocument/2006/relationships/image" Target="../media/c6a17315_86a5_11e9_8101_003048fd731b_e288526b_a59b_11ee_a526_047c1617b143163.jpeg"/><Relationship Id="rId164" Type="http://schemas.openxmlformats.org/officeDocument/2006/relationships/image" Target="../media/c6a17319_86a5_11e9_8101_003048fd731b_e288526f_a59b_11ee_a526_047c1617b143164.jpeg"/><Relationship Id="rId165" Type="http://schemas.openxmlformats.org/officeDocument/2006/relationships/image" Target="../media/c6a1731d_86a5_11e9_8101_003048fd731b_e2885273_a59b_11ee_a526_047c1617b143165.jpeg"/><Relationship Id="rId166" Type="http://schemas.openxmlformats.org/officeDocument/2006/relationships/image" Target="../media/c6a17321_86a5_11e9_8101_003048fd731b_e2885277_a59b_11ee_a526_047c1617b143166.jpeg"/><Relationship Id="rId167" Type="http://schemas.openxmlformats.org/officeDocument/2006/relationships/image" Target="../media/c6a17325_86a5_11e9_8101_003048fd731b_e288527b_a59b_11ee_a526_047c1617b143167.jpeg"/><Relationship Id="rId168" Type="http://schemas.openxmlformats.org/officeDocument/2006/relationships/image" Target="../media/c6a17329_86a5_11e9_8101_003048fd731b_e288527f_a59b_11ee_a526_047c1617b143168.jpeg"/><Relationship Id="rId169" Type="http://schemas.openxmlformats.org/officeDocument/2006/relationships/image" Target="../media/c6a1732d_86a5_11e9_8101_003048fd731b_e2885283_a59b_11ee_a526_047c1617b143169.jpeg"/><Relationship Id="rId170" Type="http://schemas.openxmlformats.org/officeDocument/2006/relationships/image" Target="../media/c6a17331_86a5_11e9_8101_003048fd731b_e2885287_a59b_11ee_a526_047c1617b143170.jpeg"/><Relationship Id="rId171" Type="http://schemas.openxmlformats.org/officeDocument/2006/relationships/image" Target="../media/c6a17335_86a5_11e9_8101_003048fd731b_e288528b_a59b_11ee_a526_047c1617b143171.jpeg"/><Relationship Id="rId172" Type="http://schemas.openxmlformats.org/officeDocument/2006/relationships/image" Target="../media/c6a17337_86a5_11e9_8101_003048fd731b_e288528f_a59b_11ee_a526_047c1617b143172.jpeg"/><Relationship Id="rId173" Type="http://schemas.openxmlformats.org/officeDocument/2006/relationships/image" Target="../media/c6a17339_86a5_11e9_8101_003048fd731b_e2885293_a59b_11ee_a526_047c1617b143173.jpeg"/><Relationship Id="rId174" Type="http://schemas.openxmlformats.org/officeDocument/2006/relationships/image" Target="../media/cd48e0cd_86a5_11e9_8101_003048fd731b_e2885297_a59b_11ee_a526_047c1617b143174.jpeg"/><Relationship Id="rId175" Type="http://schemas.openxmlformats.org/officeDocument/2006/relationships/image" Target="../media/cd48e0d0_86a5_11e9_8101_003048fd731b_e288529b_a59b_11ee_a526_047c1617b143175.jpeg"/><Relationship Id="rId176" Type="http://schemas.openxmlformats.org/officeDocument/2006/relationships/image" Target="../media/cd48e0d4_86a5_11e9_8101_003048fd731b_e288529f_a59b_11ee_a526_047c1617b143176.jpeg"/><Relationship Id="rId177" Type="http://schemas.openxmlformats.org/officeDocument/2006/relationships/image" Target="../media/cd48e0d8_86a5_11e9_8101_003048fd731b_e28852a3_a59b_11ee_a526_047c1617b143177.jpeg"/><Relationship Id="rId178" Type="http://schemas.openxmlformats.org/officeDocument/2006/relationships/image" Target="../media/cd48e0dc_86a5_11e9_8101_003048fd731b_e28852a7_a59b_11ee_a526_047c1617b143178.jpeg"/><Relationship Id="rId179" Type="http://schemas.openxmlformats.org/officeDocument/2006/relationships/image" Target="../media/cd48e0e0_86a5_11e9_8101_003048fd731b_e28852ab_a59b_11ee_a526_047c1617b143179.jpeg"/><Relationship Id="rId180" Type="http://schemas.openxmlformats.org/officeDocument/2006/relationships/image" Target="../media/cd48e0e4_86a5_11e9_8101_003048fd731b_e28852af_a59b_11ee_a526_047c1617b143180.jpeg"/><Relationship Id="rId181" Type="http://schemas.openxmlformats.org/officeDocument/2006/relationships/image" Target="../media/cd48e0e6_86a5_11e9_8101_003048fd731b_e28852b3_a59b_11ee_a526_047c1617b143181.jpeg"/><Relationship Id="rId182" Type="http://schemas.openxmlformats.org/officeDocument/2006/relationships/image" Target="../media/cd48e0e8_86a5_11e9_8101_003048fd731b_e28852b7_a59b_11ee_a526_047c1617b143182.jpeg"/><Relationship Id="rId183" Type="http://schemas.openxmlformats.org/officeDocument/2006/relationships/image" Target="../media/cd48e0ec_86a5_11e9_8101_003048fd731b_e28852bb_a59b_11ee_a526_047c1617b143183.jpeg"/><Relationship Id="rId184" Type="http://schemas.openxmlformats.org/officeDocument/2006/relationships/image" Target="../media/cd48e0f0_86a5_11e9_8101_003048fd731b_e28852bf_a59b_11ee_a526_047c1617b143184.jpeg"/><Relationship Id="rId185" Type="http://schemas.openxmlformats.org/officeDocument/2006/relationships/image" Target="../media/cd48e0f4_86a5_11e9_8101_003048fd731b_e28852c3_a59b_11ee_a526_047c1617b143185.jpeg"/><Relationship Id="rId186" Type="http://schemas.openxmlformats.org/officeDocument/2006/relationships/image" Target="../media/cd48e0f8_86a5_11e9_8101_003048fd731b_e28852c7_a59b_11ee_a526_047c1617b143186.jpeg"/><Relationship Id="rId187" Type="http://schemas.openxmlformats.org/officeDocument/2006/relationships/image" Target="../media/cd48e0fc_86a5_11e9_8101_003048fd731b_e28852cb_a59b_11ee_a526_047c1617b143187.jpeg"/><Relationship Id="rId188" Type="http://schemas.openxmlformats.org/officeDocument/2006/relationships/image" Target="../media/cd48e100_86a5_11e9_8101_003048fd731b_e28852cf_a59b_11ee_a526_047c1617b143188.jpeg"/><Relationship Id="rId189" Type="http://schemas.openxmlformats.org/officeDocument/2006/relationships/image" Target="../media/cd48e104_86a5_11e9_8101_003048fd731b_e28852d3_a59b_11ee_a526_047c1617b143189.jpeg"/><Relationship Id="rId190" Type="http://schemas.openxmlformats.org/officeDocument/2006/relationships/image" Target="../media/cd48e108_86a5_11e9_8101_003048fd731b_e28852d7_a59b_11ee_a526_047c1617b143190.jpeg"/><Relationship Id="rId191" Type="http://schemas.openxmlformats.org/officeDocument/2006/relationships/image" Target="../media/cd48e10c_86a5_11e9_8101_003048fd731b_e28852db_a59b_11ee_a526_047c1617b143191.jpeg"/><Relationship Id="rId192" Type="http://schemas.openxmlformats.org/officeDocument/2006/relationships/image" Target="../media/cd48e110_86a5_11e9_8101_003048fd731b_e28852df_a59b_11ee_a526_047c1617b143192.jpeg"/><Relationship Id="rId193" Type="http://schemas.openxmlformats.org/officeDocument/2006/relationships/image" Target="../media/cd48e114_86a5_11e9_8101_003048fd731b_e28852e3_a59b_11ee_a526_047c1617b143193.jpeg"/><Relationship Id="rId194" Type="http://schemas.openxmlformats.org/officeDocument/2006/relationships/image" Target="../media/cd48e116_86a5_11e9_8101_003048fd731b_e28852e7_a59b_11ee_a526_047c1617b143194.jpeg"/><Relationship Id="rId195" Type="http://schemas.openxmlformats.org/officeDocument/2006/relationships/image" Target="../media/cd48e11a_86a5_11e9_8101_003048fd731b_e28852eb_a59b_11ee_a526_047c1617b143195.jpeg"/><Relationship Id="rId196" Type="http://schemas.openxmlformats.org/officeDocument/2006/relationships/image" Target="../media/cd48e11c_86a5_11e9_8101_003048fd731b_e28852ef_a59b_11ee_a526_047c1617b143196.jpeg"/><Relationship Id="rId197" Type="http://schemas.openxmlformats.org/officeDocument/2006/relationships/image" Target="../media/cd48e120_86a5_11e9_8101_003048fd731b_e28852f3_a59b_11ee_a526_047c1617b143197.jpeg"/><Relationship Id="rId198" Type="http://schemas.openxmlformats.org/officeDocument/2006/relationships/image" Target="../media/cd48e124_86a5_11e9_8101_003048fd731b_e28852f7_a59b_11ee_a526_047c1617b143198.jpeg"/><Relationship Id="rId199" Type="http://schemas.openxmlformats.org/officeDocument/2006/relationships/image" Target="../media/cd48e128_86a5_11e9_8101_003048fd731b_e28852fb_a59b_11ee_a526_047c1617b143199.jpeg"/><Relationship Id="rId200" Type="http://schemas.openxmlformats.org/officeDocument/2006/relationships/image" Target="../media/cd48e12c_86a5_11e9_8101_003048fd731b_e28852ff_a59b_11ee_a526_047c1617b143200.jpeg"/><Relationship Id="rId201" Type="http://schemas.openxmlformats.org/officeDocument/2006/relationships/image" Target="../media/cd48e130_86a5_11e9_8101_003048fd731b_e2885303_a59b_11ee_a526_047c1617b143201.jpeg"/><Relationship Id="rId202" Type="http://schemas.openxmlformats.org/officeDocument/2006/relationships/image" Target="../media/cd48e134_86a5_11e9_8101_003048fd731b_e2885307_a59b_11ee_a526_047c1617b143202.jpeg"/><Relationship Id="rId203" Type="http://schemas.openxmlformats.org/officeDocument/2006/relationships/image" Target="../media/cd48e138_86a5_11e9_8101_003048fd731b_e288530b_a59b_11ee_a526_047c1617b143203.jpeg"/><Relationship Id="rId204" Type="http://schemas.openxmlformats.org/officeDocument/2006/relationships/image" Target="../media/cd48e13c_86a5_11e9_8101_003048fd731b_e288530f_a59b_11ee_a526_047c1617b143204.jpeg"/><Relationship Id="rId205" Type="http://schemas.openxmlformats.org/officeDocument/2006/relationships/image" Target="../media/cd48e140_86a5_11e9_8101_003048fd731b_e2885313_a59b_11ee_a526_047c1617b143205.jpeg"/><Relationship Id="rId206" Type="http://schemas.openxmlformats.org/officeDocument/2006/relationships/image" Target="../media/cd48e144_86a5_11e9_8101_003048fd731b_e2885317_a59b_11ee_a526_047c1617b143206.jpeg"/><Relationship Id="rId207" Type="http://schemas.openxmlformats.org/officeDocument/2006/relationships/image" Target="../media/cd48e148_86a5_11e9_8101_003048fd731b_e288531b_a59b_11ee_a526_047c1617b143207.jpeg"/><Relationship Id="rId208" Type="http://schemas.openxmlformats.org/officeDocument/2006/relationships/image" Target="../media/cd48e14c_86a5_11e9_8101_003048fd731b_e288531f_a59b_11ee_a526_047c1617b143208.jpeg"/><Relationship Id="rId209" Type="http://schemas.openxmlformats.org/officeDocument/2006/relationships/image" Target="../media/cd48e150_86a5_11e9_8101_003048fd731b_e2885323_a59b_11ee_a526_047c1617b143209.jpeg"/><Relationship Id="rId210" Type="http://schemas.openxmlformats.org/officeDocument/2006/relationships/image" Target="../media/cd48e154_86a5_11e9_8101_003048fd731b_e2885327_a59b_11ee_a526_047c1617b143210.jpeg"/><Relationship Id="rId211" Type="http://schemas.openxmlformats.org/officeDocument/2006/relationships/image" Target="../media/cd48e157_86a5_11e9_8101_003048fd731b_e288532b_a59b_11ee_a526_047c1617b143211.jpeg"/><Relationship Id="rId212" Type="http://schemas.openxmlformats.org/officeDocument/2006/relationships/image" Target="../media/cd48e15b_86a5_11e9_8101_003048fd731b_e288532f_a59b_11ee_a526_047c1617b143212.jpeg"/><Relationship Id="rId213" Type="http://schemas.openxmlformats.org/officeDocument/2006/relationships/image" Target="../media/cd48e15f_86a5_11e9_8101_003048fd731b_e2885333_a59b_11ee_a526_047c1617b143213.jpeg"/><Relationship Id="rId214" Type="http://schemas.openxmlformats.org/officeDocument/2006/relationships/image" Target="../media/cd48e163_86a5_11e9_8101_003048fd731b_e2885337_a59b_11ee_a526_047c1617b143214.jpeg"/><Relationship Id="rId215" Type="http://schemas.openxmlformats.org/officeDocument/2006/relationships/image" Target="../media/cd48e167_86a5_11e9_8101_003048fd731b_e288533b_a59b_11ee_a526_047c1617b143215.jpeg"/><Relationship Id="rId216" Type="http://schemas.openxmlformats.org/officeDocument/2006/relationships/image" Target="../media/cd48e16b_86a5_11e9_8101_003048fd731b_e288533f_a59b_11ee_a526_047c1617b143216.jpeg"/><Relationship Id="rId217" Type="http://schemas.openxmlformats.org/officeDocument/2006/relationships/image" Target="../media/cd48e16f_86a5_11e9_8101_003048fd731b_e2885343_a59b_11ee_a526_047c1617b143217.jpeg"/><Relationship Id="rId218" Type="http://schemas.openxmlformats.org/officeDocument/2006/relationships/image" Target="../media/cd48e173_86a5_11e9_8101_003048fd731b_e2885347_a59b_11ee_a526_047c1617b143218.jpeg"/><Relationship Id="rId219" Type="http://schemas.openxmlformats.org/officeDocument/2006/relationships/image" Target="../media/cd48e177_86a5_11e9_8101_003048fd731b_e288534b_a59b_11ee_a526_047c1617b143219.jpeg"/><Relationship Id="rId220" Type="http://schemas.openxmlformats.org/officeDocument/2006/relationships/image" Target="../media/cd48e17b_86a5_11e9_8101_003048fd731b_e288534f_a59b_11ee_a526_047c1617b143220.jpeg"/><Relationship Id="rId221" Type="http://schemas.openxmlformats.org/officeDocument/2006/relationships/image" Target="../media/cd48e17f_86a5_11e9_8101_003048fd731b_e2885353_a59b_11ee_a526_047c1617b143221.jpeg"/><Relationship Id="rId222" Type="http://schemas.openxmlformats.org/officeDocument/2006/relationships/image" Target="../media/cd48e183_86a5_11e9_8101_003048fd731b_e2885357_a59b_11ee_a526_047c1617b143222.jpeg"/><Relationship Id="rId223" Type="http://schemas.openxmlformats.org/officeDocument/2006/relationships/image" Target="../media/cd48e187_86a5_11e9_8101_003048fd731b_e288535b_a59b_11ee_a526_047c1617b143223.jpeg"/><Relationship Id="rId224" Type="http://schemas.openxmlformats.org/officeDocument/2006/relationships/image" Target="../media/cd48e18b_86a5_11e9_8101_003048fd731b_e288535f_a59b_11ee_a526_047c1617b143224.jpeg"/><Relationship Id="rId225" Type="http://schemas.openxmlformats.org/officeDocument/2006/relationships/image" Target="../media/cd48e18f_86a5_11e9_8101_003048fd731b_e2885363_a59b_11ee_a526_047c1617b143225.jpeg"/><Relationship Id="rId226" Type="http://schemas.openxmlformats.org/officeDocument/2006/relationships/image" Target="../media/cd48e191_86a5_11e9_8101_003048fd731b_e2885367_a59b_11ee_a526_047c1617b143226.jpeg"/><Relationship Id="rId227" Type="http://schemas.openxmlformats.org/officeDocument/2006/relationships/image" Target="../media/cd48e193_86a5_11e9_8101_003048fd731b_e288536b_a59b_11ee_a526_047c1617b143227.jpeg"/><Relationship Id="rId228" Type="http://schemas.openxmlformats.org/officeDocument/2006/relationships/image" Target="../media/cd48e195_86a5_11e9_8101_003048fd731b_e288536f_a59b_11ee_a526_047c1617b143228.jpeg"/><Relationship Id="rId229" Type="http://schemas.openxmlformats.org/officeDocument/2006/relationships/image" Target="../media/cd48e197_86a5_11e9_8101_003048fd731b_e2885373_a59b_11ee_a526_047c1617b143229.jpeg"/><Relationship Id="rId230" Type="http://schemas.openxmlformats.org/officeDocument/2006/relationships/image" Target="../media/cd48e19b_86a5_11e9_8101_003048fd731b_e2885377_a59b_11ee_a526_047c1617b143230.jpeg"/><Relationship Id="rId231" Type="http://schemas.openxmlformats.org/officeDocument/2006/relationships/image" Target="../media/cd48e19f_86a5_11e9_8101_003048fd731b_e288537b_a59b_11ee_a526_047c1617b143231.jpeg"/><Relationship Id="rId232" Type="http://schemas.openxmlformats.org/officeDocument/2006/relationships/image" Target="../media/cd48e1a3_86a5_11e9_8101_003048fd731b_e288537f_a59b_11ee_a526_047c1617b143232.jpeg"/><Relationship Id="rId233" Type="http://schemas.openxmlformats.org/officeDocument/2006/relationships/image" Target="../media/cd48e1a7_86a5_11e9_8101_003048fd731b_e2885383_a59b_11ee_a526_047c1617b143233.jpeg"/><Relationship Id="rId234" Type="http://schemas.openxmlformats.org/officeDocument/2006/relationships/image" Target="../media/cd48e1ab_86a5_11e9_8101_003048fd731b_e2885387_a59b_11ee_a526_047c1617b143234.jpeg"/><Relationship Id="rId235" Type="http://schemas.openxmlformats.org/officeDocument/2006/relationships/image" Target="../media/cd48e1af_86a5_11e9_8101_003048fd731b_e288538b_a59b_11ee_a526_047c1617b143235.jpeg"/><Relationship Id="rId236" Type="http://schemas.openxmlformats.org/officeDocument/2006/relationships/image" Target="../media/cd48e1b3_86a5_11e9_8101_003048fd731b_e288538f_a59b_11ee_a526_047c1617b143236.jpeg"/><Relationship Id="rId237" Type="http://schemas.openxmlformats.org/officeDocument/2006/relationships/image" Target="../media/cd48e1b7_86a5_11e9_8101_003048fd731b_e2885393_a59b_11ee_a526_047c1617b143237.jpeg"/><Relationship Id="rId238" Type="http://schemas.openxmlformats.org/officeDocument/2006/relationships/image" Target="../media/cd48e1bb_86a5_11e9_8101_003048fd731b_e2885397_a59b_11ee_a526_047c1617b143238.jpeg"/><Relationship Id="rId239" Type="http://schemas.openxmlformats.org/officeDocument/2006/relationships/image" Target="../media/cd48e1bf_86a5_11e9_8101_003048fd731b_e288539b_a59b_11ee_a526_047c1617b143239.jpeg"/><Relationship Id="rId240" Type="http://schemas.openxmlformats.org/officeDocument/2006/relationships/image" Target="../media/cd48e1c3_86a5_11e9_8101_003048fd731b_e288539f_a59b_11ee_a526_047c1617b143240.jpeg"/><Relationship Id="rId241" Type="http://schemas.openxmlformats.org/officeDocument/2006/relationships/image" Target="../media/cd48e1c7_86a5_11e9_8101_003048fd731b_e28853a3_a59b_11ee_a526_047c1617b143241.jpeg"/><Relationship Id="rId242" Type="http://schemas.openxmlformats.org/officeDocument/2006/relationships/image" Target="../media/cd48e1cb_86a5_11e9_8101_003048fd731b_e28853a7_a59b_11ee_a526_047c1617b143242.jpeg"/><Relationship Id="rId243" Type="http://schemas.openxmlformats.org/officeDocument/2006/relationships/image" Target="../media/cd48e1cf_86a5_11e9_8101_003048fd731b_e28853ab_a59b_11ee_a526_047c1617b143243.jpeg"/><Relationship Id="rId244" Type="http://schemas.openxmlformats.org/officeDocument/2006/relationships/image" Target="../media/cd48e1d3_86a5_11e9_8101_003048fd731b_e28853af_a59b_11ee_a526_047c1617b143244.jpeg"/><Relationship Id="rId245" Type="http://schemas.openxmlformats.org/officeDocument/2006/relationships/image" Target="../media/cd48e1d7_86a5_11e9_8101_003048fd731b_e28853b3_a59b_11ee_a526_047c1617b143245.jpeg"/><Relationship Id="rId246" Type="http://schemas.openxmlformats.org/officeDocument/2006/relationships/image" Target="../media/cd48e1db_86a5_11e9_8101_003048fd731b_e28853b7_a59b_11ee_a526_047c1617b143246.jpeg"/><Relationship Id="rId247" Type="http://schemas.openxmlformats.org/officeDocument/2006/relationships/image" Target="../media/cd48e1df_86a5_11e9_8101_003048fd731b_e28853bb_a59b_11ee_a526_047c1617b143247.jpeg"/><Relationship Id="rId248" Type="http://schemas.openxmlformats.org/officeDocument/2006/relationships/image" Target="../media/cd48e1e3_86a5_11e9_8101_003048fd731b_e28853bf_a59b_11ee_a526_047c1617b143248.jpeg"/><Relationship Id="rId249" Type="http://schemas.openxmlformats.org/officeDocument/2006/relationships/image" Target="../media/cd48e1e7_86a5_11e9_8101_003048fd731b_e28853c3_a59b_11ee_a526_047c1617b143249.jpeg"/><Relationship Id="rId250" Type="http://schemas.openxmlformats.org/officeDocument/2006/relationships/image" Target="../media/cd48e1eb_86a5_11e9_8101_003048fd731b_e28853c7_a59b_11ee_a526_047c1617b143250.jpeg"/><Relationship Id="rId251" Type="http://schemas.openxmlformats.org/officeDocument/2006/relationships/image" Target="../media/cd48e1ef_86a5_11e9_8101_003048fd731b_e28853cb_a59b_11ee_a526_047c1617b143251.jpeg"/><Relationship Id="rId252" Type="http://schemas.openxmlformats.org/officeDocument/2006/relationships/image" Target="../media/cd48e1f3_86a5_11e9_8101_003048fd731b_e28853cf_a59b_11ee_a526_047c1617b143252.jpeg"/><Relationship Id="rId253" Type="http://schemas.openxmlformats.org/officeDocument/2006/relationships/image" Target="../media/cd48e1f7_86a5_11e9_8101_003048fd731b_e28853d3_a59b_11ee_a526_047c1617b143253.jpeg"/><Relationship Id="rId254" Type="http://schemas.openxmlformats.org/officeDocument/2006/relationships/image" Target="../media/cd48e1fb_86a5_11e9_8101_003048fd731b_e28853d7_a59b_11ee_a526_047c1617b143254.jpeg"/><Relationship Id="rId255" Type="http://schemas.openxmlformats.org/officeDocument/2006/relationships/image" Target="../media/cd48e1fd_86a5_11e9_8101_003048fd731b_e28853db_a59b_11ee_a526_047c1617b143255.jpeg"/><Relationship Id="rId256" Type="http://schemas.openxmlformats.org/officeDocument/2006/relationships/image" Target="../media/cd48e1ff_86a5_11e9_8101_003048fd731b_e28853df_a59b_11ee_a526_047c1617b143256.jpeg"/><Relationship Id="rId257" Type="http://schemas.openxmlformats.org/officeDocument/2006/relationships/image" Target="../media/cd48e203_86a5_11e9_8101_003048fd731b_e28853e3_a59b_11ee_a526_047c1617b143257.jpeg"/><Relationship Id="rId258" Type="http://schemas.openxmlformats.org/officeDocument/2006/relationships/image" Target="../media/cd48e207_86a5_11e9_8101_003048fd731b_6949ad80_f953_11e9_810b_003048fd731b258.jpeg"/><Relationship Id="rId259" Type="http://schemas.openxmlformats.org/officeDocument/2006/relationships/image" Target="../media/cd48e20b_86a5_11e9_8101_003048fd731b_e28853e7_a59b_11ee_a526_047c1617b143259.jpeg"/><Relationship Id="rId260" Type="http://schemas.openxmlformats.org/officeDocument/2006/relationships/image" Target="../media/d38b71e8_86a5_11e9_8101_003048fd731b_e28853eb_a59b_11ee_a526_047c1617b143260.jpeg"/><Relationship Id="rId261" Type="http://schemas.openxmlformats.org/officeDocument/2006/relationships/image" Target="../media/d38b71ec_86a5_11e9_8101_003048fd731b_e28853ef_a59b_11ee_a526_047c1617b143261.jpeg"/><Relationship Id="rId262" Type="http://schemas.openxmlformats.org/officeDocument/2006/relationships/image" Target="../media/d38b71f0_86a5_11e9_8101_003048fd731b_e28853f3_a59b_11ee_a526_047c1617b143262.jpeg"/><Relationship Id="rId263" Type="http://schemas.openxmlformats.org/officeDocument/2006/relationships/image" Target="../media/d38b71f2_86a5_11e9_8101_003048fd731b_e28853f7_a59b_11ee_a526_047c1617b143263.jpeg"/><Relationship Id="rId264" Type="http://schemas.openxmlformats.org/officeDocument/2006/relationships/image" Target="../media/d38b71f4_86a5_11e9_8101_003048fd731b_e28853fb_a59b_11ee_a526_047c1617b143264.jpeg"/><Relationship Id="rId265" Type="http://schemas.openxmlformats.org/officeDocument/2006/relationships/image" Target="../media/d38b71f8_86a5_11e9_8101_003048fd731b_e28853ff_a59b_11ee_a526_047c1617b143265.jpeg"/><Relationship Id="rId266" Type="http://schemas.openxmlformats.org/officeDocument/2006/relationships/image" Target="../media/d38b71fc_86a5_11e9_8101_003048fd731b_e2885403_a59b_11ee_a526_047c1617b143266.jpeg"/><Relationship Id="rId267" Type="http://schemas.openxmlformats.org/officeDocument/2006/relationships/image" Target="../media/d38b7200_86a5_11e9_8101_003048fd731b_e915162e_a59b_11ee_a526_047c1617b143267.jpeg"/><Relationship Id="rId268" Type="http://schemas.openxmlformats.org/officeDocument/2006/relationships/image" Target="../media/d38b7204_86a5_11e9_8101_003048fd731b_e9151632_a59b_11ee_a526_047c1617b143268.jpeg"/><Relationship Id="rId269" Type="http://schemas.openxmlformats.org/officeDocument/2006/relationships/image" Target="../media/d38b7208_86a5_11e9_8101_003048fd731b_e9151636_a59b_11ee_a526_047c1617b143269.jpeg"/><Relationship Id="rId270" Type="http://schemas.openxmlformats.org/officeDocument/2006/relationships/image" Target="../media/d38b720c_86a5_11e9_8101_003048fd731b_e915163a_a59b_11ee_a526_047c1617b143270.jpeg"/><Relationship Id="rId271" Type="http://schemas.openxmlformats.org/officeDocument/2006/relationships/image" Target="../media/d38b7210_86a5_11e9_8101_003048fd731b_e915163e_a59b_11ee_a526_047c1617b143271.jpeg"/><Relationship Id="rId272" Type="http://schemas.openxmlformats.org/officeDocument/2006/relationships/image" Target="../media/d38b7214_86a5_11e9_8101_003048fd731b_e9151642_a59b_11ee_a526_047c1617b143272.jpeg"/><Relationship Id="rId273" Type="http://schemas.openxmlformats.org/officeDocument/2006/relationships/image" Target="../media/d38b7218_86a5_11e9_8101_003048fd731b_e9151646_a59b_11ee_a526_047c1617b143273.jpeg"/><Relationship Id="rId274" Type="http://schemas.openxmlformats.org/officeDocument/2006/relationships/image" Target="../media/d38b721c_86a5_11e9_8101_003048fd731b_e915164a_a59b_11ee_a526_047c1617b143274.jpeg"/><Relationship Id="rId275" Type="http://schemas.openxmlformats.org/officeDocument/2006/relationships/image" Target="../media/d38b7220_86a5_11e9_8101_003048fd731b_e915164e_a59b_11ee_a526_047c1617b143275.jpeg"/><Relationship Id="rId276" Type="http://schemas.openxmlformats.org/officeDocument/2006/relationships/image" Target="../media/d38b7224_86a5_11e9_8101_003048fd731b_e9151652_a59b_11ee_a526_047c1617b143276.jpeg"/><Relationship Id="rId277" Type="http://schemas.openxmlformats.org/officeDocument/2006/relationships/image" Target="../media/d38b7228_86a5_11e9_8101_003048fd731b_e9151656_a59b_11ee_a526_047c1617b143277.jpeg"/><Relationship Id="rId278" Type="http://schemas.openxmlformats.org/officeDocument/2006/relationships/image" Target="../media/d38b722c_86a5_11e9_8101_003048fd731b_e915165a_a59b_11ee_a526_047c1617b143278.jpeg"/><Relationship Id="rId279" Type="http://schemas.openxmlformats.org/officeDocument/2006/relationships/image" Target="../media/d38b7230_86a5_11e9_8101_003048fd731b_e915165e_a59b_11ee_a526_047c1617b143279.jpeg"/><Relationship Id="rId280" Type="http://schemas.openxmlformats.org/officeDocument/2006/relationships/image" Target="../media/d38b7234_86a5_11e9_8101_003048fd731b_e9151662_a59b_11ee_a526_047c1617b143280.jpeg"/><Relationship Id="rId281" Type="http://schemas.openxmlformats.org/officeDocument/2006/relationships/image" Target="../media/d38b7238_86a5_11e9_8101_003048fd731b_e9151666_a59b_11ee_a526_047c1617b143281.jpeg"/><Relationship Id="rId282" Type="http://schemas.openxmlformats.org/officeDocument/2006/relationships/image" Target="../media/d38b723c_86a5_11e9_8101_003048fd731b_e915166a_a59b_11ee_a526_047c1617b143282.jpeg"/><Relationship Id="rId283" Type="http://schemas.openxmlformats.org/officeDocument/2006/relationships/image" Target="../media/d38b7240_86a5_11e9_8101_003048fd731b_e915166e_a59b_11ee_a526_047c1617b143283.jpeg"/><Relationship Id="rId284" Type="http://schemas.openxmlformats.org/officeDocument/2006/relationships/image" Target="../media/d38b7244_86a5_11e9_8101_003048fd731b_e9151672_a59b_11ee_a526_047c1617b143284.jpeg"/><Relationship Id="rId285" Type="http://schemas.openxmlformats.org/officeDocument/2006/relationships/image" Target="../media/d38b7248_86a5_11e9_8101_003048fd731b_e9151676_a59b_11ee_a526_047c1617b143285.jpeg"/><Relationship Id="rId286" Type="http://schemas.openxmlformats.org/officeDocument/2006/relationships/image" Target="../media/d38b724c_86a5_11e9_8101_003048fd731b_e915167a_a59b_11ee_a526_047c1617b143286.jpeg"/><Relationship Id="rId287" Type="http://schemas.openxmlformats.org/officeDocument/2006/relationships/image" Target="../media/d38b7250_86a5_11e9_8101_003048fd731b_e915167b_a59b_11ee_a526_047c1617b143287.jpeg"/><Relationship Id="rId288" Type="http://schemas.openxmlformats.org/officeDocument/2006/relationships/image" Target="../media/d38b7254_86a5_11e9_8101_003048fd731b_e915167c_a59b_11ee_a526_047c1617b143288.jpeg"/><Relationship Id="rId289" Type="http://schemas.openxmlformats.org/officeDocument/2006/relationships/image" Target="../media/d38b7258_86a5_11e9_8101_003048fd731b_e915167d_a59b_11ee_a526_047c1617b143289.jpeg"/><Relationship Id="rId290" Type="http://schemas.openxmlformats.org/officeDocument/2006/relationships/image" Target="../media/d38b725c_86a5_11e9_8101_003048fd731b_e915167e_a59b_11ee_a526_047c1617b143290.jpeg"/><Relationship Id="rId291" Type="http://schemas.openxmlformats.org/officeDocument/2006/relationships/image" Target="../media/d38b7260_86a5_11e9_8101_003048fd731b_e915167f_a59b_11ee_a526_047c1617b143291.jpeg"/><Relationship Id="rId292" Type="http://schemas.openxmlformats.org/officeDocument/2006/relationships/image" Target="../media/d38b7264_86a5_11e9_8101_003048fd731b_e9151680_a59b_11ee_a526_047c1617b143292.jpeg"/><Relationship Id="rId293" Type="http://schemas.openxmlformats.org/officeDocument/2006/relationships/image" Target="../media/d38b7268_86a5_11e9_8101_003048fd731b_e9151684_a59b_11ee_a526_047c1617b143293.jpeg"/><Relationship Id="rId294" Type="http://schemas.openxmlformats.org/officeDocument/2006/relationships/image" Target="../media/d38b726c_86a5_11e9_8101_003048fd731b_e9151688_a59b_11ee_a526_047c1617b143294.jpeg"/><Relationship Id="rId295" Type="http://schemas.openxmlformats.org/officeDocument/2006/relationships/image" Target="../media/d38b7270_86a5_11e9_8101_003048fd731b_e915168c_a59b_11ee_a526_047c1617b143295.jpeg"/><Relationship Id="rId296" Type="http://schemas.openxmlformats.org/officeDocument/2006/relationships/image" Target="../media/d38b7274_86a5_11e9_8101_003048fd731b_e9151690_a59b_11ee_a526_047c1617b143296.jpeg"/><Relationship Id="rId297" Type="http://schemas.openxmlformats.org/officeDocument/2006/relationships/image" Target="../media/d38b7278_86a5_11e9_8101_003048fd731b_e9151694_a59b_11ee_a526_047c1617b143297.jpeg"/><Relationship Id="rId298" Type="http://schemas.openxmlformats.org/officeDocument/2006/relationships/image" Target="../media/d38b727a_86a5_11e9_8101_003048fd731b_e9151698_a59b_11ee_a526_047c1617b143298.jpeg"/><Relationship Id="rId299" Type="http://schemas.openxmlformats.org/officeDocument/2006/relationships/image" Target="../media/d38b727c_86a5_11e9_8101_003048fd731b_e915169c_a59b_11ee_a526_047c1617b143299.jpeg"/><Relationship Id="rId300" Type="http://schemas.openxmlformats.org/officeDocument/2006/relationships/image" Target="../media/d38b7280_86a5_11e9_8101_003048fd731b_e91516a0_a59b_11ee_a526_047c1617b143300.jpeg"/><Relationship Id="rId301" Type="http://schemas.openxmlformats.org/officeDocument/2006/relationships/image" Target="../media/d38b7284_86a5_11e9_8101_003048fd731b_e91516a4_a59b_11ee_a526_047c1617b143301.jpeg"/><Relationship Id="rId302" Type="http://schemas.openxmlformats.org/officeDocument/2006/relationships/image" Target="../media/d38b7288_86a5_11e9_8101_003048fd731b_e91516a8_a59b_11ee_a526_047c1617b143302.jpeg"/><Relationship Id="rId303" Type="http://schemas.openxmlformats.org/officeDocument/2006/relationships/image" Target="../media/d38b728c_86a5_11e9_8101_003048fd731b_e91516ac_a59b_11ee_a526_047c1617b143303.jpeg"/><Relationship Id="rId304" Type="http://schemas.openxmlformats.org/officeDocument/2006/relationships/image" Target="../media/d38b7290_86a5_11e9_8101_003048fd731b_e91516b0_a59b_11ee_a526_047c1617b143304.jpeg"/><Relationship Id="rId305" Type="http://schemas.openxmlformats.org/officeDocument/2006/relationships/image" Target="../media/d38b7294_86a5_11e9_8101_003048fd731b_e91516b4_a59b_11ee_a526_047c1617b143305.jpeg"/><Relationship Id="rId306" Type="http://schemas.openxmlformats.org/officeDocument/2006/relationships/image" Target="../media/d38b7296_86a5_11e9_8101_003048fd731b_e91516b8_a59b_11ee_a526_047c1617b143306.jpeg"/><Relationship Id="rId307" Type="http://schemas.openxmlformats.org/officeDocument/2006/relationships/image" Target="../media/d38b7298_86a5_11e9_8101_003048fd731b_e91516bc_a59b_11ee_a526_047c1617b143307.jpeg"/><Relationship Id="rId308" Type="http://schemas.openxmlformats.org/officeDocument/2006/relationships/image" Target="../media/d38b729c_86a5_11e9_8101_003048fd731b_e91516c0_a59b_11ee_a526_047c1617b143308.jpeg"/><Relationship Id="rId309" Type="http://schemas.openxmlformats.org/officeDocument/2006/relationships/image" Target="../media/d38b72a0_86a5_11e9_8101_003048fd731b_e91516c4_a59b_11ee_a526_047c1617b143309.jpeg"/><Relationship Id="rId310" Type="http://schemas.openxmlformats.org/officeDocument/2006/relationships/image" Target="../media/d38b72a4_86a5_11e9_8101_003048fd731b_e91516c8_a59b_11ee_a526_047c1617b143310.jpeg"/><Relationship Id="rId311" Type="http://schemas.openxmlformats.org/officeDocument/2006/relationships/image" Target="../media/d38b72a8_86a5_11e9_8101_003048fd731b_e91516cc_a59b_11ee_a526_047c1617b143311.jpeg"/><Relationship Id="rId312" Type="http://schemas.openxmlformats.org/officeDocument/2006/relationships/image" Target="../media/d38b72ac_86a5_11e9_8101_003048fd731b_e91516d0_a59b_11ee_a526_047c1617b143312.jpeg"/><Relationship Id="rId313" Type="http://schemas.openxmlformats.org/officeDocument/2006/relationships/image" Target="../media/d38b72b0_86a5_11e9_8101_003048fd731b_e91516d4_a59b_11ee_a526_047c1617b143313.jpeg"/><Relationship Id="rId314" Type="http://schemas.openxmlformats.org/officeDocument/2006/relationships/image" Target="../media/d38b72b4_86a5_11e9_8101_003048fd731b_e91516d8_a59b_11ee_a526_047c1617b143314.jpeg"/><Relationship Id="rId315" Type="http://schemas.openxmlformats.org/officeDocument/2006/relationships/image" Target="../media/d38b72b8_86a5_11e9_8101_003048fd731b_e91516dc_a59b_11ee_a526_047c1617b143315.jpeg"/><Relationship Id="rId316" Type="http://schemas.openxmlformats.org/officeDocument/2006/relationships/image" Target="../media/d38b72bc_86a5_11e9_8101_003048fd731b_6949adba_f953_11e9_810b_003048fd731b316.jpeg"/><Relationship Id="rId317" Type="http://schemas.openxmlformats.org/officeDocument/2006/relationships/image" Target="../media/d38b72c0_86a5_11e9_8101_003048fd731b_6949adbb_f953_11e9_810b_003048fd731b317.jpeg"/><Relationship Id="rId318" Type="http://schemas.openxmlformats.org/officeDocument/2006/relationships/image" Target="../media/d38b72c4_86a5_11e9_8101_003048fd731b_6949adbc_f953_11e9_810b_003048fd731b318.jpeg"/><Relationship Id="rId319" Type="http://schemas.openxmlformats.org/officeDocument/2006/relationships/image" Target="../media/d38b72c8_86a5_11e9_8101_003048fd731b_6949adbd_f953_11e9_810b_003048fd731b319.jpeg"/><Relationship Id="rId320" Type="http://schemas.openxmlformats.org/officeDocument/2006/relationships/image" Target="../media/d38b72cc_86a5_11e9_8101_003048fd731b_6949adbe_f953_11e9_810b_003048fd731b320.jpeg"/><Relationship Id="rId321" Type="http://schemas.openxmlformats.org/officeDocument/2006/relationships/image" Target="../media/e04e50af_77ea_11ea_8111_003048fd731b_e91516e0_a59b_11ee_a526_047c1617b143321.jpeg"/><Relationship Id="rId322" Type="http://schemas.openxmlformats.org/officeDocument/2006/relationships/image" Target="../media/e04e50b1_77ea_11ea_8111_003048fd731b_e91516e4_a59b_11ee_a526_047c1617b143322.jpeg"/><Relationship Id="rId323" Type="http://schemas.openxmlformats.org/officeDocument/2006/relationships/image" Target="../media/e04e50b3_77ea_11ea_8111_003048fd731b_e91516e8_a59b_11ee_a526_047c1617b143323.jpeg"/><Relationship Id="rId324" Type="http://schemas.openxmlformats.org/officeDocument/2006/relationships/image" Target="../media/e04e50b5_77ea_11ea_8111_003048fd731b_e91516ec_a59b_11ee_a526_047c1617b143324.jpeg"/><Relationship Id="rId325" Type="http://schemas.openxmlformats.org/officeDocument/2006/relationships/image" Target="../media/e04e50b7_77ea_11ea_8111_003048fd731b_e91516f0_a59b_11ee_a526_047c1617b143325.jpeg"/><Relationship Id="rId326" Type="http://schemas.openxmlformats.org/officeDocument/2006/relationships/image" Target="../media/e04e50b9_77ea_11ea_8111_003048fd731b_e91516f4_a59b_11ee_a526_047c1617b143326.jpeg"/><Relationship Id="rId327" Type="http://schemas.openxmlformats.org/officeDocument/2006/relationships/image" Target="../media/e04e50bb_77ea_11ea_8111_003048fd731b_e91516f8_a59b_11ee_a526_047c1617b143327.jpeg"/><Relationship Id="rId328" Type="http://schemas.openxmlformats.org/officeDocument/2006/relationships/image" Target="../media/e04e50bd_77ea_11ea_8111_003048fd731b_e91516fc_a59b_11ee_a526_047c1617b143328.jpeg"/><Relationship Id="rId329" Type="http://schemas.openxmlformats.org/officeDocument/2006/relationships/image" Target="../media/e04e50bf_77ea_11ea_8111_003048fd731b_e9151700_a59b_11ee_a526_047c1617b143329.jpeg"/><Relationship Id="rId330" Type="http://schemas.openxmlformats.org/officeDocument/2006/relationships/image" Target="../media/e04e50c1_77ea_11ea_8111_003048fd731b_e9151704_a59b_11ee_a526_047c1617b143330.jpeg"/><Relationship Id="rId331" Type="http://schemas.openxmlformats.org/officeDocument/2006/relationships/image" Target="../media/e04e50c3_77ea_11ea_8111_003048fd731b_e9151708_a59b_11ee_a526_047c1617b143331.jpeg"/><Relationship Id="rId332" Type="http://schemas.openxmlformats.org/officeDocument/2006/relationships/image" Target="../media/e04e50c5_77ea_11ea_8111_003048fd731b_e915170c_a59b_11ee_a526_047c1617b143332.jpeg"/><Relationship Id="rId333" Type="http://schemas.openxmlformats.org/officeDocument/2006/relationships/image" Target="../media/e04e50c7_77ea_11ea_8111_003048fd731b_e9151710_a59b_11ee_a526_047c1617b143333.jpeg"/><Relationship Id="rId334" Type="http://schemas.openxmlformats.org/officeDocument/2006/relationships/image" Target="../media/e04e50c9_77ea_11ea_8111_003048fd731b_e9151714_a59b_11ee_a526_047c1617b143334.jpeg"/><Relationship Id="rId335" Type="http://schemas.openxmlformats.org/officeDocument/2006/relationships/image" Target="../media/e04e50cb_77ea_11ea_8111_003048fd731b_e9151718_a59b_11ee_a526_047c1617b143335.jpeg"/><Relationship Id="rId336" Type="http://schemas.openxmlformats.org/officeDocument/2006/relationships/image" Target="../media/e04e50cd_77ea_11ea_8111_003048fd731b_e915171c_a59b_11ee_a526_047c1617b143336.jpeg"/><Relationship Id="rId337" Type="http://schemas.openxmlformats.org/officeDocument/2006/relationships/image" Target="../media/e04e50cf_77ea_11ea_8111_003048fd731b_e9151720_a59b_11ee_a526_047c1617b143337.jpeg"/><Relationship Id="rId338" Type="http://schemas.openxmlformats.org/officeDocument/2006/relationships/image" Target="../media/e04e50d1_77ea_11ea_8111_003048fd731b_e9151724_a59b_11ee_a526_047c1617b143338.jpeg"/><Relationship Id="rId339" Type="http://schemas.openxmlformats.org/officeDocument/2006/relationships/image" Target="../media/e04e50d3_77ea_11ea_8111_003048fd731b_e9151728_a59b_11ee_a526_047c1617b143339.jpeg"/><Relationship Id="rId340" Type="http://schemas.openxmlformats.org/officeDocument/2006/relationships/image" Target="../media/e04e50d5_77ea_11ea_8111_003048fd731b_e915172c_a59b_11ee_a526_047c1617b143340.jpeg"/><Relationship Id="rId341" Type="http://schemas.openxmlformats.org/officeDocument/2006/relationships/image" Target="../media/6d083aa1_3466_11eb_81f3_003048fd731b_e9151730_a59b_11ee_a526_047c1617b143341.jpeg"/><Relationship Id="rId342" Type="http://schemas.openxmlformats.org/officeDocument/2006/relationships/image" Target="../media/6d083aa3_3466_11eb_81f3_003048fd731b_e9151734_a59b_11ee_a526_047c1617b143342.jpeg"/><Relationship Id="rId343" Type="http://schemas.openxmlformats.org/officeDocument/2006/relationships/image" Target="../media/6d083aa5_3466_11eb_81f3_003048fd731b_e9151738_a59b_11ee_a526_047c1617b143343.jpeg"/><Relationship Id="rId344" Type="http://schemas.openxmlformats.org/officeDocument/2006/relationships/image" Target="../media/6d083aa7_3466_11eb_81f3_003048fd731b_e915173c_a59b_11ee_a526_047c1617b143344.jpeg"/><Relationship Id="rId345" Type="http://schemas.openxmlformats.org/officeDocument/2006/relationships/image" Target="../media/6d083aa9_3466_11eb_81f3_003048fd731b_e9151740_a59b_11ee_a526_047c1617b143345.jpeg"/><Relationship Id="rId346" Type="http://schemas.openxmlformats.org/officeDocument/2006/relationships/image" Target="../media/6d083aab_3466_11eb_81f3_003048fd731b_e9151744_a59b_11ee_a526_047c1617b143346.jpeg"/><Relationship Id="rId347" Type="http://schemas.openxmlformats.org/officeDocument/2006/relationships/image" Target="../media/6d083aad_3466_11eb_81f3_003048fd731b_e9151748_a59b_11ee_a526_047c1617b143347.jpeg"/><Relationship Id="rId348" Type="http://schemas.openxmlformats.org/officeDocument/2006/relationships/image" Target="../media/6d083aaf_3466_11eb_81f3_003048fd731b_e915174c_a59b_11ee_a526_047c1617b143348.jpeg"/><Relationship Id="rId349" Type="http://schemas.openxmlformats.org/officeDocument/2006/relationships/image" Target="../media/6d083ab1_3466_11eb_81f3_003048fd731b_e9151750_a59b_11ee_a526_047c1617b143349.jpeg"/><Relationship Id="rId350" Type="http://schemas.openxmlformats.org/officeDocument/2006/relationships/image" Target="../media/6d083ab3_3466_11eb_81f3_003048fd731b_e9151754_a59b_11ee_a526_047c1617b143350.jpeg"/><Relationship Id="rId351" Type="http://schemas.openxmlformats.org/officeDocument/2006/relationships/image" Target="../media/6d083ab5_3466_11eb_81f3_003048fd731b_e9151758_a59b_11ee_a526_047c1617b143351.jpeg"/><Relationship Id="rId352" Type="http://schemas.openxmlformats.org/officeDocument/2006/relationships/image" Target="../media/6d083ab7_3466_11eb_81f3_003048fd731b_e915175c_a59b_11ee_a526_047c1617b143352.jpeg"/><Relationship Id="rId353" Type="http://schemas.openxmlformats.org/officeDocument/2006/relationships/image" Target="../media/6d083ab9_3466_11eb_81f3_003048fd731b_e9151760_a59b_11ee_a526_047c1617b143353.jpeg"/><Relationship Id="rId354" Type="http://schemas.openxmlformats.org/officeDocument/2006/relationships/image" Target="../media/6d083abb_3466_11eb_81f3_003048fd731b_e9151764_a59b_11ee_a526_047c1617b143354.jpeg"/><Relationship Id="rId355" Type="http://schemas.openxmlformats.org/officeDocument/2006/relationships/image" Target="../media/6d083abd_3466_11eb_81f3_003048fd731b_e9151768_a59b_11ee_a526_047c1617b143355.jpeg"/><Relationship Id="rId356" Type="http://schemas.openxmlformats.org/officeDocument/2006/relationships/image" Target="../media/6d083abf_3466_11eb_81f3_003048fd731b_e915176c_a59b_11ee_a526_047c1617b143356.jpeg"/><Relationship Id="rId357" Type="http://schemas.openxmlformats.org/officeDocument/2006/relationships/image" Target="../media/6d083ac1_3466_11eb_81f3_003048fd731b_e915176d_a59b_11ee_a526_047c1617b143357.jpeg"/><Relationship Id="rId358" Type="http://schemas.openxmlformats.org/officeDocument/2006/relationships/image" Target="../media/6d083ac3_3466_11eb_81f3_003048fd731b_e915176e_a59b_11ee_a526_047c1617b143358.jpeg"/><Relationship Id="rId359" Type="http://schemas.openxmlformats.org/officeDocument/2006/relationships/image" Target="../media/6d083ac5_3466_11eb_81f3_003048fd731b_e9151772_a59b_11ee_a526_047c1617b143359.jpeg"/><Relationship Id="rId360" Type="http://schemas.openxmlformats.org/officeDocument/2006/relationships/image" Target="../media/6d083ac7_3466_11eb_81f3_003048fd731b_e9151776_a59b_11ee_a526_047c1617b143360.jpeg"/><Relationship Id="rId361" Type="http://schemas.openxmlformats.org/officeDocument/2006/relationships/image" Target="../media/6d083ac9_3466_11eb_81f3_003048fd731b_e915177a_a59b_11ee_a526_047c1617b143361.jpeg"/><Relationship Id="rId362" Type="http://schemas.openxmlformats.org/officeDocument/2006/relationships/image" Target="../media/6d083acb_3466_11eb_81f3_003048fd731b_e915177e_a59b_11ee_a526_047c1617b143362.jpeg"/><Relationship Id="rId363" Type="http://schemas.openxmlformats.org/officeDocument/2006/relationships/image" Target="../media/6d083acd_3466_11eb_81f3_003048fd731b_e9151782_a59b_11ee_a526_047c1617b143363.jpeg"/><Relationship Id="rId364" Type="http://schemas.openxmlformats.org/officeDocument/2006/relationships/image" Target="../media/6d083acf_3466_11eb_81f3_003048fd731b_e9151786_a59b_11ee_a526_047c1617b143364.jpeg"/><Relationship Id="rId365" Type="http://schemas.openxmlformats.org/officeDocument/2006/relationships/image" Target="../media/6d083ad1_3466_11eb_81f3_003048fd731b_e915178a_a59b_11ee_a526_047c1617b143365.jpeg"/><Relationship Id="rId366" Type="http://schemas.openxmlformats.org/officeDocument/2006/relationships/image" Target="../media/02a66c30_db0d_11ec_a2a2_00259070b487_592215d6_11fe_11ef_a5b8_047c1617b143366.jpeg"/><Relationship Id="rId367" Type="http://schemas.openxmlformats.org/officeDocument/2006/relationships/image" Target="../media/02a66c32_db0d_11ec_a2a2_00259070b487_592215da_11fe_11ef_a5b8_047c1617b143367.jpeg"/><Relationship Id="rId368" Type="http://schemas.openxmlformats.org/officeDocument/2006/relationships/image" Target="../media/7571ec73_f891_11ee_a597_047c1617b143_85119bc6_fcc8_11ef_a6ef_047c1617b143368.jpeg"/><Relationship Id="rId369" Type="http://schemas.openxmlformats.org/officeDocument/2006/relationships/image" Target="../media/7571ec75_f891_11ee_a597_047c1617b143_85119bcc_fcc8_11ef_a6ef_047c1617b143369.jpeg"/><Relationship Id="rId370" Type="http://schemas.openxmlformats.org/officeDocument/2006/relationships/image" Target="../media/7571ec77_f891_11ee_a597_047c1617b143_85119bc9_fcc8_11ef_a6ef_047c1617b143370.jpeg"/><Relationship Id="rId371" Type="http://schemas.openxmlformats.org/officeDocument/2006/relationships/image" Target="../media/7571ec79_f891_11ee_a597_047c1617b143_85119bd5_fcc8_11ef_a6ef_047c1617b143371.jpeg"/><Relationship Id="rId372" Type="http://schemas.openxmlformats.org/officeDocument/2006/relationships/image" Target="../media/7571ec7b_f891_11ee_a597_047c1617b143_85119bcf_fcc8_11ef_a6ef_047c1617b143372.jpeg"/><Relationship Id="rId373" Type="http://schemas.openxmlformats.org/officeDocument/2006/relationships/image" Target="../media/7571ec7d_f891_11ee_a597_047c1617b143_85119bd2_fcc8_11ef_a6ef_047c1617b143373.jpeg"/><Relationship Id="rId374" Type="http://schemas.openxmlformats.org/officeDocument/2006/relationships/image" Target="../media/7571ec7f_f891_11ee_a597_047c1617b143_85119bdb_fcc8_11ef_a6ef_047c1617b143374.jpeg"/><Relationship Id="rId375" Type="http://schemas.openxmlformats.org/officeDocument/2006/relationships/image" Target="../media/7571ec81_f891_11ee_a597_047c1617b143_85119bd8_fcc8_11ef_a6ef_047c1617b143375.jpeg"/><Relationship Id="rId376" Type="http://schemas.openxmlformats.org/officeDocument/2006/relationships/image" Target="../media/145c89e0_551c_11f0_a76e_047c1617b143_579e23aa_5a46_11f0_a775_047c1617b143376.jpeg"/><Relationship Id="rId377" Type="http://schemas.openxmlformats.org/officeDocument/2006/relationships/image" Target="../media/145c89e2_551c_11f0_a76e_047c1617b143_579e23ae_5a46_11f0_a775_047c1617b143377.jpeg"/><Relationship Id="rId378" Type="http://schemas.openxmlformats.org/officeDocument/2006/relationships/image" Target="../media/145c89e4_551c_11f0_a76e_047c1617b143_579e23b2_5a46_11f0_a775_047c1617b143378.jpeg"/><Relationship Id="rId379" Type="http://schemas.openxmlformats.org/officeDocument/2006/relationships/image" Target="../media/145c89e6_551c_11f0_a76e_047c1617b143_579e23b6_5a46_11f0_a775_047c1617b143379.jpeg"/><Relationship Id="rId380" Type="http://schemas.openxmlformats.org/officeDocument/2006/relationships/image" Target="../media/145c89e8_551c_11f0_a76e_047c1617b143_579e23ba_5a46_11f0_a775_047c1617b143380.jpeg"/><Relationship Id="rId381" Type="http://schemas.openxmlformats.org/officeDocument/2006/relationships/image" Target="../media/145c89ea_551c_11f0_a76e_047c1617b143_579e23be_5a46_11f0_a775_047c1617b143381.jpeg"/><Relationship Id="rId382" Type="http://schemas.openxmlformats.org/officeDocument/2006/relationships/image" Target="../media/145c89ec_551c_11f0_a76e_047c1617b143_579e23c2_5a46_11f0_a775_047c1617b143382.jpeg"/><Relationship Id="rId383" Type="http://schemas.openxmlformats.org/officeDocument/2006/relationships/image" Target="../media/145c89ee_551c_11f0_a76e_047c1617b143_579e23c6_5a46_11f0_a775_047c1617b143383.jpeg"/><Relationship Id="rId384" Type="http://schemas.openxmlformats.org/officeDocument/2006/relationships/image" Target="../media/145c89f0_551c_11f0_a76e_047c1617b143_579e23ca_5a46_11f0_a775_047c1617b143384.jpeg"/><Relationship Id="rId385" Type="http://schemas.openxmlformats.org/officeDocument/2006/relationships/image" Target="../media/145c89f2_551c_11f0_a76e_047c1617b143_579e23ce_5a46_11f0_a775_047c1617b143385.jpeg"/><Relationship Id="rId386" Type="http://schemas.openxmlformats.org/officeDocument/2006/relationships/image" Target="../media/145c89f4_551c_11f0_a76e_047c1617b143_579e23d2_5a46_11f0_a775_047c1617b143386.jpeg"/><Relationship Id="rId387" Type="http://schemas.openxmlformats.org/officeDocument/2006/relationships/image" Target="../media/145c89f6_551c_11f0_a76e_047c1617b143_579e23d6_5a46_11f0_a775_047c1617b143387.jpeg"/><Relationship Id="rId388" Type="http://schemas.openxmlformats.org/officeDocument/2006/relationships/image" Target="../media/145c89f8_551c_11f0_a76e_047c1617b143_579e23da_5a46_11f0_a775_047c1617b143388.jpeg"/><Relationship Id="rId389" Type="http://schemas.openxmlformats.org/officeDocument/2006/relationships/image" Target="../media/145c89fa_551c_11f0_a76e_047c1617b143_579e23de_5a46_11f0_a775_047c1617b143389.jpeg"/><Relationship Id="rId390" Type="http://schemas.openxmlformats.org/officeDocument/2006/relationships/image" Target="../media/145c89fc_551c_11f0_a76e_047c1617b143_579e23e2_5a46_11f0_a775_047c1617b143390.jpeg"/><Relationship Id="rId391" Type="http://schemas.openxmlformats.org/officeDocument/2006/relationships/image" Target="../media/145c89fe_551c_11f0_a76e_047c1617b143_579e23e6_5a46_11f0_a775_047c1617b143391.jpeg"/><Relationship Id="rId392" Type="http://schemas.openxmlformats.org/officeDocument/2006/relationships/image" Target="../media/145c8a00_551c_11f0_a76e_047c1617b143_579e23ea_5a46_11f0_a775_047c1617b143392.jpeg"/><Relationship Id="rId393" Type="http://schemas.openxmlformats.org/officeDocument/2006/relationships/image" Target="../media/145c8a02_551c_11f0_a76e_047c1617b143_579e23ee_5a46_11f0_a775_047c1617b143393.jpeg"/><Relationship Id="rId394" Type="http://schemas.openxmlformats.org/officeDocument/2006/relationships/image" Target="../media/145c8a04_551c_11f0_a76e_047c1617b143_579e23f2_5a46_11f0_a775_047c1617b143394.jpeg"/><Relationship Id="rId395" Type="http://schemas.openxmlformats.org/officeDocument/2006/relationships/image" Target="../media/145c8a06_551c_11f0_a76e_047c1617b143_579e23f6_5a46_11f0_a775_047c1617b143395.jpeg"/><Relationship Id="rId396" Type="http://schemas.openxmlformats.org/officeDocument/2006/relationships/image" Target="../media/b7995fa9_96ee_11f0_a7c5_047c1617b143_fafd76ac_b70d_11f0_a7ef_047c1617b143396.jpeg"/><Relationship Id="rId397" Type="http://schemas.openxmlformats.org/officeDocument/2006/relationships/image" Target="../media/b7995fab_96ee_11f0_a7c5_047c1617b143_fafd76b0_b70d_11f0_a7ef_047c1617b143397.jpeg"/><Relationship Id="rId398" Type="http://schemas.openxmlformats.org/officeDocument/2006/relationships/image" Target="../media/b7995fad_96ee_11f0_a7c5_047c1617b143_fafd76b4_b70d_11f0_a7ef_047c1617b143398.jpeg"/><Relationship Id="rId399" Type="http://schemas.openxmlformats.org/officeDocument/2006/relationships/image" Target="../media/b7995faf_96ee_11f0_a7c5_047c1617b143_fafd76b8_b70d_11f0_a7ef_047c1617b143399.jpeg"/><Relationship Id="rId400" Type="http://schemas.openxmlformats.org/officeDocument/2006/relationships/image" Target="../media/b7995fb1_96ee_11f0_a7c5_047c1617b143_fafd76bc_b70d_11f0_a7ef_047c1617b143400.jpeg"/><Relationship Id="rId401" Type="http://schemas.openxmlformats.org/officeDocument/2006/relationships/image" Target="../media/b7995fb3_96ee_11f0_a7c5_047c1617b143_fafd76c0_b70d_11f0_a7ef_047c1617b143401.jpeg"/><Relationship Id="rId402" Type="http://schemas.openxmlformats.org/officeDocument/2006/relationships/image" Target="../media/b7995fb5_96ee_11f0_a7c5_047c1617b143_fafd76c4_b70d_11f0_a7ef_047c1617b143402.jpeg"/><Relationship Id="rId403" Type="http://schemas.openxmlformats.org/officeDocument/2006/relationships/image" Target="../media/b7995fb7_96ee_11f0_a7c5_047c1617b143_fafd76c8_b70d_11f0_a7ef_047c1617b143403.jpeg"/><Relationship Id="rId404" Type="http://schemas.openxmlformats.org/officeDocument/2006/relationships/image" Target="../media/b7995fb9_96ee_11f0_a7c5_047c1617b143_fafd7694_b70d_11f0_a7ef_047c1617b143404.jpeg"/><Relationship Id="rId405" Type="http://schemas.openxmlformats.org/officeDocument/2006/relationships/image" Target="../media/b7995fbb_96ee_11f0_a7c5_047c1617b143_fafd7698_b70d_11f0_a7ef_047c1617b143405.jpeg"/><Relationship Id="rId406" Type="http://schemas.openxmlformats.org/officeDocument/2006/relationships/image" Target="../media/b7995fbd_96ee_11f0_a7c5_047c1617b143_fafd769c_b70d_11f0_a7ef_047c1617b143406.jpeg"/><Relationship Id="rId407" Type="http://schemas.openxmlformats.org/officeDocument/2006/relationships/image" Target="../media/b7995fbf_96ee_11f0_a7c5_047c1617b143_fafd76a0_b70d_11f0_a7ef_047c1617b143407.jpeg"/><Relationship Id="rId408" Type="http://schemas.openxmlformats.org/officeDocument/2006/relationships/image" Target="../media/b7995fc1_96ee_11f0_a7c5_047c1617b143_fafd76a4_b70d_11f0_a7ef_047c1617b143408.jpeg"/><Relationship Id="rId409" Type="http://schemas.openxmlformats.org/officeDocument/2006/relationships/image" Target="../media/99986eb8_96f7_11f0_a7c5_047c1617b143_fafd76a8_b70d_11f0_a7ef_047c1617b143409.jpeg"/><Relationship Id="rId410" Type="http://schemas.openxmlformats.org/officeDocument/2006/relationships/image" Target="../media/04d7bce7_b9bb_11f0_a7f3_047c1617b143_cc52d97d_c375_11f0_a800_047c1617b143410.jpeg"/><Relationship Id="rId411" Type="http://schemas.openxmlformats.org/officeDocument/2006/relationships/image" Target="../media/04d7bce9_b9bb_11f0_a7f3_047c1617b143_16c8a348_c371_11f0_a800_047c1617b143411.jpeg"/><Relationship Id="rId412" Type="http://schemas.openxmlformats.org/officeDocument/2006/relationships/image" Target="../media/04d7bceb_b9bb_11f0_a7f3_047c1617b143_cc52d929_c375_11f0_a800_047c1617b143412.jpeg"/><Relationship Id="rId413" Type="http://schemas.openxmlformats.org/officeDocument/2006/relationships/image" Target="../media/04d7bced_b9bb_11f0_a7f3_047c1617b143_cc52d9a3_c375_11f0_a800_047c1617b143413.jpeg"/><Relationship Id="rId414" Type="http://schemas.openxmlformats.org/officeDocument/2006/relationships/image" Target="../media/04d7bcef_b9bb_11f0_a7f3_047c1617b143_cc52d9ac_c375_11f0_a800_047c1617b143414.jpeg"/><Relationship Id="rId415" Type="http://schemas.openxmlformats.org/officeDocument/2006/relationships/image" Target="../media/04d7bcf1_b9bb_11f0_a7f3_047c1617b143_cc52d9a8_c375_11f0_a800_047c1617b143415.jpeg"/><Relationship Id="rId416" Type="http://schemas.openxmlformats.org/officeDocument/2006/relationships/image" Target="../media/04d7bcf3_b9bb_11f0_a7f3_047c1617b143_cc52d997_c375_11f0_a800_047c1617b143416.jpeg"/><Relationship Id="rId417" Type="http://schemas.openxmlformats.org/officeDocument/2006/relationships/image" Target="../media/04d7bcf5_b9bb_11f0_a7f3_047c1617b143_cc52d9a7_c375_11f0_a800_047c1617b143417.jpeg"/><Relationship Id="rId418" Type="http://schemas.openxmlformats.org/officeDocument/2006/relationships/image" Target="../media/e019e2c3_04c1_11f1_a85e_047c1617b143_2ed140dc_0c97_11f1_a86a_047c1617b143418.jpeg"/><Relationship Id="rId419" Type="http://schemas.openxmlformats.org/officeDocument/2006/relationships/image" Target="../media/e019e2c5_04c1_11f1_a85e_047c1617b143_2ed140e0_0c97_11f1_a86a_047c1617b143419.jpeg"/><Relationship Id="rId420" Type="http://schemas.openxmlformats.org/officeDocument/2006/relationships/image" Target="../media/e019e2c7_04c1_11f1_a85e_047c1617b143_2ed140e4_0c97_11f1_a86a_047c1617b143420.jpeg"/><Relationship Id="rId421" Type="http://schemas.openxmlformats.org/officeDocument/2006/relationships/image" Target="../media/e019e2c9_04c1_11f1_a85e_047c1617b143_2ed140e8_0c97_11f1_a86a_047c1617b143421.jpeg"/><Relationship Id="rId422" Type="http://schemas.openxmlformats.org/officeDocument/2006/relationships/image" Target="../media/65637d5c_0b65_11ec_831e_003048fd731b_e915178e_a59b_11ee_a526_047c1617b143422.jpeg"/><Relationship Id="rId423" Type="http://schemas.openxmlformats.org/officeDocument/2006/relationships/image" Target="../media/65637d5e_0b65_11ec_831e_003048fd731b_e9151792_a59b_11ee_a526_047c1617b143423.jpeg"/><Relationship Id="rId424" Type="http://schemas.openxmlformats.org/officeDocument/2006/relationships/image" Target="../media/65637d60_0b65_11ec_831e_003048fd731b_e9151796_a59b_11ee_a526_047c1617b143424.jpeg"/><Relationship Id="rId425" Type="http://schemas.openxmlformats.org/officeDocument/2006/relationships/image" Target="../media/65637d62_0b65_11ec_831e_003048fd731b_e915179a_a59b_11ee_a526_047c1617b143425.jpeg"/><Relationship Id="rId426" Type="http://schemas.openxmlformats.org/officeDocument/2006/relationships/image" Target="../media/65637d64_0b65_11ec_831e_003048fd731b_e915179e_a59b_11ee_a526_047c1617b143426.jpeg"/><Relationship Id="rId427" Type="http://schemas.openxmlformats.org/officeDocument/2006/relationships/image" Target="../media/65637d66_0b65_11ec_831e_003048fd731b_e91517a2_a59b_11ee_a526_047c1617b143427.jpeg"/><Relationship Id="rId428" Type="http://schemas.openxmlformats.org/officeDocument/2006/relationships/image" Target="../media/65637d68_0b65_11ec_831e_003048fd731b_e91517a6_a59b_11ee_a526_047c1617b143428.jpeg"/><Relationship Id="rId429" Type="http://schemas.openxmlformats.org/officeDocument/2006/relationships/image" Target="../media/65637d6a_0b65_11ec_831e_003048fd731b_e91517aa_a59b_11ee_a526_047c1617b143429.jpeg"/><Relationship Id="rId430" Type="http://schemas.openxmlformats.org/officeDocument/2006/relationships/image" Target="../media/65637d6c_0b65_11ec_831e_003048fd731b_e91517ae_a59b_11ee_a526_047c1617b143430.jpeg"/><Relationship Id="rId431" Type="http://schemas.openxmlformats.org/officeDocument/2006/relationships/image" Target="../media/65637d6e_0b65_11ec_831e_003048fd731b_e91517b2_a59b_11ee_a526_047c1617b143431.jpeg"/><Relationship Id="rId432" Type="http://schemas.openxmlformats.org/officeDocument/2006/relationships/image" Target="../media/65637d70_0b65_11ec_831e_003048fd731b_e91517b3_a59b_11ee_a526_047c1617b143432.jpeg"/><Relationship Id="rId433" Type="http://schemas.openxmlformats.org/officeDocument/2006/relationships/image" Target="../media/65637d72_0b65_11ec_831e_003048fd731b_e91517b4_a59b_11ee_a526_047c1617b143433.jpeg"/><Relationship Id="rId434" Type="http://schemas.openxmlformats.org/officeDocument/2006/relationships/image" Target="../media/394360fd_c40a_11ea_8158_003048fd731b_e91517b5_a59b_11ee_a526_047c1617b143434.jpeg"/><Relationship Id="rId435" Type="http://schemas.openxmlformats.org/officeDocument/2006/relationships/image" Target="../media/394360ff_c40a_11ea_8158_003048fd731b_e91517b7_a59b_11ee_a526_047c1617b143435.jpeg"/><Relationship Id="rId436" Type="http://schemas.openxmlformats.org/officeDocument/2006/relationships/image" Target="../media/39436101_c40a_11ea_8158_003048fd731b_e91517b9_a59b_11ee_a526_047c1617b143436.jpeg"/><Relationship Id="rId437" Type="http://schemas.openxmlformats.org/officeDocument/2006/relationships/image" Target="../media/39436103_c40a_11ea_8158_003048fd731b_e91517bb_a59b_11ee_a526_047c1617b143437.jpeg"/><Relationship Id="rId438" Type="http://schemas.openxmlformats.org/officeDocument/2006/relationships/image" Target="../media/39436105_c40a_11ea_8158_003048fd731b_e91517bd_a59b_11ee_a526_047c1617b143438.jpeg"/><Relationship Id="rId439" Type="http://schemas.openxmlformats.org/officeDocument/2006/relationships/image" Target="../media/39436107_c40a_11ea_8158_003048fd731b_e91517bf_a59b_11ee_a526_047c1617b143439.jpeg"/><Relationship Id="rId440" Type="http://schemas.openxmlformats.org/officeDocument/2006/relationships/image" Target="../media/39436109_c40a_11ea_8158_003048fd731b_e91517c1_a59b_11ee_a526_047c1617b143440.jpeg"/><Relationship Id="rId441" Type="http://schemas.openxmlformats.org/officeDocument/2006/relationships/image" Target="../media/3943610b_c40a_11ea_8158_003048fd731b_e91517c3_a59b_11ee_a526_047c1617b143441.jpeg"/><Relationship Id="rId442" Type="http://schemas.openxmlformats.org/officeDocument/2006/relationships/image" Target="../media/3943610d_c40a_11ea_8158_003048fd731b_e91517c5_a59b_11ee_a526_047c1617b143442.jpeg"/><Relationship Id="rId443" Type="http://schemas.openxmlformats.org/officeDocument/2006/relationships/image" Target="../media/3943610f_c40a_11ea_8158_003048fd731b_e91517c7_a59b_11ee_a526_047c1617b143443.jpeg"/><Relationship Id="rId444" Type="http://schemas.openxmlformats.org/officeDocument/2006/relationships/image" Target="../media/39436111_c40a_11ea_8158_003048fd731b_e91517c9_a59b_11ee_a526_047c1617b143444.jpeg"/><Relationship Id="rId445" Type="http://schemas.openxmlformats.org/officeDocument/2006/relationships/image" Target="../media/39436113_c40a_11ea_8158_003048fd731b_e91517cb_a59b_11ee_a526_047c1617b143445.jpeg"/><Relationship Id="rId446" Type="http://schemas.openxmlformats.org/officeDocument/2006/relationships/image" Target="../media/39436115_c40a_11ea_8158_003048fd731b_e91517cd_a59b_11ee_a526_047c1617b143446.jpeg"/><Relationship Id="rId447" Type="http://schemas.openxmlformats.org/officeDocument/2006/relationships/image" Target="../media/93c0032c_c476_11ea_8158_003048fd731b_e91517cf_a59b_11ee_a526_047c1617b143447.jpeg"/><Relationship Id="rId448" Type="http://schemas.openxmlformats.org/officeDocument/2006/relationships/image" Target="../media/93c0032e_c476_11ea_8158_003048fd731b_e91517d1_a59b_11ee_a526_047c1617b143448.jpeg"/><Relationship Id="rId449" Type="http://schemas.openxmlformats.org/officeDocument/2006/relationships/image" Target="../media/93c00330_c476_11ea_8158_003048fd731b_e91517d3_a59b_11ee_a526_047c1617b143449.jpeg"/><Relationship Id="rId450" Type="http://schemas.openxmlformats.org/officeDocument/2006/relationships/image" Target="../media/93c00332_c476_11ea_8158_003048fd731b_e91517d5_a59b_11ee_a526_047c1617b143450.jpeg"/><Relationship Id="rId451" Type="http://schemas.openxmlformats.org/officeDocument/2006/relationships/image" Target="../media/93c00334_c476_11ea_8158_003048fd731b_e91517d7_a59b_11ee_a526_047c1617b143451.jpeg"/><Relationship Id="rId452" Type="http://schemas.openxmlformats.org/officeDocument/2006/relationships/image" Target="../media/93c00336_c476_11ea_8158_003048fd731b_592215e6_11fe_11ef_a5b8_047c1617b143452.png"/><Relationship Id="rId453" Type="http://schemas.openxmlformats.org/officeDocument/2006/relationships/image" Target="../media/93c00338_c476_11ea_8158_003048fd731b_592215ee_11fe_11ef_a5b8_047c1617b143453.png"/><Relationship Id="rId454" Type="http://schemas.openxmlformats.org/officeDocument/2006/relationships/image" Target="../media/93c0033a_c476_11ea_8158_003048fd731b_592215f4_11fe_11ef_a5b8_047c1617b143454.png"/><Relationship Id="rId455" Type="http://schemas.openxmlformats.org/officeDocument/2006/relationships/image" Target="../media/93c0033c_c476_11ea_8158_003048fd731b_e91517df_a59b_11ee_a526_047c1617b143455.jpeg"/><Relationship Id="rId456" Type="http://schemas.openxmlformats.org/officeDocument/2006/relationships/image" Target="../media/93c0033e_c476_11ea_8158_003048fd731b_e91517e1_a59b_11ee_a526_047c1617b143456.jpeg"/><Relationship Id="rId457" Type="http://schemas.openxmlformats.org/officeDocument/2006/relationships/image" Target="../media/93c00340_c476_11ea_8158_003048fd731b_e91517e3_a59b_11ee_a526_047c1617b143457.jpeg"/><Relationship Id="rId458" Type="http://schemas.openxmlformats.org/officeDocument/2006/relationships/image" Target="../media/93c00342_c476_11ea_8158_003048fd731b_e91517e5_a59b_11ee_a526_047c1617b143458.jpeg"/><Relationship Id="rId459" Type="http://schemas.openxmlformats.org/officeDocument/2006/relationships/image" Target="../media/93c00344_c476_11ea_8158_003048fd731b_e91517e7_a59b_11ee_a526_047c1617b143459.jpeg"/><Relationship Id="rId460" Type="http://schemas.openxmlformats.org/officeDocument/2006/relationships/image" Target="../media/93c00346_c476_11ea_8158_003048fd731b_ae66e545_3fbb_11ef_a5f3_047c1617b143460.png"/><Relationship Id="rId461" Type="http://schemas.openxmlformats.org/officeDocument/2006/relationships/image" Target="../media/93c00348_c476_11ea_8158_003048fd731b_ae66e547_3fbb_11ef_a5f3_047c1617b143461.png"/><Relationship Id="rId462" Type="http://schemas.openxmlformats.org/officeDocument/2006/relationships/image" Target="../media/93c0034a_c476_11ea_8158_003048fd731b_ae66e549_3fbb_11ef_a5f3_047c1617b143462.png"/><Relationship Id="rId463" Type="http://schemas.openxmlformats.org/officeDocument/2006/relationships/image" Target="../media/93c0034c_c476_11ea_8158_003048fd731b_ae66e54d_3fbb_11ef_a5f3_047c1617b143463.png"/><Relationship Id="rId464" Type="http://schemas.openxmlformats.org/officeDocument/2006/relationships/image" Target="../media/93c0034e_c476_11ea_8158_003048fd731b_ae66e54f_3fbb_11ef_a5f3_047c1617b143464.png"/><Relationship Id="rId465" Type="http://schemas.openxmlformats.org/officeDocument/2006/relationships/image" Target="../media/93c00350_c476_11ea_8158_003048fd731b_ae66e54b_3fbb_11ef_a5f3_047c1617b143465.png"/><Relationship Id="rId466" Type="http://schemas.openxmlformats.org/officeDocument/2006/relationships/image" Target="../media/93c00352_c476_11ea_8158_003048fd731b_e91517f5_a59b_11ee_a526_047c1617b143466.jpeg"/><Relationship Id="rId467" Type="http://schemas.openxmlformats.org/officeDocument/2006/relationships/image" Target="../media/93c00354_c476_11ea_8158_003048fd731b_e91517f6_a59b_11ee_a526_047c1617b143467.jpeg"/><Relationship Id="rId468" Type="http://schemas.openxmlformats.org/officeDocument/2006/relationships/image" Target="../media/93c00356_c476_11ea_8158_003048fd731b_e91517f7_a59b_11ee_a526_047c1617b143468.jpeg"/><Relationship Id="rId469" Type="http://schemas.openxmlformats.org/officeDocument/2006/relationships/image" Target="../media/93c00358_c476_11ea_8158_003048fd731b_e91517f8_a59b_11ee_a526_047c1617b143469.jpeg"/><Relationship Id="rId470" Type="http://schemas.openxmlformats.org/officeDocument/2006/relationships/image" Target="../media/93c0035a_c476_11ea_8158_003048fd731b_e91517f9_a59b_11ee_a526_047c1617b143470.jpeg"/><Relationship Id="rId471" Type="http://schemas.openxmlformats.org/officeDocument/2006/relationships/image" Target="../media/93c0035c_c476_11ea_8158_003048fd731b_e91517fa_a59b_11ee_a526_047c1617b143471.jpeg"/><Relationship Id="rId472" Type="http://schemas.openxmlformats.org/officeDocument/2006/relationships/image" Target="../media/93c0035e_c476_11ea_8158_003048fd731b_e91517fb_a59b_11ee_a526_047c1617b143472.jpeg"/><Relationship Id="rId473" Type="http://schemas.openxmlformats.org/officeDocument/2006/relationships/image" Target="../media/93c00360_c476_11ea_8158_003048fd731b_e91517fd_a59b_11ee_a526_047c1617b143473.jpeg"/><Relationship Id="rId474" Type="http://schemas.openxmlformats.org/officeDocument/2006/relationships/image" Target="../media/93c00362_c476_11ea_8158_003048fd731b_e91517ff_a59b_11ee_a526_047c1617b143474.jpeg"/><Relationship Id="rId475" Type="http://schemas.openxmlformats.org/officeDocument/2006/relationships/image" Target="../media/93c00364_c476_11ea_8158_003048fd731b_e9151801_a59b_11ee_a526_047c1617b143475.jpeg"/><Relationship Id="rId476" Type="http://schemas.openxmlformats.org/officeDocument/2006/relationships/image" Target="../media/93c00366_c476_11ea_8158_003048fd731b_e9151803_a59b_11ee_a526_047c1617b143476.jpeg"/><Relationship Id="rId477" Type="http://schemas.openxmlformats.org/officeDocument/2006/relationships/image" Target="../media/93c00368_c476_11ea_8158_003048fd731b_e9151805_a59b_11ee_a526_047c1617b143477.jpeg"/><Relationship Id="rId478" Type="http://schemas.openxmlformats.org/officeDocument/2006/relationships/image" Target="../media/93c0036a_c476_11ea_8158_003048fd731b_e9151807_a59b_11ee_a526_047c1617b143478.jpeg"/><Relationship Id="rId479" Type="http://schemas.openxmlformats.org/officeDocument/2006/relationships/image" Target="../media/93c0036c_c476_11ea_8158_003048fd731b_e9151809_a59b_11ee_a526_047c1617b143479.jpeg"/><Relationship Id="rId480" Type="http://schemas.openxmlformats.org/officeDocument/2006/relationships/image" Target="../media/93c0036e_c476_11ea_8158_003048fd731b_e915180b_a59b_11ee_a526_047c1617b143480.jpeg"/><Relationship Id="rId481" Type="http://schemas.openxmlformats.org/officeDocument/2006/relationships/image" Target="../media/93c00370_c476_11ea_8158_003048fd731b_e915180d_a59b_11ee_a526_047c1617b143481.jpeg"/><Relationship Id="rId482" Type="http://schemas.openxmlformats.org/officeDocument/2006/relationships/image" Target="../media/93c00372_c476_11ea_8158_003048fd731b_e915180f_a59b_11ee_a526_047c1617b143482.jpeg"/><Relationship Id="rId483" Type="http://schemas.openxmlformats.org/officeDocument/2006/relationships/image" Target="../media/93c00374_c476_11ea_8158_003048fd731b_e9151811_a59b_11ee_a526_047c1617b143483.jpeg"/><Relationship Id="rId484" Type="http://schemas.openxmlformats.org/officeDocument/2006/relationships/image" Target="../media/93c00376_c476_11ea_8158_003048fd731b_e9151813_a59b_11ee_a526_047c1617b143484.jpeg"/><Relationship Id="rId485" Type="http://schemas.openxmlformats.org/officeDocument/2006/relationships/image" Target="../media/93c00378_c476_11ea_8158_003048fd731b_e9151815_a59b_11ee_a526_047c1617b143485.jpeg"/><Relationship Id="rId486" Type="http://schemas.openxmlformats.org/officeDocument/2006/relationships/image" Target="../media/93c0037a_c476_11ea_8158_003048fd731b_e9151817_a59b_11ee_a526_047c1617b143486.jpeg"/><Relationship Id="rId487" Type="http://schemas.openxmlformats.org/officeDocument/2006/relationships/image" Target="../media/93c0037c_c476_11ea_8158_003048fd731b_e9151819_a59b_11ee_a526_047c1617b143487.jpeg"/><Relationship Id="rId488" Type="http://schemas.openxmlformats.org/officeDocument/2006/relationships/image" Target="../media/93c0037e_c476_11ea_8158_003048fd731b_e915181b_a59b_11ee_a526_047c1617b143488.jpeg"/><Relationship Id="rId489" Type="http://schemas.openxmlformats.org/officeDocument/2006/relationships/image" Target="../media/93c00380_c476_11ea_8158_003048fd731b_e915181d_a59b_11ee_a526_047c1617b143489.jpeg"/><Relationship Id="rId490" Type="http://schemas.openxmlformats.org/officeDocument/2006/relationships/image" Target="../media/93c00382_c476_11ea_8158_003048fd731b_e915181f_a59b_11ee_a526_047c1617b143490.jpeg"/><Relationship Id="rId491" Type="http://schemas.openxmlformats.org/officeDocument/2006/relationships/image" Target="../media/93c00384_c476_11ea_8158_003048fd731b_e9151821_a59b_11ee_a526_047c1617b143491.jpeg"/><Relationship Id="rId492" Type="http://schemas.openxmlformats.org/officeDocument/2006/relationships/image" Target="../media/93c00386_c476_11ea_8158_003048fd731b_e9151823_a59b_11ee_a526_047c1617b143492.jpeg"/><Relationship Id="rId493" Type="http://schemas.openxmlformats.org/officeDocument/2006/relationships/image" Target="../media/93c00388_c476_11ea_8158_003048fd731b_e9151825_a59b_11ee_a526_047c1617b143493.jpeg"/><Relationship Id="rId494" Type="http://schemas.openxmlformats.org/officeDocument/2006/relationships/image" Target="../media/93c0038a_c476_11ea_8158_003048fd731b_e9151827_a59b_11ee_a526_047c1617b143494.jpeg"/><Relationship Id="rId495" Type="http://schemas.openxmlformats.org/officeDocument/2006/relationships/image" Target="../media/93c0038c_c476_11ea_8158_003048fd731b_e9151829_a59b_11ee_a526_047c1617b143495.jpeg"/><Relationship Id="rId496" Type="http://schemas.openxmlformats.org/officeDocument/2006/relationships/image" Target="../media/93c0038e_c476_11ea_8158_003048fd731b_e915182b_a59b_11ee_a526_047c1617b143496.jpeg"/><Relationship Id="rId497" Type="http://schemas.openxmlformats.org/officeDocument/2006/relationships/image" Target="../media/93c00390_c476_11ea_8158_003048fd731b_ef3088cb_a59b_11ee_a526_047c1617b143497.jpeg"/><Relationship Id="rId498" Type="http://schemas.openxmlformats.org/officeDocument/2006/relationships/image" Target="../media/93c00392_c476_11ea_8158_003048fd731b_ef3088cd_a59b_11ee_a526_047c1617b143498.jpeg"/><Relationship Id="rId499" Type="http://schemas.openxmlformats.org/officeDocument/2006/relationships/image" Target="../media/93c00394_c476_11ea_8158_003048fd731b_ef3088cf_a59b_11ee_a526_047c1617b143499.jpeg"/><Relationship Id="rId500" Type="http://schemas.openxmlformats.org/officeDocument/2006/relationships/image" Target="../media/93c00396_c476_11ea_8158_003048fd731b_ef3088d1_a59b_11ee_a526_047c1617b143500.jpeg"/><Relationship Id="rId501" Type="http://schemas.openxmlformats.org/officeDocument/2006/relationships/image" Target="../media/93c00398_c476_11ea_8158_003048fd731b_ef3088d3_a59b_11ee_a526_047c1617b143501.jpeg"/><Relationship Id="rId502" Type="http://schemas.openxmlformats.org/officeDocument/2006/relationships/image" Target="../media/93c0039a_c476_11ea_8158_003048fd731b_ef3088d5_a59b_11ee_a526_047c1617b143502.jpeg"/><Relationship Id="rId503" Type="http://schemas.openxmlformats.org/officeDocument/2006/relationships/image" Target="../media/93c0039c_c476_11ea_8158_003048fd731b_ef3088d7_a59b_11ee_a526_047c1617b143503.jpeg"/><Relationship Id="rId504" Type="http://schemas.openxmlformats.org/officeDocument/2006/relationships/image" Target="../media/93c0039e_c476_11ea_8158_003048fd731b_ef3088d9_a59b_11ee_a526_047c1617b143504.jpeg"/><Relationship Id="rId505" Type="http://schemas.openxmlformats.org/officeDocument/2006/relationships/image" Target="../media/93c003a0_c476_11ea_8158_003048fd731b_59221604_11fe_11ef_a5b8_047c1617b143505.png"/><Relationship Id="rId506" Type="http://schemas.openxmlformats.org/officeDocument/2006/relationships/image" Target="../media/93c003a2_c476_11ea_8158_003048fd731b_59221606_11fe_11ef_a5b8_047c1617b143506.png"/><Relationship Id="rId507" Type="http://schemas.openxmlformats.org/officeDocument/2006/relationships/image" Target="../media/93c003a4_c476_11ea_8158_003048fd731b_59221608_11fe_11ef_a5b8_047c1617b143507.png"/><Relationship Id="rId508" Type="http://schemas.openxmlformats.org/officeDocument/2006/relationships/image" Target="../media/1fcb317e_5f91_11eb_822d_003048fd731b_ef3088de_a59b_11ee_a526_047c1617b143508.jpeg"/><Relationship Id="rId509" Type="http://schemas.openxmlformats.org/officeDocument/2006/relationships/image" Target="../media/1fcb3180_5f91_11eb_822d_003048fd731b_ef3088e0_a59b_11ee_a526_047c1617b143509.jpeg"/><Relationship Id="rId510" Type="http://schemas.openxmlformats.org/officeDocument/2006/relationships/image" Target="../media/1fcb3182_5f91_11eb_822d_003048fd731b_ef3088e2_a59b_11ee_a526_047c1617b143510.jpeg"/><Relationship Id="rId511" Type="http://schemas.openxmlformats.org/officeDocument/2006/relationships/image" Target="../media/1fcb3184_5f91_11eb_822d_003048fd731b_ef3088e4_a59b_11ee_a526_047c1617b143511.jpeg"/><Relationship Id="rId512" Type="http://schemas.openxmlformats.org/officeDocument/2006/relationships/image" Target="../media/1fcb3186_5f91_11eb_822d_003048fd731b_ef3088e6_a59b_11ee_a526_047c1617b143512.jpeg"/><Relationship Id="rId513" Type="http://schemas.openxmlformats.org/officeDocument/2006/relationships/image" Target="../media/1fcb3188_5f91_11eb_822d_003048fd731b_592215e4_11fe_11ef_a5b8_047c1617b143513.png"/><Relationship Id="rId514" Type="http://schemas.openxmlformats.org/officeDocument/2006/relationships/image" Target="../media/1fcb318a_5f91_11eb_822d_003048fd731b_ef3088ea_a59b_11ee_a526_047c1617b143514.jpeg"/><Relationship Id="rId515" Type="http://schemas.openxmlformats.org/officeDocument/2006/relationships/image" Target="../media/1fcb318c_5f91_11eb_822d_003048fd731b_ef3088ec_a59b_11ee_a526_047c1617b143515.jpeg"/><Relationship Id="rId516" Type="http://schemas.openxmlformats.org/officeDocument/2006/relationships/image" Target="../media/1fcb318e_5f91_11eb_822d_003048fd731b_ef3088ee_a59b_11ee_a526_047c1617b143516.jpeg"/><Relationship Id="rId517" Type="http://schemas.openxmlformats.org/officeDocument/2006/relationships/image" Target="../media/1fcb3190_5f91_11eb_822d_003048fd731b_ef3088f0_a59b_11ee_a526_047c1617b143517.jpeg"/><Relationship Id="rId518" Type="http://schemas.openxmlformats.org/officeDocument/2006/relationships/image" Target="../media/1fcb3192_5f91_11eb_822d_003048fd731b_ef3088f2_a59b_11ee_a526_047c1617b143518.jpeg"/><Relationship Id="rId519" Type="http://schemas.openxmlformats.org/officeDocument/2006/relationships/image" Target="../media/1fcb3196_5f91_11eb_822d_003048fd731b_ef3088f4_a59b_11ee_a526_047c1617b143519.jpeg"/><Relationship Id="rId520" Type="http://schemas.openxmlformats.org/officeDocument/2006/relationships/image" Target="../media/1fcb3198_5f91_11eb_822d_003048fd731b_ef3088f6_a59b_11ee_a526_047c1617b143520.jpeg"/><Relationship Id="rId521" Type="http://schemas.openxmlformats.org/officeDocument/2006/relationships/image" Target="../media/1fcb319a_5f91_11eb_822d_003048fd731b_ef3088f8_a59b_11ee_a526_047c1617b143521.jpeg"/><Relationship Id="rId522" Type="http://schemas.openxmlformats.org/officeDocument/2006/relationships/image" Target="../media/1fcb319c_5f91_11eb_822d_003048fd731b_ef3088fa_a59b_11ee_a526_047c1617b143522.jpeg"/><Relationship Id="rId523" Type="http://schemas.openxmlformats.org/officeDocument/2006/relationships/image" Target="../media/1fcb319e_5f91_11eb_822d_003048fd731b_ef3088fc_a59b_11ee_a526_047c1617b143523.jpeg"/><Relationship Id="rId524" Type="http://schemas.openxmlformats.org/officeDocument/2006/relationships/image" Target="../media/1fcb31a0_5f91_11eb_822d_003048fd731b_ef3088fe_a59b_11ee_a526_047c1617b143524.jpeg"/><Relationship Id="rId525" Type="http://schemas.openxmlformats.org/officeDocument/2006/relationships/image" Target="../media/1fcb31a2_5f91_11eb_822d_003048fd731b_ef308900_a59b_11ee_a526_047c1617b143525.jpeg"/><Relationship Id="rId526" Type="http://schemas.openxmlformats.org/officeDocument/2006/relationships/image" Target="../media/1fcb31a4_5f91_11eb_822d_003048fd731b_ef308902_a59b_11ee_a526_047c1617b143526.jpeg"/><Relationship Id="rId527" Type="http://schemas.openxmlformats.org/officeDocument/2006/relationships/image" Target="../media/1fcb3172_5f91_11eb_822d_003048fd731b_ef308904_a59b_11ee_a526_047c1617b143527.jpeg"/><Relationship Id="rId528" Type="http://schemas.openxmlformats.org/officeDocument/2006/relationships/image" Target="../media/1fcb3174_5f91_11eb_822d_003048fd731b_ef308906_a59b_11ee_a526_047c1617b143528.jpeg"/><Relationship Id="rId529" Type="http://schemas.openxmlformats.org/officeDocument/2006/relationships/image" Target="../media/1fcb3176_5f91_11eb_822d_003048fd731b_ef308908_a59b_11ee_a526_047c1617b143529.jpeg"/><Relationship Id="rId530" Type="http://schemas.openxmlformats.org/officeDocument/2006/relationships/image" Target="../media/1fcb3178_5f91_11eb_822d_003048fd731b_ef30890a_a59b_11ee_a526_047c1617b143530.jpeg"/><Relationship Id="rId531" Type="http://schemas.openxmlformats.org/officeDocument/2006/relationships/image" Target="../media/5e5ea67b_8099_11eb_825c_003048fd731b_ef30890c_a59b_11ee_a526_047c1617b143531.jpeg"/><Relationship Id="rId532" Type="http://schemas.openxmlformats.org/officeDocument/2006/relationships/image" Target="../media/5e5ea67d_8099_11eb_825c_003048fd731b_ef30890d_a59b_11ee_a526_047c1617b143532.jpeg"/><Relationship Id="rId533" Type="http://schemas.openxmlformats.org/officeDocument/2006/relationships/image" Target="../media/5e5ea67f_8099_11eb_825c_003048fd731b_ef30890e_a59b_11ee_a526_047c1617b143533.jpeg"/><Relationship Id="rId534" Type="http://schemas.openxmlformats.org/officeDocument/2006/relationships/image" Target="../media/5e5ea681_8099_11eb_825c_003048fd731b_ef30890f_a59b_11ee_a526_047c1617b143534.jpeg"/><Relationship Id="rId535" Type="http://schemas.openxmlformats.org/officeDocument/2006/relationships/image" Target="../media/5e5ea683_8099_11eb_825c_003048fd731b_ef308910_a59b_11ee_a526_047c1617b143535.jpeg"/><Relationship Id="rId536" Type="http://schemas.openxmlformats.org/officeDocument/2006/relationships/image" Target="../media/5e5ea685_8099_11eb_825c_003048fd731b_ef308911_a59b_11ee_a526_047c1617b143536.jpeg"/><Relationship Id="rId537" Type="http://schemas.openxmlformats.org/officeDocument/2006/relationships/image" Target="../media/3650f78c_f3c8_11eb_82ff_003048fd731b_ef308912_a59b_11ee_a526_047c1617b143537.jpeg"/><Relationship Id="rId538" Type="http://schemas.openxmlformats.org/officeDocument/2006/relationships/image" Target="../media/3650f78e_f3c8_11eb_82ff_003048fd731b_ef308914_a59b_11ee_a526_047c1617b143538.jpeg"/><Relationship Id="rId539" Type="http://schemas.openxmlformats.org/officeDocument/2006/relationships/image" Target="../media/3650f790_f3c8_11eb_82ff_003048fd731b_ef308916_a59b_11ee_a526_047c1617b143539.jpeg"/><Relationship Id="rId540" Type="http://schemas.openxmlformats.org/officeDocument/2006/relationships/image" Target="../media/3650f792_f3c8_11eb_82ff_003048fd731b_ef308918_a59b_11ee_a526_047c1617b143540.jpeg"/><Relationship Id="rId541" Type="http://schemas.openxmlformats.org/officeDocument/2006/relationships/image" Target="../media/3650f794_f3c8_11eb_82ff_003048fd731b_ef30891a_a59b_11ee_a526_047c1617b143541.jpeg"/><Relationship Id="rId542" Type="http://schemas.openxmlformats.org/officeDocument/2006/relationships/image" Target="../media/3650f796_f3c8_11eb_82ff_003048fd731b_ef30891c_a59b_11ee_a526_047c1617b143542.jpeg"/><Relationship Id="rId543" Type="http://schemas.openxmlformats.org/officeDocument/2006/relationships/image" Target="../media/3650f798_f3c8_11eb_82ff_003048fd731b_592215fc_11fe_11ef_a5b8_047c1617b143543.png"/><Relationship Id="rId544" Type="http://schemas.openxmlformats.org/officeDocument/2006/relationships/image" Target="../media/3650f79a_f3c8_11eb_82ff_003048fd731b_592215fe_11fe_11ef_a5b8_047c1617b143544.png"/><Relationship Id="rId545" Type="http://schemas.openxmlformats.org/officeDocument/2006/relationships/image" Target="../media/3650f79c_f3c8_11eb_82ff_003048fd731b_592215ff_11fe_11ef_a5b8_047c1617b143545.png"/><Relationship Id="rId546" Type="http://schemas.openxmlformats.org/officeDocument/2006/relationships/image" Target="../media/3650f79e_f3c8_11eb_82ff_003048fd731b_59221600_11fe_11ef_a5b8_047c1617b143546.png"/><Relationship Id="rId547" Type="http://schemas.openxmlformats.org/officeDocument/2006/relationships/image" Target="../media/3650f7a0_f3c8_11eb_82ff_003048fd731b_59221601_11fe_11ef_a5b8_047c1617b143547.png"/><Relationship Id="rId548" Type="http://schemas.openxmlformats.org/officeDocument/2006/relationships/image" Target="../media/3650f7a2_f3c8_11eb_82ff_003048fd731b_59221602_11fe_11ef_a5b8_047c1617b143548.png"/><Relationship Id="rId549" Type="http://schemas.openxmlformats.org/officeDocument/2006/relationships/image" Target="../media/3650f7a4_f3c8_11eb_82ff_003048fd731b_592215fd_11fe_11ef_a5b8_047c1617b143549.png"/><Relationship Id="rId550" Type="http://schemas.openxmlformats.org/officeDocument/2006/relationships/image" Target="../media/3650f7a6_f3c8_11eb_82ff_003048fd731b_59221603_11fe_11ef_a5b8_047c1617b143550.png"/><Relationship Id="rId551" Type="http://schemas.openxmlformats.org/officeDocument/2006/relationships/image" Target="../media/3650f7a8_f3c8_11eb_82ff_003048fd731b_592215e8_11fe_11ef_a5b8_047c1617b143551.png"/><Relationship Id="rId552" Type="http://schemas.openxmlformats.org/officeDocument/2006/relationships/image" Target="../media/3650f7aa_f3c8_11eb_82ff_003048fd731b_592215ea_11fe_11ef_a5b8_047c1617b143552.png"/><Relationship Id="rId553" Type="http://schemas.openxmlformats.org/officeDocument/2006/relationships/image" Target="../media/3650f7ac_f3c8_11eb_82ff_003048fd731b_592215ec_11fe_11ef_a5b8_047c1617b143553.png"/><Relationship Id="rId554" Type="http://schemas.openxmlformats.org/officeDocument/2006/relationships/image" Target="../media/3650f7ae_f3c8_11eb_82ff_003048fd731b_592215f0_11fe_11ef_a5b8_047c1617b143554.png"/><Relationship Id="rId555" Type="http://schemas.openxmlformats.org/officeDocument/2006/relationships/image" Target="../media/3650f7b0_f3c8_11eb_82ff_003048fd731b_592215f2_11fe_11ef_a5b8_047c1617b143555.png"/><Relationship Id="rId556" Type="http://schemas.openxmlformats.org/officeDocument/2006/relationships/image" Target="../media/3e2d3877_f3c8_11eb_82ff_003048fd731b_592215f6_11fe_11ef_a5b8_047c1617b143556.png"/><Relationship Id="rId557" Type="http://schemas.openxmlformats.org/officeDocument/2006/relationships/image" Target="../media/3e2d3879_f3c8_11eb_82ff_003048fd731b_592215f8_11fe_11ef_a5b8_047c1617b143557.png"/><Relationship Id="rId558" Type="http://schemas.openxmlformats.org/officeDocument/2006/relationships/image" Target="../media/3e2d387b_f3c8_11eb_82ff_003048fd731b_592215fa_11fe_11ef_a5b8_047c1617b143558.png"/><Relationship Id="rId559" Type="http://schemas.openxmlformats.org/officeDocument/2006/relationships/image" Target="../media/3e2d387d_f3c8_11eb_82ff_003048fd731b_ef308936_a59b_11ee_a526_047c1617b143559.jpeg"/><Relationship Id="rId560" Type="http://schemas.openxmlformats.org/officeDocument/2006/relationships/image" Target="../media/3e2d387f_f3c8_11eb_82ff_003048fd731b_ef308938_a59b_11ee_a526_047c1617b143560.jpeg"/><Relationship Id="rId561" Type="http://schemas.openxmlformats.org/officeDocument/2006/relationships/image" Target="../media/3e2d3881_f3c8_11eb_82ff_003048fd731b_ef30893a_a59b_11ee_a526_047c1617b143561.jpeg"/><Relationship Id="rId562" Type="http://schemas.openxmlformats.org/officeDocument/2006/relationships/image" Target="../media/3e2d3883_f3c8_11eb_82ff_003048fd731b_ef30893c_a59b_11ee_a526_047c1617b143562.jpeg"/><Relationship Id="rId563" Type="http://schemas.openxmlformats.org/officeDocument/2006/relationships/image" Target="../media/3e2d3885_f3c8_11eb_82ff_003048fd731b_ef30893e_a59b_11ee_a526_047c1617b143563.jpeg"/><Relationship Id="rId564" Type="http://schemas.openxmlformats.org/officeDocument/2006/relationships/image" Target="../media/3e2d3887_f3c8_11eb_82ff_003048fd731b_ef308940_a59b_11ee_a526_047c1617b143564.jpeg"/><Relationship Id="rId565" Type="http://schemas.openxmlformats.org/officeDocument/2006/relationships/image" Target="../media/3e2d3889_f3c8_11eb_82ff_003048fd731b_ef308942_a59b_11ee_a526_047c1617b143565.jpeg"/><Relationship Id="rId566" Type="http://schemas.openxmlformats.org/officeDocument/2006/relationships/image" Target="../media/3e2d388b_f3c8_11eb_82ff_003048fd731b_ae66e551_3fbb_11ef_a5f3_047c1617b143566.png"/><Relationship Id="rId567" Type="http://schemas.openxmlformats.org/officeDocument/2006/relationships/image" Target="../media/3e2d388d_f3c8_11eb_82ff_003048fd731b_ae66e553_3fbb_11ef_a5f3_047c1617b143567.png"/><Relationship Id="rId568" Type="http://schemas.openxmlformats.org/officeDocument/2006/relationships/image" Target="../media/3e2d388f_f3c8_11eb_82ff_003048fd731b_ae66e555_3fbb_11ef_a5f3_047c1617b143568.png"/><Relationship Id="rId569" Type="http://schemas.openxmlformats.org/officeDocument/2006/relationships/image" Target="../media/3e2d3891_f3c8_11eb_82ff_003048fd731b_ae66e559_3fbb_11ef_a5f3_047c1617b143569.png"/><Relationship Id="rId570" Type="http://schemas.openxmlformats.org/officeDocument/2006/relationships/image" Target="../media/3e2d3893_f3c8_11eb_82ff_003048fd731b_ef30894c_a59b_11ee_a526_047c1617b143570.jpeg"/><Relationship Id="rId571" Type="http://schemas.openxmlformats.org/officeDocument/2006/relationships/image" Target="../media/3e2d3895_f3c8_11eb_82ff_003048fd731b_ef30894d_a59b_11ee_a526_047c1617b143571.jpeg"/><Relationship Id="rId572" Type="http://schemas.openxmlformats.org/officeDocument/2006/relationships/image" Target="../media/3e2d3897_f3c8_11eb_82ff_003048fd731b_ef30894e_a59b_11ee_a526_047c1617b143572.jpeg"/><Relationship Id="rId573" Type="http://schemas.openxmlformats.org/officeDocument/2006/relationships/image" Target="../media/3e2d3899_f3c8_11eb_82ff_003048fd731b_ef30894f_a59b_11ee_a526_047c1617b143573.jpeg"/><Relationship Id="rId574" Type="http://schemas.openxmlformats.org/officeDocument/2006/relationships/image" Target="../media/3e2d389b_f3c8_11eb_82ff_003048fd731b_ef308950_a59b_11ee_a526_047c1617b143574.jpeg"/><Relationship Id="rId575" Type="http://schemas.openxmlformats.org/officeDocument/2006/relationships/image" Target="../media/3e2d389d_f3c8_11eb_82ff_003048fd731b_ef308952_a59b_11ee_a526_047c1617b143575.jpeg"/><Relationship Id="rId576" Type="http://schemas.openxmlformats.org/officeDocument/2006/relationships/image" Target="../media/3e2d389f_f3c8_11eb_82ff_003048fd731b_ef308954_a59b_11ee_a526_047c1617b143576.jpeg"/><Relationship Id="rId577" Type="http://schemas.openxmlformats.org/officeDocument/2006/relationships/image" Target="../media/3e2d38a1_f3c8_11eb_82ff_003048fd731b_ef308956_a59b_11ee_a526_047c1617b143577.jpeg"/><Relationship Id="rId578" Type="http://schemas.openxmlformats.org/officeDocument/2006/relationships/image" Target="../media/3e2d38a3_f3c8_11eb_82ff_003048fd731b_ef308958_a59b_11ee_a526_047c1617b143578.jpeg"/><Relationship Id="rId579" Type="http://schemas.openxmlformats.org/officeDocument/2006/relationships/image" Target="../media/3e2d38a5_f3c8_11eb_82ff_003048fd731b_ef30895a_a59b_11ee_a526_047c1617b143579.jpeg"/><Relationship Id="rId580" Type="http://schemas.openxmlformats.org/officeDocument/2006/relationships/image" Target="../media/3e2d38a7_f3c8_11eb_82ff_003048fd731b_ef30895c_a59b_11ee_a526_047c1617b143580.jpeg"/><Relationship Id="rId581" Type="http://schemas.openxmlformats.org/officeDocument/2006/relationships/image" Target="../media/3e2d38a9_f3c8_11eb_82ff_003048fd731b_ef30895e_a59b_11ee_a526_047c1617b143581.jpeg"/><Relationship Id="rId582" Type="http://schemas.openxmlformats.org/officeDocument/2006/relationships/image" Target="../media/3e2d38ab_f3c8_11eb_82ff_003048fd731b_ef308960_a59b_11ee_a526_047c1617b143582.jpeg"/><Relationship Id="rId583" Type="http://schemas.openxmlformats.org/officeDocument/2006/relationships/image" Target="../media/3e2d38ad_f3c8_11eb_82ff_003048fd731b_ef308962_a59b_11ee_a526_047c1617b143583.jpeg"/><Relationship Id="rId584" Type="http://schemas.openxmlformats.org/officeDocument/2006/relationships/image" Target="../media/3e2d38af_f3c8_11eb_82ff_003048fd731b_ef308964_a59b_11ee_a526_047c1617b143584.jpeg"/><Relationship Id="rId585" Type="http://schemas.openxmlformats.org/officeDocument/2006/relationships/image" Target="../media/3e2d38b1_f3c8_11eb_82ff_003048fd731b_ef308966_a59b_11ee_a526_047c1617b143585.jpeg"/><Relationship Id="rId586" Type="http://schemas.openxmlformats.org/officeDocument/2006/relationships/image" Target="../media/3e2d38b3_f3c8_11eb_82ff_003048fd731b_ef308968_a59b_11ee_a526_047c1617b143586.jpeg"/><Relationship Id="rId587" Type="http://schemas.openxmlformats.org/officeDocument/2006/relationships/image" Target="../media/3e2d38b5_f3c8_11eb_82ff_003048fd731b_ef30896a_a59b_11ee_a526_047c1617b143587.jpeg"/><Relationship Id="rId588" Type="http://schemas.openxmlformats.org/officeDocument/2006/relationships/image" Target="../media/3e2d38b7_f3c8_11eb_82ff_003048fd731b_ef30896c_a59b_11ee_a526_047c1617b143588.jpeg"/><Relationship Id="rId589" Type="http://schemas.openxmlformats.org/officeDocument/2006/relationships/image" Target="../media/3e2d38b9_f3c8_11eb_82ff_003048fd731b_ef30896e_a59b_11ee_a526_047c1617b143589.jpeg"/><Relationship Id="rId590" Type="http://schemas.openxmlformats.org/officeDocument/2006/relationships/image" Target="../media/3e2d38bb_f3c8_11eb_82ff_003048fd731b_ef308970_a59b_11ee_a526_047c1617b143590.jpeg"/><Relationship Id="rId591" Type="http://schemas.openxmlformats.org/officeDocument/2006/relationships/image" Target="../media/3e2d38bd_f3c8_11eb_82ff_003048fd731b_ef308972_a59b_11ee_a526_047c1617b143591.jpeg"/><Relationship Id="rId592" Type="http://schemas.openxmlformats.org/officeDocument/2006/relationships/image" Target="../media/3e2d38bf_f3c8_11eb_82ff_003048fd731b_5922160a_11fe_11ef_a5b8_047c1617b143592.png"/><Relationship Id="rId593" Type="http://schemas.openxmlformats.org/officeDocument/2006/relationships/image" Target="../media/45f592a8_4009_11ec_8370_003048fd731b_ef308975_a59b_11ee_a526_047c1617b143593.jpeg"/><Relationship Id="rId594" Type="http://schemas.openxmlformats.org/officeDocument/2006/relationships/image" Target="../media/45f592aa_4009_11ec_8370_003048fd731b_ef308976_a59b_11ee_a526_047c1617b143594.jpeg"/><Relationship Id="rId595" Type="http://schemas.openxmlformats.org/officeDocument/2006/relationships/image" Target="../media/45f592ac_4009_11ec_8370_003048fd731b_ef308977_a59b_11ee_a526_047c1617b143595.jpeg"/><Relationship Id="rId596" Type="http://schemas.openxmlformats.org/officeDocument/2006/relationships/image" Target="../media/45f592ae_4009_11ec_8370_003048fd731b_ef308978_a59b_11ee_a526_047c1617b143596.jpeg"/><Relationship Id="rId597" Type="http://schemas.openxmlformats.org/officeDocument/2006/relationships/image" Target="../media/45f592b0_4009_11ec_8370_003048fd731b_ef308979_a59b_11ee_a526_047c1617b143597.jpeg"/><Relationship Id="rId598" Type="http://schemas.openxmlformats.org/officeDocument/2006/relationships/image" Target="../media/45f592b2_4009_11ec_8370_003048fd731b_ef30897a_a59b_11ee_a526_047c1617b143598.jpeg"/><Relationship Id="rId599" Type="http://schemas.openxmlformats.org/officeDocument/2006/relationships/image" Target="../media/45f592b4_4009_11ec_8370_003048fd731b_ef30897b_a59b_11ee_a526_047c1617b143599.jpeg"/><Relationship Id="rId600" Type="http://schemas.openxmlformats.org/officeDocument/2006/relationships/image" Target="../media/13e8ca5c_5853_11ed_a364_047c1617b143_592215e2_11fe_11ef_a5b8_047c1617b143600.png"/><Relationship Id="rId601" Type="http://schemas.openxmlformats.org/officeDocument/2006/relationships/image" Target="../media/13e8ca5e_5853_11ed_a364_047c1617b143_ae66e557_3fbb_11ef_a5f3_047c1617b143601.png"/><Relationship Id="rId602" Type="http://schemas.openxmlformats.org/officeDocument/2006/relationships/image" Target="../media/13e8ca60_5853_11ed_a364_047c1617b143_ae66e55b_3fbb_11ef_a5f3_047c1617b143602.png"/><Relationship Id="rId603" Type="http://schemas.openxmlformats.org/officeDocument/2006/relationships/image" Target="../media/13e8ca62_5853_11ed_a364_047c1617b143_ae66e55d_3fbb_11ef_a5f3_047c1617b143603.png"/><Relationship Id="rId604" Type="http://schemas.openxmlformats.org/officeDocument/2006/relationships/image" Target="../media/85dc9608_9062_11ed_a3b6_047c1617b143_592215d4_11fe_11ef_a5b8_047c1617b143604.png"/><Relationship Id="rId605" Type="http://schemas.openxmlformats.org/officeDocument/2006/relationships/image" Target="../media/170c7628_525f_11ef_a60b_047c1617b143_6b95d3f5_5a46_11f0_a775_047c1617b143605.jpeg"/><Relationship Id="rId606" Type="http://schemas.openxmlformats.org/officeDocument/2006/relationships/image" Target="../media/170c762a_525f_11ef_a60b_047c1617b143_6b95d3e5_5a46_11f0_a775_047c1617b143606.jpeg"/><Relationship Id="rId607" Type="http://schemas.openxmlformats.org/officeDocument/2006/relationships/image" Target="../media/170c762c_525f_11ef_a60b_047c1617b143_6b95d3e7_5a46_11f0_a775_047c1617b143607.jpeg"/><Relationship Id="rId608" Type="http://schemas.openxmlformats.org/officeDocument/2006/relationships/image" Target="../media/170c762e_525f_11ef_a60b_047c1617b143_6b95d3e9_5a46_11f0_a775_047c1617b143608.jpeg"/><Relationship Id="rId609" Type="http://schemas.openxmlformats.org/officeDocument/2006/relationships/image" Target="../media/170c7630_525f_11ef_a60b_047c1617b143_6b95d3ec_5a46_11f0_a775_047c1617b143609.jpeg"/><Relationship Id="rId610" Type="http://schemas.openxmlformats.org/officeDocument/2006/relationships/image" Target="../media/170c7632_525f_11ef_a60b_047c1617b143_6b95d3ef_5a46_11f0_a775_047c1617b143610.jpeg"/><Relationship Id="rId611" Type="http://schemas.openxmlformats.org/officeDocument/2006/relationships/image" Target="../media/170c7634_525f_11ef_a60b_047c1617b143_6b95d3f1_5a46_11f0_a775_047c1617b143611.jpeg"/><Relationship Id="rId612" Type="http://schemas.openxmlformats.org/officeDocument/2006/relationships/image" Target="../media/170c7636_525f_11ef_a60b_047c1617b143_6b95d3d8_5a46_11f0_a775_047c1617b143612.jpeg"/><Relationship Id="rId613" Type="http://schemas.openxmlformats.org/officeDocument/2006/relationships/image" Target="../media/170c7638_525f_11ef_a60b_047c1617b143_6b95d3da_5a46_11f0_a775_047c1617b143613.jpeg"/><Relationship Id="rId614" Type="http://schemas.openxmlformats.org/officeDocument/2006/relationships/image" Target="../media/170c763a_525f_11ef_a60b_047c1617b143_6b95d3dc_5a46_11f0_a775_047c1617b143614.jpeg"/><Relationship Id="rId615" Type="http://schemas.openxmlformats.org/officeDocument/2006/relationships/image" Target="../media/170c763c_525f_11ef_a60b_047c1617b143_6b95d403_5a46_11f0_a775_047c1617b143615.jpeg"/><Relationship Id="rId616" Type="http://schemas.openxmlformats.org/officeDocument/2006/relationships/image" Target="../media/170c763e_525f_11ef_a60b_047c1617b143_6b95d405_5a46_11f0_a775_047c1617b143616.jpeg"/><Relationship Id="rId617" Type="http://schemas.openxmlformats.org/officeDocument/2006/relationships/image" Target="../media/170c7640_525f_11ef_a60b_047c1617b143_6b95d407_5a46_11f0_a775_047c1617b143617.jpeg"/><Relationship Id="rId618" Type="http://schemas.openxmlformats.org/officeDocument/2006/relationships/image" Target="../media/fa083b59_526f_11ef_a60b_047c1617b143_6b95d3ff_5a46_11f0_a775_047c1617b143618.jpeg"/><Relationship Id="rId619" Type="http://schemas.openxmlformats.org/officeDocument/2006/relationships/image" Target="../media/fa083b5b_526f_11ef_a60b_047c1617b143_6b95d3f9_5a46_11f0_a775_047c1617b143619.jpeg"/><Relationship Id="rId620" Type="http://schemas.openxmlformats.org/officeDocument/2006/relationships/image" Target="../media/fa083b5d_526f_11ef_a60b_047c1617b143_6b95d3fb_5a46_11f0_a775_047c1617b143620.jpeg"/><Relationship Id="rId621" Type="http://schemas.openxmlformats.org/officeDocument/2006/relationships/image" Target="../media/fa083b5f_526f_11ef_a60b_047c1617b143_6b95d3fd_5a46_11f0_a775_047c1617b143621.jpeg"/><Relationship Id="rId622" Type="http://schemas.openxmlformats.org/officeDocument/2006/relationships/image" Target="../media/fa083b61_526f_11ef_a60b_047c1617b143_6b95d3f7_5a46_11f0_a775_047c1617b143622.jpeg"/><Relationship Id="rId623" Type="http://schemas.openxmlformats.org/officeDocument/2006/relationships/image" Target="../media/fa083b63_526f_11ef_a60b_047c1617b143_6b95d3bf_5a46_11f0_a775_047c1617b143623.jpeg"/><Relationship Id="rId624" Type="http://schemas.openxmlformats.org/officeDocument/2006/relationships/image" Target="../media/fa083b65_526f_11ef_a60b_047c1617b143_6b95d3c1_5a46_11f0_a775_047c1617b143624.jpeg"/><Relationship Id="rId625" Type="http://schemas.openxmlformats.org/officeDocument/2006/relationships/image" Target="../media/fa083b67_526f_11ef_a60b_047c1617b143_6b95d3c3_5a46_11f0_a775_047c1617b143625.jpeg"/><Relationship Id="rId626" Type="http://schemas.openxmlformats.org/officeDocument/2006/relationships/image" Target="../media/fa083b69_526f_11ef_a60b_047c1617b143_6b95d3bd_5a46_11f0_a775_047c1617b143626.jpeg"/><Relationship Id="rId627" Type="http://schemas.openxmlformats.org/officeDocument/2006/relationships/image" Target="../media/fa083b6b_526f_11ef_a60b_047c1617b143_6b95d3c7_5a46_11f0_a775_047c1617b143627.jpeg"/><Relationship Id="rId628" Type="http://schemas.openxmlformats.org/officeDocument/2006/relationships/image" Target="../media/fa083b6d_526f_11ef_a60b_047c1617b143_6b95d3c9_5a46_11f0_a775_047c1617b143628.jpeg"/><Relationship Id="rId629" Type="http://schemas.openxmlformats.org/officeDocument/2006/relationships/image" Target="../media/fa083b6f_526f_11ef_a60b_047c1617b143_6b95d3cb_5a46_11f0_a775_047c1617b143629.jpeg"/><Relationship Id="rId630" Type="http://schemas.openxmlformats.org/officeDocument/2006/relationships/image" Target="../media/fa083b71_526f_11ef_a60b_047c1617b143_6b95d38b_5a46_11f0_a775_047c1617b143630.jpeg"/><Relationship Id="rId631" Type="http://schemas.openxmlformats.org/officeDocument/2006/relationships/image" Target="../media/fa083b73_526f_11ef_a60b_047c1617b143_6b95d38d_5a46_11f0_a775_047c1617b143631.jpeg"/><Relationship Id="rId632" Type="http://schemas.openxmlformats.org/officeDocument/2006/relationships/image" Target="../media/fa083b75_526f_11ef_a60b_047c1617b143_6b95d38f_5a46_11f0_a775_047c1617b143632.jpeg"/><Relationship Id="rId633" Type="http://schemas.openxmlformats.org/officeDocument/2006/relationships/image" Target="../media/fa083b77_526f_11ef_a60b_047c1617b143_6b95d389_5a46_11f0_a775_047c1617b143633.jpeg"/><Relationship Id="rId634" Type="http://schemas.openxmlformats.org/officeDocument/2006/relationships/image" Target="../media/fa083b79_526f_11ef_a60b_047c1617b143_83eb9686_5d58_11f0_a779_047c1617b143634.jpeg"/><Relationship Id="rId635" Type="http://schemas.openxmlformats.org/officeDocument/2006/relationships/image" Target="../media/fa083b7b_526f_11ef_a60b_047c1617b143_83eb9688_5d58_11f0_a779_047c1617b143635.jpeg"/><Relationship Id="rId636" Type="http://schemas.openxmlformats.org/officeDocument/2006/relationships/image" Target="../media/fa083b7d_526f_11ef_a60b_047c1617b143_83eb968a_5d58_11f0_a779_047c1617b143636.jpeg"/><Relationship Id="rId637" Type="http://schemas.openxmlformats.org/officeDocument/2006/relationships/image" Target="../media/fa083b7f_526f_11ef_a60b_047c1617b143_83eb9684_5d58_11f0_a779_047c1617b143637.jpeg"/><Relationship Id="rId638" Type="http://schemas.openxmlformats.org/officeDocument/2006/relationships/image" Target="../media/fa083b81_526f_11ef_a60b_047c1617b143_19e9686c_793a_11f0_a79f_047c1617b143638.jpeg"/><Relationship Id="rId639" Type="http://schemas.openxmlformats.org/officeDocument/2006/relationships/image" Target="../media/fa083b83_526f_11ef_a60b_047c1617b143_19e9686d_793a_11f0_a79f_047c1617b143639.jpeg"/><Relationship Id="rId640" Type="http://schemas.openxmlformats.org/officeDocument/2006/relationships/image" Target="../media/fa083b85_526f_11ef_a60b_047c1617b143_19e9686e_793a_11f0_a79f_047c1617b143640.jpeg"/><Relationship Id="rId641" Type="http://schemas.openxmlformats.org/officeDocument/2006/relationships/image" Target="../media/fa083b87_526f_11ef_a60b_047c1617b143_19e9686b_793a_11f0_a79f_047c1617b143641.jpeg"/><Relationship Id="rId642" Type="http://schemas.openxmlformats.org/officeDocument/2006/relationships/image" Target="../media/fa083b89_526f_11ef_a60b_047c1617b143_6b95d3cf_5a46_11f0_a775_047c1617b143642.jpeg"/><Relationship Id="rId643" Type="http://schemas.openxmlformats.org/officeDocument/2006/relationships/image" Target="../media/fa083b8b_526f_11ef_a60b_047c1617b143_6b95d3d3_5a46_11f0_a775_047c1617b143643.jpeg"/><Relationship Id="rId644" Type="http://schemas.openxmlformats.org/officeDocument/2006/relationships/image" Target="../media/fa083b8d_526f_11ef_a60b_047c1617b143_6b95d3d1_5a46_11f0_a775_047c1617b143644.jpeg"/><Relationship Id="rId645" Type="http://schemas.openxmlformats.org/officeDocument/2006/relationships/image" Target="../media/fa083b8f_526f_11ef_a60b_047c1617b143_6b95d3d5_5a46_11f0_a775_047c1617b143645.jpeg"/><Relationship Id="rId646" Type="http://schemas.openxmlformats.org/officeDocument/2006/relationships/image" Target="../media/fa083b91_526f_11ef_a60b_047c1617b143_6b95d3cd_5a46_11f0_a775_047c1617b143646.jpeg"/><Relationship Id="rId647" Type="http://schemas.openxmlformats.org/officeDocument/2006/relationships/image" Target="../media/5a6d7b53_847d_11ef_a64e_047c1617b143_19e96869_793a_11f0_a79f_047c1617b143647.jpeg"/><Relationship Id="rId648" Type="http://schemas.openxmlformats.org/officeDocument/2006/relationships/image" Target="../media/5a6d7b55_847d_11ef_a64e_047c1617b143_19e9686a_793a_11f0_a79f_047c1617b143648.jpeg"/><Relationship Id="rId649" Type="http://schemas.openxmlformats.org/officeDocument/2006/relationships/image" Target="../media/5a6d7b57_847d_11ef_a64e_047c1617b143_6b95d3f3_5a46_11f0_a775_047c1617b143649.jpeg"/><Relationship Id="rId650" Type="http://schemas.openxmlformats.org/officeDocument/2006/relationships/image" Target="../media/5a6d7b59_847d_11ef_a64e_047c1617b143_6b95d3de_5a46_11f0_a775_047c1617b143650.jpeg"/><Relationship Id="rId651" Type="http://schemas.openxmlformats.org/officeDocument/2006/relationships/image" Target="../media/5a6d7b5b_847d_11ef_a64e_047c1617b143_6b95d3e0_5a46_11f0_a775_047c1617b143651.jpeg"/><Relationship Id="rId652" Type="http://schemas.openxmlformats.org/officeDocument/2006/relationships/image" Target="../media/5a6d7b5d_847d_11ef_a64e_047c1617b143_6b95d3e2_5a46_11f0_a775_047c1617b143652.jpeg"/><Relationship Id="rId653" Type="http://schemas.openxmlformats.org/officeDocument/2006/relationships/image" Target="../media/5a6d7b5f_847d_11ef_a64e_047c1617b143_6b95d401_5a46_11f0_a775_047c1617b143653.jpeg"/><Relationship Id="rId654" Type="http://schemas.openxmlformats.org/officeDocument/2006/relationships/image" Target="../media/5a6d7b61_847d_11ef_a64e_047c1617b143_6b95d3c5_5a46_11f0_a775_047c1617b143654.jpeg"/><Relationship Id="rId655" Type="http://schemas.openxmlformats.org/officeDocument/2006/relationships/image" Target="../media/5a6d7b63_847d_11ef_a64e_047c1617b143_1b5db362_f93d_11ef_a6ea_047c1617b143655.jpeg"/><Relationship Id="rId656" Type="http://schemas.openxmlformats.org/officeDocument/2006/relationships/image" Target="../media/5a6d7b65_847d_11ef_a64e_047c1617b143_6b95d3a7_5a46_11f0_a775_047c1617b143656.jpeg"/><Relationship Id="rId657" Type="http://schemas.openxmlformats.org/officeDocument/2006/relationships/image" Target="../media/5a6d7b67_847d_11ef_a64e_047c1617b143_6b95d3a9_5a46_11f0_a775_047c1617b143657.jpeg"/><Relationship Id="rId658" Type="http://schemas.openxmlformats.org/officeDocument/2006/relationships/image" Target="../media/5a6d7b69_847d_11ef_a64e_047c1617b143_6b95d3ab_5a46_11f0_a775_047c1617b143658.jpeg"/><Relationship Id="rId659" Type="http://schemas.openxmlformats.org/officeDocument/2006/relationships/image" Target="../media/5a6d7b6b_847d_11ef_a64e_047c1617b143_6b95d3ad_5a46_11f0_a775_047c1617b143659.jpeg"/><Relationship Id="rId660" Type="http://schemas.openxmlformats.org/officeDocument/2006/relationships/image" Target="../media/5a6d7b6d_847d_11ef_a64e_047c1617b143_6b95d3af_5a46_11f0_a775_047c1617b143660.jpeg"/><Relationship Id="rId661" Type="http://schemas.openxmlformats.org/officeDocument/2006/relationships/image" Target="../media/5a6d7b6f_847d_11ef_a64e_047c1617b143_6b95d3b1_5a46_11f0_a775_047c1617b143661.jpeg"/><Relationship Id="rId662" Type="http://schemas.openxmlformats.org/officeDocument/2006/relationships/image" Target="../media/5a6d7b71_847d_11ef_a64e_047c1617b143_6b95d3b3_5a46_11f0_a775_047c1617b143662.jpeg"/><Relationship Id="rId663" Type="http://schemas.openxmlformats.org/officeDocument/2006/relationships/image" Target="../media/5a6d7b73_847d_11ef_a64e_047c1617b143_6b95d3b5_5a46_11f0_a775_047c1617b143663.jpeg"/><Relationship Id="rId664" Type="http://schemas.openxmlformats.org/officeDocument/2006/relationships/image" Target="../media/5a6d7b75_847d_11ef_a64e_047c1617b143_6b95d3b7_5a46_11f0_a775_047c1617b143664.jpeg"/><Relationship Id="rId665" Type="http://schemas.openxmlformats.org/officeDocument/2006/relationships/image" Target="../media/5a6d7b77_847d_11ef_a64e_047c1617b143_6b95d3b9_5a46_11f0_a775_047c1617b143665.jpeg"/><Relationship Id="rId666" Type="http://schemas.openxmlformats.org/officeDocument/2006/relationships/image" Target="../media/5a6d7b79_847d_11ef_a64e_047c1617b143_6b95d3bb_5a46_11f0_a775_047c1617b143666.jpeg"/><Relationship Id="rId667" Type="http://schemas.openxmlformats.org/officeDocument/2006/relationships/image" Target="../media/5a6d7b7b_847d_11ef_a64e_047c1617b143_6b95d391_5a46_11f0_a775_047c1617b143667.jpeg"/><Relationship Id="rId668" Type="http://schemas.openxmlformats.org/officeDocument/2006/relationships/image" Target="../media/5a6d7b7d_847d_11ef_a64e_047c1617b143_6b95d393_5a46_11f0_a775_047c1617b143668.jpeg"/><Relationship Id="rId669" Type="http://schemas.openxmlformats.org/officeDocument/2006/relationships/image" Target="../media/5a6d7b7f_847d_11ef_a64e_047c1617b143_6b95d395_5a46_11f0_a775_047c1617b143669.jpeg"/><Relationship Id="rId670" Type="http://schemas.openxmlformats.org/officeDocument/2006/relationships/image" Target="../media/5a6d7b81_847d_11ef_a64e_047c1617b143_6b95d397_5a46_11f0_a775_047c1617b143670.jpeg"/><Relationship Id="rId671" Type="http://schemas.openxmlformats.org/officeDocument/2006/relationships/image" Target="../media/5a6d7b83_847d_11ef_a64e_047c1617b143_6b95d399_5a46_11f0_a775_047c1617b143671.jpeg"/><Relationship Id="rId672" Type="http://schemas.openxmlformats.org/officeDocument/2006/relationships/image" Target="../media/5a6d7b85_847d_11ef_a64e_047c1617b143_6b95d39b_5a46_11f0_a775_047c1617b143672.jpeg"/><Relationship Id="rId673" Type="http://schemas.openxmlformats.org/officeDocument/2006/relationships/image" Target="../media/5a6d7b87_847d_11ef_a64e_047c1617b143_6b95d39d_5a46_11f0_a775_047c1617b143673.jpeg"/><Relationship Id="rId674" Type="http://schemas.openxmlformats.org/officeDocument/2006/relationships/image" Target="../media/5a6d7b89_847d_11ef_a64e_047c1617b143_6b95d39f_5a46_11f0_a775_047c1617b143674.jpeg"/><Relationship Id="rId675" Type="http://schemas.openxmlformats.org/officeDocument/2006/relationships/image" Target="../media/5a6d7b8b_847d_11ef_a64e_047c1617b143_6b95d3a1_5a46_11f0_a775_047c1617b143675.jpeg"/><Relationship Id="rId676" Type="http://schemas.openxmlformats.org/officeDocument/2006/relationships/image" Target="../media/5a6d7b8d_847d_11ef_a64e_047c1617b143_6b95d3a3_5a46_11f0_a775_047c1617b143676.jpeg"/><Relationship Id="rId677" Type="http://schemas.openxmlformats.org/officeDocument/2006/relationships/image" Target="../media/5a6d7b8f_847d_11ef_a64e_047c1617b143_6b95d3a5_5a46_11f0_a775_047c1617b143677.jpeg"/><Relationship Id="rId678" Type="http://schemas.openxmlformats.org/officeDocument/2006/relationships/image" Target="../media/5a6d7b91_847d_11ef_a64e_047c1617b143_6b95d388_5a46_11f0_a775_047c1617b143678.jpeg"/><Relationship Id="rId679" Type="http://schemas.openxmlformats.org/officeDocument/2006/relationships/image" Target="../media/5a6d7b93_847d_11ef_a64e_047c1617b143_6b95d387_5a46_11f0_a775_047c1617b143679.jpeg"/><Relationship Id="rId680" Type="http://schemas.openxmlformats.org/officeDocument/2006/relationships/image" Target="../media/9182be84_eeb6_11ef_a6dd_047c1617b143_19e96886_793a_11f0_a79f_047c1617b143680.jpeg"/><Relationship Id="rId681" Type="http://schemas.openxmlformats.org/officeDocument/2006/relationships/image" Target="../media/9182be86_eeb6_11ef_a6dd_047c1617b143_19e9686f_793a_11f0_a79f_047c1617b143681.jpeg"/><Relationship Id="rId682" Type="http://schemas.openxmlformats.org/officeDocument/2006/relationships/image" Target="../media/9182be88_eeb6_11ef_a6dd_047c1617b143_19e96872_793a_11f0_a79f_047c1617b143682.jpeg"/><Relationship Id="rId683" Type="http://schemas.openxmlformats.org/officeDocument/2006/relationships/image" Target="../media/9182be8a_eeb6_11ef_a6dd_047c1617b143_19e96874_793a_11f0_a79f_047c1617b143683.jpeg"/><Relationship Id="rId684" Type="http://schemas.openxmlformats.org/officeDocument/2006/relationships/image" Target="../media/9182be8c_eeb6_11ef_a6dd_047c1617b143_19e96877_793a_11f0_a79f_047c1617b143684.jpeg"/><Relationship Id="rId685" Type="http://schemas.openxmlformats.org/officeDocument/2006/relationships/image" Target="../media/9182be8e_eeb6_11ef_a6dd_047c1617b143_19e9687a_793a_11f0_a79f_047c1617b143685.jpeg"/><Relationship Id="rId686" Type="http://schemas.openxmlformats.org/officeDocument/2006/relationships/image" Target="../media/9182be90_eeb6_11ef_a6dd_047c1617b143_19e9687d_793a_11f0_a79f_047c1617b143686.jpeg"/><Relationship Id="rId687" Type="http://schemas.openxmlformats.org/officeDocument/2006/relationships/image" Target="../media/9182be92_eeb6_11ef_a6dd_047c1617b143_19e96880_793a_11f0_a79f_047c1617b143687.jpeg"/><Relationship Id="rId688" Type="http://schemas.openxmlformats.org/officeDocument/2006/relationships/image" Target="../media/9182be94_eeb6_11ef_a6dd_047c1617b143_19e96883_793a_11f0_a79f_047c1617b143688.jpeg"/><Relationship Id="rId689" Type="http://schemas.openxmlformats.org/officeDocument/2006/relationships/image" Target="../media/28a1d0f4_7e77_11f0_a7a6_047c1617b143_d79fde6c_96ec_11f0_a7c5_047c1617b143689.jpeg"/><Relationship Id="rId690" Type="http://schemas.openxmlformats.org/officeDocument/2006/relationships/image" Target="../media/28a1d0f6_7e77_11f0_a7a6_047c1617b143_d79fde6f_96ec_11f0_a7c5_047c1617b143690.jpeg"/><Relationship Id="rId691" Type="http://schemas.openxmlformats.org/officeDocument/2006/relationships/image" Target="../media/28a1d0f8_7e77_11f0_a7a6_047c1617b143_d79fde72_96ec_11f0_a7c5_047c1617b143691.jpeg"/><Relationship Id="rId692" Type="http://schemas.openxmlformats.org/officeDocument/2006/relationships/image" Target="../media/28a1d0fa_7e77_11f0_a7a6_047c1617b143_d79fde75_96ec_11f0_a7c5_047c1617b143692.jpeg"/><Relationship Id="rId693" Type="http://schemas.openxmlformats.org/officeDocument/2006/relationships/image" Target="../media/28a1d0fc_7e77_11f0_a7a6_047c1617b143_d79fde78_96ec_11f0_a7c5_047c1617b143693.jpeg"/><Relationship Id="rId694" Type="http://schemas.openxmlformats.org/officeDocument/2006/relationships/image" Target="../media/28a1d0fe_7e77_11f0_a7a6_047c1617b143_d79fde7b_96ec_11f0_a7c5_047c1617b143694.jpeg"/><Relationship Id="rId695" Type="http://schemas.openxmlformats.org/officeDocument/2006/relationships/image" Target="../media/59402111_afdd_11f0_a7e6_047c1617b143_0a6f3a65_310d_11f1_a89b_047c1617b143695.jpeg"/><Relationship Id="rId696" Type="http://schemas.openxmlformats.org/officeDocument/2006/relationships/image" Target="../media/59402113_afdd_11f0_a7e6_047c1617b143_0a6f3a6a_310d_11f1_a89b_047c1617b143696.jpeg"/><Relationship Id="rId697" Type="http://schemas.openxmlformats.org/officeDocument/2006/relationships/image" Target="../media/59402115_afdd_11f0_a7e6_047c1617b143_0a6f3a68_310d_11f1_a89b_047c1617b143697.jpeg"/><Relationship Id="rId698" Type="http://schemas.openxmlformats.org/officeDocument/2006/relationships/image" Target="../media/65929422_b00d_11f0_a7e6_047c1617b143_0a6f3a67_310d_11f1_a89b_047c1617b143698.jpeg"/><Relationship Id="rId699" Type="http://schemas.openxmlformats.org/officeDocument/2006/relationships/image" Target="../media/65929424_b00d_11f0_a7e6_047c1617b143_d09c7350_3709_11f1_a8a3_047c1617b143699.jpeg"/><Relationship Id="rId700" Type="http://schemas.openxmlformats.org/officeDocument/2006/relationships/image" Target="../media/65929426_b00d_11f0_a7e6_047c1617b143_0a6f3a66_310d_11f1_a89b_047c1617b143700.jpeg"/><Relationship Id="rId701" Type="http://schemas.openxmlformats.org/officeDocument/2006/relationships/image" Target="../media/65929428_b00d_11f0_a7e6_047c1617b143_0a6f3a6b_310d_11f1_a89b_047c1617b143701.jpeg"/><Relationship Id="rId702" Type="http://schemas.openxmlformats.org/officeDocument/2006/relationships/image" Target="../media/6592942a_b00d_11f0_a7e6_047c1617b143_0a6f3a69_310d_11f1_a89b_047c1617b143702.jpeg"/><Relationship Id="rId703" Type="http://schemas.openxmlformats.org/officeDocument/2006/relationships/image" Target="../media/1ca69376_04fa_11f1_a85e_047c1617b143_2ed14086_0c97_11f1_a86a_047c1617b143703.jpeg"/><Relationship Id="rId704" Type="http://schemas.openxmlformats.org/officeDocument/2006/relationships/image" Target="../media/1ca69378_04fa_11f1_a85e_047c1617b143_2ed14087_0c97_11f1_a86a_047c1617b143704.jpeg"/><Relationship Id="rId705" Type="http://schemas.openxmlformats.org/officeDocument/2006/relationships/image" Target="../media/1ca6937a_04fa_11f1_a85e_047c1617b143_2ed14088_0c97_11f1_a86a_047c1617b143705.jpeg"/><Relationship Id="rId706" Type="http://schemas.openxmlformats.org/officeDocument/2006/relationships/image" Target="../media/1ca6937c_04fa_11f1_a85e_047c1617b143_2ed14089_0c97_11f1_a86a_047c1617b143706.jpeg"/><Relationship Id="rId707" Type="http://schemas.openxmlformats.org/officeDocument/2006/relationships/image" Target="../media/1ca6937e_04fa_11f1_a85e_047c1617b143_2ed1408a_0c97_11f1_a86a_047c1617b1437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8" name="Image_63" descr="Image_6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0" name="Image_65" descr="Image_6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1" name="Image_66" descr="Image_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2" name="Image_67" descr="Image_6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5" name="Image_70" descr="Image_7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6" name="Image_71" descr="Image_7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7" name="Image_72" descr="Image_7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8" name="Image_73" descr="Image_7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6" name="Image_81" descr="Image_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2" name="Image_151" descr="Image_15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3" name="Image_152" descr="Image_15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4" name="Image_153" descr="Image_15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5" name="Image_154" descr="Image_15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5" name="Image_214" descr="Image_21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6" name="Image_215" descr="Image_21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7" name="Image_216" descr="Image_21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8" name="Image_217" descr="Image_21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5" name="Image_224" descr="Image_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6" name="Image_225" descr="Image_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7" name="Image_226" descr="Image_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8" name="Image_227" descr="Image_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9" name="Image_228" descr="Image_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0" name="Image_229" descr="Image_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1" name="Image_230" descr="Image_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2" name="Image_231" descr="Image_23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3" name="Image_232" descr="Image_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4" name="Image_233" descr="Image_23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5" name="Image_234" descr="Image_23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6" name="Image_235" descr="Image_23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7" name="Image_236" descr="Image_23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8" name="Image_237" descr="Image_23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9" name="Image_238" descr="Image_23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0" name="Image_239" descr="Image_23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1" name="Image_240" descr="Image_24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2" name="Image_241" descr="Image_24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3" name="Image_242" descr="Image_24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4" name="Image_243" descr="Image_24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5" name="Image_244" descr="Image_24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6" name="Image_245" descr="Image_24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7" name="Image_246" descr="Image_24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8" name="Image_247" descr="Image_24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9" name="Image_248" descr="Image_24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0" name="Image_249" descr="Image_24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1" name="Image_250" descr="Image_25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2" name="Image_251" descr="Image_25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3" name="Image_252" descr="Image_25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4" name="Image_253" descr="Image_25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5" name="Image_254" descr="Image_254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6" name="Image_255" descr="Image_255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7" name="Image_256" descr="Image_256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8" name="Image_257" descr="Image_257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9" name="Image_258" descr="Image_25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0" name="Image_259" descr="Image_259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1" name="Image_260" descr="Image_260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2" name="Image_261" descr="Image_261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3" name="Image_262" descr="Image_262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4" name="Image_263" descr="Image_263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5" name="Image_264" descr="Image_26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6" name="Image_265" descr="Image_26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7" name="Image_266" descr="Image_26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8" name="Image_267" descr="Image_26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9" name="Image_268" descr="Image_26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0" name="Image_269" descr="Image_26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1" name="Image_270" descr="Image_27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2" name="Image_271" descr="Image_27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3" name="Image_272" descr="Image_27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4" name="Image_273" descr="Image_27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5" name="Image_274" descr="Image_27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6" name="Image_275" descr="Image_27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7" name="Image_276" descr="Image_27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8" name="Image_277" descr="Image_27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9" name="Image_278" descr="Image_27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0" name="Image_279" descr="Image_27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1" name="Image_280" descr="Image_28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2" name="Image_281" descr="Image_28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3" name="Image_282" descr="Image_28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4" name="Image_283" descr="Image_28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5" name="Image_284" descr="Image_28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6" name="Image_285" descr="Image_28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7" name="Image_286" descr="Image_28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8" name="Image_287" descr="Image_28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9" name="Image_288" descr="Image_28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0" name="Image_289" descr="Image_28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1" name="Image_290" descr="Image_29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2" name="Image_291" descr="Image_29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3" name="Image_292" descr="Image_29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4" name="Image_293" descr="Image_29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5" name="Image_294" descr="Image_29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6" name="Image_295" descr="Image_29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7" name="Image_296" descr="Image_29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8" name="Image_297" descr="Image_29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9" name="Image_298" descr="Image_29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0" name="Image_299" descr="Image_29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1" name="Image_300" descr="Image_30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2" name="Image_301" descr="Image_30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3" name="Image_302" descr="Image_30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4" name="Image_303" descr="Image_30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5" name="Image_304" descr="Image_30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6" name="Image_305" descr="Image_30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7" name="Image_306" descr="Image_30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8" name="Image_307" descr="Image_30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9" name="Image_308" descr="Image_30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0" name="Image_309" descr="Image_30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1" name="Image_310" descr="Image_31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2" name="Image_311" descr="Image_31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3" name="Image_312" descr="Image_31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4" name="Image_313" descr="Image_31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5" name="Image_314" descr="Image_31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6" name="Image_315" descr="Image_31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7" name="Image_316" descr="Image_31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6" name="Image_345" descr="Image_34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7" name="Image_346" descr="Image_346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8" name="Image_347" descr="Image_347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9" name="Image_348" descr="Image_348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0" name="Image_349" descr="Image_349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1" name="Image_350" descr="Image_350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2" name="Image_351" descr="Image_351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3" name="Image_352" descr="Image_35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4" name="Image_353" descr="Image_35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5" name="Image_354" descr="Image_35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6" name="Image_355" descr="Image_35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7" name="Image_356" descr="Image_35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8" name="Image_357" descr="Image_35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9" name="Image_358" descr="Image_358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0" name="Image_359" descr="Image_359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1" name="Image_360" descr="Image_360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2" name="Image_361" descr="Image_361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3" name="Image_362" descr="Image_362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4" name="Image_363" descr="Image_363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5" name="Image_364" descr="Image_364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6" name="Image_365" descr="Image_365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7" name="Image_366" descr="Image_366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8" name="Image_367" descr="Image_367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9" name="Image_368" descr="Image_368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0" name="Image_369" descr="Image_369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1" name="Image_370" descr="Image_370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2" name="Image_371" descr="Image_371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3" name="Image_372" descr="Image_372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4" name="Image_373" descr="Image_373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5" name="Image_374" descr="Image_374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6" name="Image_375" descr="Image_37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7" name="Image_376" descr="Image_376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8" name="Image_377" descr="Image_377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9" name="Image_378" descr="Image_378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0" name="Image_379" descr="Image_37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1" name="Image_380" descr="Image_38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2" name="Image_381" descr="Image_38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3" name="Image_382" descr="Image_38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4" name="Image_383" descr="Image_383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5" name="Image_384" descr="Image_384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6" name="Image_385" descr="Image_38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7" name="Image_386" descr="Image_38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8" name="Image_387" descr="Image_38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9" name="Image_388" descr="Image_38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0" name="Image_389" descr="Image_38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1" name="Image_390" descr="Image_39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2" name="Image_391" descr="Image_39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3" name="Image_392" descr="Image_39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4" name="Image_393" descr="Image_39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5" name="Image_394" descr="Image_394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6" name="Image_395" descr="Image_395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7" name="Image_396" descr="Image_396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8" name="Image_397" descr="Image_397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9" name="Image_398" descr="Image_398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0" name="Image_399" descr="Image_399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1" name="Image_400" descr="Image_400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2" name="Image_401" descr="Image_401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3" name="Image_402" descr="Image_40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4" name="Image_403" descr="Image_40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5" name="Image_404" descr="Image_40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6" name="Image_405" descr="Image_40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7" name="Image_406" descr="Image_406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8" name="Image_407" descr="Image_407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9" name="Image_408" descr="Image_408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0" name="Image_409" descr="Image_409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1" name="Image_410" descr="Image_410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2" name="Image_411" descr="Image_411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3" name="Image_412" descr="Image_41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4" name="Image_413" descr="Image_41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5" name="Image_414" descr="Image_41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6" name="Image_415" descr="Image_415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7" name="Image_416" descr="Image_41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8" name="Image_417" descr="Image_41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9" name="Image_418" descr="Image_41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0" name="Image_419" descr="Image_41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1" name="Image_420" descr="Image_420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2" name="Image_421" descr="Image_421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3" name="Image_422" descr="Image_42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4" name="Image_423" descr="Image_42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5" name="Image_424" descr="Image_42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6" name="Image_425" descr="Image_42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7" name="Image_426" descr="Image_42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8" name="Image_427" descr="Image_427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9" name="Image_428" descr="Image_42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0" name="Image_429" descr="Image_42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1" name="Image_430" descr="Image_43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2" name="Image_431" descr="Image_43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3" name="Image_432" descr="Image_43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14" name="Image_433" descr="Image_43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15" name="Image_434" descr="Image_43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16" name="Image_435" descr="Image_43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7" name="Image_436" descr="Image_43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8" name="Image_437" descr="Image_437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9" name="Image_438" descr="Image_438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0" name="Image_439" descr="Image_439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1" name="Image_440" descr="Image_440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4" name="Image_461" descr="Image_461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5" name="Image_462" descr="Image_462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6" name="Image_463" descr="Image_463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7" name="Image_464" descr="Image_464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8" name="Image_465" descr="Image_465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9" name="Image_466" descr="Image_466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0" name="Image_467" descr="Image_467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1" name="Image_468" descr="Image_468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2" name="Image_469" descr="Image_469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3" name="Image_470" descr="Image_470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4" name="Image_471" descr="Image_471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5" name="Image_472" descr="Image_472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6" name="Image_473" descr="Image_473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7" name="Image_474" descr="Image_474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8" name="Image_475" descr="Image_475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9" name="Image_476" descr="Image_476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0" name="Image_477" descr="Image_477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1" name="Image_478" descr="Image_478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2" name="Image_479" descr="Image_479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3" name="Image_480" descr="Image_480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4" name="Image_481" descr="Image_481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5" name="Image_482" descr="Image_482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6" name="Image_483" descr="Image_483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7" name="Image_484" descr="Image_484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8" name="Image_485" descr="Image_485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59" name="Image_486" descr="Image_486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0" name="Image_487" descr="Image_487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1" name="Image_488" descr="Image_488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2" name="Image_489" descr="Image_489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3" name="Image_490" descr="Image_490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4" name="Image_491" descr="Image_491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5" name="Image_492" descr="Image_492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6" name="Image_493" descr="Image_493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7" name="Image_494" descr="Image_494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8" name="Image_495" descr="Image_495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69" name="Image_496" descr="Image_496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0" name="Image_497" descr="Image_497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1" name="Image_498" descr="Image_498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2" name="Image_499" descr="Image_499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3" name="Image_500" descr="Image_500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4" name="Image_501" descr="Image_501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5" name="Image_502" descr="Image_502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6" name="Image_503" descr="Image_503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7" name="Image_504" descr="Image_504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8" name="Image_505" descr="Image_505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79" name="Image_506" descr="Image_506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0" name="Image_507" descr="Image_507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1" name="Image_508" descr="Image_508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2" name="Image_509" descr="Image_509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3" name="Image_510" descr="Image_510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4" name="Image_511" descr="Image_511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5" name="Image_512" descr="Image_512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6" name="Image_513" descr="Image_513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7" name="Image_514" descr="Image_514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8" name="Image_515" descr="Image_515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89" name="Image_516" descr="Image_516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0" name="Image_517" descr="Image_517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1" name="Image_518" descr="Image_518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2" name="Image_519" descr="Image_519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3" name="Image_520" descr="Image_520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94" name="Image_521" descr="Image_521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5" name="Image_522" descr="Image_522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96" name="Image_523" descr="Image_523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97" name="Image_524" descr="Image_524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98" name="Image_525" descr="Image_525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9" name="Image_526" descr="Image_526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00" name="Image_527" descr="Image_527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1" name="Image_528" descr="Image_528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2" name="Image_529" descr="Image_529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3" name="Image_530" descr="Image_530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4" name="Image_531" descr="Image_531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5" name="Image_532" descr="Image_532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6" name="Image_533" descr="Image_533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7" name="Image_534" descr="Image_534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8" name="Image_535" descr="Image_535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9" name="Image_536" descr="Image_536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10" name="Image_537" descr="Image_537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11" name="Image_538" descr="Image_538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2" name="Image_539" descr="Image_539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3" name="Image_540" descr="Image_540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4" name="Image_541" descr="Image_541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5" name="Image_542" descr="Image_542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6" name="Image_543" descr="Image_543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7" name="Image_544" descr="Image_544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8" name="Image_545" descr="Image_545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9" name="Image_546" descr="Image_546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20" name="Image_547" descr="Image_547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21" name="Image_548" descr="Image_548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2" name="Image_549" descr="Image_549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3" name="Image_550" descr="Image_550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4" name="Image_551" descr="Image_551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5" name="Image_552" descr="Image_552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6" name="Image_553" descr="Image_553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7" name="Image_554" descr="Image_554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8" name="Image_555" descr="Image_555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9" name="Image_556" descr="Image_556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30" name="Image_557" descr="Image_557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31" name="Image_558" descr="Image_558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2" name="Image_559" descr="Image_559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3" name="Image_560" descr="Image_560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4" name="Image_561" descr="Image_561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5" name="Image_562" descr="Image_562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6" name="Image_563" descr="Image_563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7" name="Image_564" descr="Image_564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8" name="Image_565" descr="Image_565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9" name="Image_566" descr="Image_566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40" name="Image_567" descr="Image_567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41" name="Image_568" descr="Image_568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42" name="Image_569" descr="Image_569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43" name="Image_570" descr="Image_570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44" name="Image_571" descr="Image_571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45" name="Image_572" descr="Image_572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6" name="Image_573" descr="Image_573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7" name="Image_574" descr="Image_574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48" name="Image_575" descr="Image_575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49" name="Image_576" descr="Image_576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50" name="Image_577" descr="Image_577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51" name="Image_578" descr="Image_578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52" name="Image_579" descr="Image_579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53" name="Image_580" descr="Image_580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54" name="Image_581" descr="Image_581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55" name="Image_582" descr="Image_582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6" name="Image_583" descr="Image_583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7" name="Image_584" descr="Image_584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58" name="Image_585" descr="Image_585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9" name="Image_586" descr="Image_586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60" name="Image_587" descr="Image_587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61" name="Image_588" descr="Image_588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62" name="Image_589" descr="Image_589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63" name="Image_590" descr="Image_590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64" name="Image_591" descr="Image_591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65" name="Image_592" descr="Image_592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6" name="Image_593" descr="Image_593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7" name="Image_594" descr="Image_594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8" name="Image_595" descr="Image_595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9" name="Image_596" descr="Image_596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70" name="Image_597" descr="Image_597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71" name="Image_598" descr="Image_598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72" name="Image_599" descr="Image_599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73" name="Image_600" descr="Image_600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74" name="Image_601" descr="Image_601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75" name="Image_602" descr="Image_602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6" name="Image_603" descr="Image_603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7" name="Image_604" descr="Image_604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8" name="Image_605" descr="Image_605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9" name="Image_606" descr="Image_606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80" name="Image_607" descr="Image_607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81" name="Image_608" descr="Image_608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82" name="Image_609" descr="Image_60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83" name="Image_610" descr="Image_61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84" name="Image_611" descr="Image_61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85" name="Image_612" descr="Image_61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6" name="Image_613" descr="Image_61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7" name="Image_614" descr="Image_61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8" name="Image_615" descr="Image_61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9" name="Image_616" descr="Image_61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90" name="Image_617" descr="Image_61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91" name="Image_618" descr="Image_61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92" name="Image_619" descr="Image_61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93" name="Image_620" descr="Image_62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94" name="Image_621" descr="Image_62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95" name="Image_622" descr="Image_62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6" name="Image_623" descr="Image_62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7" name="Image_624" descr="Image_62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8" name="Image_625" descr="Image_62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9" name="Image_626" descr="Image_62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00" name="Image_627" descr="Image_62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01" name="Image_628" descr="Image_62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02" name="Image_629" descr="Image_62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03" name="Image_630" descr="Image_63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04" name="Image_631" descr="Image_63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05" name="Image_632" descr="Image_63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6" name="Image_633" descr="Image_63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7" name="Image_634" descr="Image_63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8" name="Image_635" descr="Image_63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9" name="Image_636" descr="Image_63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10" name="Image_637" descr="Image_63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11" name="Image_638" descr="Image_63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12" name="Image_639" descr="Image_639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13" name="Image_640" descr="Image_640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14" name="Image_641" descr="Image_641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15" name="Image_642" descr="Image_642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16" name="Image_643" descr="Image_643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17" name="Image_644" descr="Image_644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8" name="Image_645" descr="Image_645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9" name="Image_646" descr="Image_646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20" name="Image_647" descr="Image_647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21" name="Image_648" descr="Image_648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22" name="Image_649" descr="Image_649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23" name="Image_650" descr="Image_650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24" name="Image_651" descr="Image_651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25" name="Image_652" descr="Image_652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26" name="Image_653" descr="Image_653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27" name="Image_654" descr="Image_654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8" name="Image_655" descr="Image_655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9" name="Image_656" descr="Image_656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30" name="Image_657" descr="Image_657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31" name="Image_658" descr="Image_658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32" name="Image_659" descr="Image_659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33" name="Image_660" descr="Image_660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34" name="Image_661" descr="Image_661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35" name="Image_662" descr="Image_662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36" name="Image_663" descr="Image_663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37" name="Image_664" descr="Image_664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8" name="Image_665" descr="Image_665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9" name="Image_666" descr="Image_666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40" name="Image_667" descr="Image_667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41" name="Image_668" descr="Image_668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42" name="Image_669" descr="Image_669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43" name="Image_670" descr="Image_670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44" name="Image_671" descr="Image_671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45" name="Image_672" descr="Image_672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46" name="Image_673" descr="Image_673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47" name="Image_674" descr="Image_674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48" name="Image_675" descr="Image_675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49" name="Image_676" descr="Image_676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50" name="Image_677" descr="Image_677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51" name="Image_678" descr="Image_678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52" name="Image_679" descr="Image_679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53" name="Image_680" descr="Image_680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54" name="Image_681" descr="Image_681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55" name="Image_682" descr="Image_682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56" name="Image_683" descr="Image_683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57" name="Image_684" descr="Image_684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58" name="Image_685" descr="Image_685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59" name="Image_686" descr="Image_686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60" name="Image_687" descr="Image_687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61" name="Image_688" descr="Image_688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62" name="Image_689" descr="Image_689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63" name="Image_690" descr="Image_690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64" name="Image_691" descr="Image_691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65" name="Image_692" descr="Image_692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66" name="Image_693" descr="Image_693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67" name="Image_694" descr="Image_694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68" name="Image_695" descr="Image_695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69" name="Image_696" descr="Image_696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70" name="Image_697" descr="Image_697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71" name="Image_698" descr="Image_698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72" name="Image_699" descr="Image_699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73" name="Image_700" descr="Image_700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74" name="Image_701" descr="Image_701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75" name="Image_702" descr="Image_702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76" name="Image_703" descr="Image_703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77" name="Image_704" descr="Image_704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78" name="Image_705" descr="Image_705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79" name="Image_706" descr="Image_706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80" name="Image_707" descr="Image_707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81" name="Image_708" descr="Image_708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82" name="Image_709" descr="Image_709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83" name="Image_710" descr="Image_710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84" name="Image_711" descr="Image_711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85" name="Image_712" descr="Image_712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86" name="Image_713" descr="Image_713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87" name="Image_714" descr="Image_714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88" name="Image_715" descr="Image_715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89" name="Image_716" descr="Image_716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90" name="Image_717" descr="Image_717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91" name="Image_718" descr="Image_718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92" name="Image_719" descr="Image_719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93" name="Image_720" descr="Image_720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94" name="Image_721" descr="Image_721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95" name="Image_722" descr="Image_722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96" name="Image_723" descr="Image_723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97" name="Image_724" descr="Image_724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98" name="Image_725" descr="Image_725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99" name="Image_726" descr="Image_726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00" name="Image_727" descr="Image_727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01" name="Image_728" descr="Image_728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02" name="Image_729" descr="Image_729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03" name="Image_730" descr="Image_730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04" name="Image_731" descr="Image_731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05" name="Image_732" descr="Image_732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06" name="Image_733" descr="Image_733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07" name="Image_734" descr="Image_734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 t="s">
        <v>23</v>
      </c>
      <c r="I7" s="1">
        <v>0</v>
      </c>
      <c r="J7" s="3" t="s">
        <v>18</v>
      </c>
      <c r="K7" s="2" t="str">
        <f>J7*412.00</f>
        <v>0</v>
      </c>
      <c r="L7" s="5"/>
    </row>
    <row r="8" spans="1:12" customHeight="1" ht="105" outlineLevel="5">
      <c r="A8" s="1"/>
      <c r="B8" s="1">
        <v>819859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28</v>
      </c>
      <c r="H8" s="2" t="s">
        <v>23</v>
      </c>
      <c r="I8" s="1">
        <v>0</v>
      </c>
      <c r="J8" s="3" t="s">
        <v>18</v>
      </c>
      <c r="K8" s="2" t="str">
        <f>J8*542.00</f>
        <v>0</v>
      </c>
      <c r="L8" s="5"/>
    </row>
    <row r="9" spans="1:12" customHeight="1" ht="105" outlineLevel="5">
      <c r="A9" s="1"/>
      <c r="B9" s="1">
        <v>819860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 t="s">
        <v>34</v>
      </c>
      <c r="I9" s="1">
        <v>0</v>
      </c>
      <c r="J9" s="3" t="s">
        <v>18</v>
      </c>
      <c r="K9" s="2" t="str">
        <f>J9*756.00</f>
        <v>0</v>
      </c>
      <c r="L9" s="5"/>
    </row>
    <row r="10" spans="1:12" customHeight="1" ht="105" outlineLevel="5">
      <c r="A10" s="1"/>
      <c r="B10" s="1">
        <v>819861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33</v>
      </c>
      <c r="H10" s="2" t="s">
        <v>34</v>
      </c>
      <c r="I10" s="1">
        <v>0</v>
      </c>
      <c r="J10" s="3" t="s">
        <v>18</v>
      </c>
      <c r="K10" s="2" t="str">
        <f>J10*989.00</f>
        <v>0</v>
      </c>
      <c r="L10" s="5"/>
    </row>
    <row r="11" spans="1:12" customHeight="1" ht="105" outlineLevel="5">
      <c r="A11" s="1"/>
      <c r="B11" s="1">
        <v>819862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28</v>
      </c>
      <c r="H11" s="2" t="s">
        <v>43</v>
      </c>
      <c r="I11" s="1">
        <v>0</v>
      </c>
      <c r="J11" s="3" t="s">
        <v>18</v>
      </c>
      <c r="K11" s="2" t="str">
        <f>J11*1613.00</f>
        <v>0</v>
      </c>
      <c r="L11" s="5"/>
    </row>
    <row r="12" spans="1:12" customHeight="1" ht="105" outlineLevel="5">
      <c r="A12" s="1"/>
      <c r="B12" s="1">
        <v>819863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J12*1999.00</f>
        <v>0</v>
      </c>
      <c r="L12" s="5"/>
    </row>
    <row r="13" spans="1:12" customHeight="1" ht="105" outlineLevel="5">
      <c r="A13" s="1"/>
      <c r="B13" s="1">
        <v>819864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J13*2625.00</f>
        <v>0</v>
      </c>
      <c r="L13" s="5"/>
    </row>
    <row r="14" spans="1:12" customHeight="1" ht="105" outlineLevel="5">
      <c r="A14" s="1"/>
      <c r="B14" s="1">
        <v>889660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 t="s">
        <v>23</v>
      </c>
      <c r="I14" s="1">
        <v>0</v>
      </c>
      <c r="J14" s="3" t="s">
        <v>18</v>
      </c>
      <c r="K14" s="2" t="str">
        <f>J14*3405.00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33</v>
      </c>
      <c r="I15" s="1">
        <v>0</v>
      </c>
      <c r="J15" s="3" t="s">
        <v>18</v>
      </c>
      <c r="K15" s="2" t="str">
        <f>J15*3996.00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 t="s">
        <v>23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 t="s">
        <v>23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8</v>
      </c>
      <c r="H19" s="2">
        <v>0</v>
      </c>
      <c r="I19" s="1" t="s">
        <v>23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28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90</v>
      </c>
      <c r="H24" s="2">
        <v>0</v>
      </c>
      <c r="I24" s="1" t="s">
        <v>23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91</v>
      </c>
      <c r="D25" s="1" t="s">
        <v>92</v>
      </c>
      <c r="E25" s="2" t="s">
        <v>93</v>
      </c>
      <c r="F25" s="2" t="s">
        <v>89</v>
      </c>
      <c r="G25" s="2" t="s">
        <v>23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94</v>
      </c>
      <c r="D26" s="1" t="s">
        <v>95</v>
      </c>
      <c r="E26" s="2" t="s">
        <v>96</v>
      </c>
      <c r="F26" s="2" t="s">
        <v>97</v>
      </c>
      <c r="G26" s="2" t="s">
        <v>28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110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111</v>
      </c>
      <c r="D31" s="1"/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114</v>
      </c>
      <c r="D32" s="1"/>
      <c r="E32" s="2" t="s">
        <v>115</v>
      </c>
      <c r="F32" s="2" t="s">
        <v>116</v>
      </c>
      <c r="G32" s="2" t="s">
        <v>23</v>
      </c>
      <c r="H32" s="2">
        <v>0</v>
      </c>
      <c r="I32" s="1">
        <v>0</v>
      </c>
      <c r="J32" s="3" t="s">
        <v>18</v>
      </c>
      <c r="K32" s="2" t="str">
        <f>J32*350.00</f>
        <v>0</v>
      </c>
      <c r="L32" s="5"/>
    </row>
    <row r="33" spans="1:12" customHeight="1" ht="105" outlineLevel="5">
      <c r="A33" s="1"/>
      <c r="B33" s="1">
        <v>883423</v>
      </c>
      <c r="C33" s="1" t="s">
        <v>117</v>
      </c>
      <c r="D33" s="1"/>
      <c r="E33" s="2" t="s">
        <v>118</v>
      </c>
      <c r="F33" s="2" t="s">
        <v>119</v>
      </c>
      <c r="G33" s="2" t="s">
        <v>33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120</v>
      </c>
      <c r="D34" s="1"/>
      <c r="E34" s="2" t="s">
        <v>121</v>
      </c>
      <c r="F34" s="2" t="s">
        <v>122</v>
      </c>
      <c r="G34" s="2" t="s">
        <v>23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123</v>
      </c>
      <c r="D35" s="1"/>
      <c r="E35" s="2" t="s">
        <v>124</v>
      </c>
      <c r="F35" s="2" t="s">
        <v>125</v>
      </c>
      <c r="G35" s="2" t="s">
        <v>23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126</v>
      </c>
      <c r="D36" s="1"/>
      <c r="E36" s="2" t="s">
        <v>127</v>
      </c>
      <c r="F36" s="2" t="s">
        <v>128</v>
      </c>
      <c r="G36" s="2" t="s">
        <v>23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129</v>
      </c>
      <c r="D37" s="1"/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132</v>
      </c>
      <c r="D38" s="1"/>
      <c r="E38" s="2" t="s">
        <v>133</v>
      </c>
      <c r="F38" s="2" t="s">
        <v>134</v>
      </c>
      <c r="G38" s="2" t="s">
        <v>28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  <row r="39" spans="1:12" outlineLevel="2">
      <c r="A39" s="8" t="s">
        <v>135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3">
      <c r="A40" s="9" t="s">
        <v>136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819854</v>
      </c>
      <c r="C41" s="1" t="s">
        <v>137</v>
      </c>
      <c r="D41" s="1" t="s">
        <v>138</v>
      </c>
      <c r="E41" s="2" t="s">
        <v>139</v>
      </c>
      <c r="F41" s="2" t="s">
        <v>140</v>
      </c>
      <c r="G41" s="2" t="s">
        <v>34</v>
      </c>
      <c r="H41" s="2">
        <v>0</v>
      </c>
      <c r="I41" s="1">
        <v>0</v>
      </c>
      <c r="J41" s="3" t="s">
        <v>18</v>
      </c>
      <c r="K41" s="2" t="str">
        <f>J41*152.88</f>
        <v>0</v>
      </c>
      <c r="L41" s="5"/>
    </row>
    <row r="42" spans="1:12" customHeight="1" ht="105" outlineLevel="5">
      <c r="A42" s="1"/>
      <c r="B42" s="1">
        <v>819855</v>
      </c>
      <c r="C42" s="1" t="s">
        <v>141</v>
      </c>
      <c r="D42" s="1" t="s">
        <v>142</v>
      </c>
      <c r="E42" s="2" t="s">
        <v>143</v>
      </c>
      <c r="F42" s="2" t="s">
        <v>144</v>
      </c>
      <c r="G42" s="2" t="s">
        <v>34</v>
      </c>
      <c r="H42" s="2">
        <v>0</v>
      </c>
      <c r="I42" s="1">
        <v>0</v>
      </c>
      <c r="J42" s="3" t="s">
        <v>18</v>
      </c>
      <c r="K42" s="2" t="str">
        <f>J42*229.32</f>
        <v>0</v>
      </c>
      <c r="L42" s="5"/>
    </row>
    <row r="43" spans="1:12" customHeight="1" ht="105" outlineLevel="5">
      <c r="A43" s="1"/>
      <c r="B43" s="1">
        <v>819856</v>
      </c>
      <c r="C43" s="1" t="s">
        <v>145</v>
      </c>
      <c r="D43" s="1" t="s">
        <v>146</v>
      </c>
      <c r="E43" s="2" t="s">
        <v>147</v>
      </c>
      <c r="F43" s="2" t="s">
        <v>148</v>
      </c>
      <c r="G43" s="2" t="s">
        <v>34</v>
      </c>
      <c r="H43" s="2">
        <v>0</v>
      </c>
      <c r="I43" s="1">
        <v>0</v>
      </c>
      <c r="J43" s="3" t="s">
        <v>18</v>
      </c>
      <c r="K43" s="2" t="str">
        <f>J43*349.86</f>
        <v>0</v>
      </c>
      <c r="L43" s="5"/>
    </row>
    <row r="44" spans="1:12" customHeight="1" ht="105" outlineLevel="5">
      <c r="A44" s="1"/>
      <c r="B44" s="1">
        <v>824563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23</v>
      </c>
      <c r="H44" s="2">
        <v>0</v>
      </c>
      <c r="I44" s="1">
        <v>0</v>
      </c>
      <c r="J44" s="3" t="s">
        <v>18</v>
      </c>
      <c r="K44" s="2" t="str">
        <f>J44*502.74</f>
        <v>0</v>
      </c>
      <c r="L44" s="5"/>
    </row>
    <row r="45" spans="1:12" customHeight="1" ht="105" outlineLevel="5">
      <c r="A45" s="1"/>
      <c r="B45" s="1">
        <v>824562</v>
      </c>
      <c r="C45" s="1" t="s">
        <v>153</v>
      </c>
      <c r="D45" s="1" t="s">
        <v>154</v>
      </c>
      <c r="E45" s="2" t="s">
        <v>155</v>
      </c>
      <c r="F45" s="2" t="s">
        <v>156</v>
      </c>
      <c r="G45" s="2" t="s">
        <v>23</v>
      </c>
      <c r="H45" s="2">
        <v>0</v>
      </c>
      <c r="I45" s="1">
        <v>0</v>
      </c>
      <c r="J45" s="3" t="s">
        <v>18</v>
      </c>
      <c r="K45" s="2" t="str">
        <f>J45*196.98</f>
        <v>0</v>
      </c>
      <c r="L45" s="5"/>
    </row>
    <row r="46" spans="1:12" customHeight="1" ht="105" outlineLevel="5">
      <c r="A46" s="1"/>
      <c r="B46" s="1">
        <v>884662</v>
      </c>
      <c r="C46" s="1" t="s">
        <v>157</v>
      </c>
      <c r="D46" s="1" t="s">
        <v>158</v>
      </c>
      <c r="E46" s="2" t="s">
        <v>159</v>
      </c>
      <c r="F46" s="2" t="s">
        <v>160</v>
      </c>
      <c r="G46" s="2" t="s">
        <v>43</v>
      </c>
      <c r="H46" s="2">
        <v>0</v>
      </c>
      <c r="I46" s="1">
        <v>0</v>
      </c>
      <c r="J46" s="3" t="s">
        <v>18</v>
      </c>
      <c r="K46" s="2" t="str">
        <f>J46*317.52</f>
        <v>0</v>
      </c>
      <c r="L46" s="5"/>
    </row>
    <row r="47" spans="1:12" outlineLevel="3">
      <c r="A47" s="9" t="s">
        <v>161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954245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J48*246.17</f>
        <v>0</v>
      </c>
      <c r="L48" s="5"/>
    </row>
    <row r="49" spans="1:12" customHeight="1" ht="105" outlineLevel="5">
      <c r="A49" s="1"/>
      <c r="B49" s="1">
        <v>954246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18</v>
      </c>
      <c r="K49" s="2" t="str">
        <f>J49*383.05</f>
        <v>0</v>
      </c>
      <c r="L49" s="5"/>
    </row>
    <row r="50" spans="1:12" customHeight="1" ht="105" outlineLevel="5">
      <c r="A50" s="1"/>
      <c r="B50" s="1">
        <v>954247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J50*500.07</f>
        <v>0</v>
      </c>
      <c r="L50" s="5"/>
    </row>
    <row r="51" spans="1:12" customHeight="1" ht="105" outlineLevel="5">
      <c r="A51" s="1"/>
      <c r="B51" s="1">
        <v>954248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18</v>
      </c>
      <c r="K51" s="2" t="str">
        <f>J51*673.38</f>
        <v>0</v>
      </c>
      <c r="L51" s="5"/>
    </row>
    <row r="52" spans="1:12" outlineLevel="3">
      <c r="A52" s="9" t="s">
        <v>178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954332</v>
      </c>
      <c r="C53" s="1" t="s">
        <v>179</v>
      </c>
      <c r="D53" s="1"/>
      <c r="E53" s="2" t="s">
        <v>180</v>
      </c>
      <c r="F53" s="2" t="s">
        <v>181</v>
      </c>
      <c r="G53" s="2">
        <v>0</v>
      </c>
      <c r="H53" s="2">
        <v>0</v>
      </c>
      <c r="I53" s="1">
        <v>0</v>
      </c>
      <c r="J53" s="3" t="s">
        <v>18</v>
      </c>
      <c r="K53" s="2" t="str">
        <f>J53*222.00</f>
        <v>0</v>
      </c>
      <c r="L53" s="5"/>
    </row>
    <row r="54" spans="1:12" customHeight="1" ht="105" outlineLevel="5">
      <c r="A54" s="1"/>
      <c r="B54" s="1">
        <v>954333</v>
      </c>
      <c r="C54" s="1" t="s">
        <v>182</v>
      </c>
      <c r="D54" s="1"/>
      <c r="E54" s="2" t="s">
        <v>183</v>
      </c>
      <c r="F54" s="2" t="s">
        <v>184</v>
      </c>
      <c r="G54" s="2" t="s">
        <v>23</v>
      </c>
      <c r="H54" s="2">
        <v>0</v>
      </c>
      <c r="I54" s="1">
        <v>0</v>
      </c>
      <c r="J54" s="3" t="s">
        <v>18</v>
      </c>
      <c r="K54" s="2" t="str">
        <f>J54*299.70</f>
        <v>0</v>
      </c>
      <c r="L54" s="5"/>
    </row>
    <row r="55" spans="1:12" customHeight="1" ht="105" outlineLevel="5">
      <c r="A55" s="1"/>
      <c r="B55" s="1">
        <v>954334</v>
      </c>
      <c r="C55" s="1" t="s">
        <v>185</v>
      </c>
      <c r="D55" s="1"/>
      <c r="E55" s="2" t="s">
        <v>186</v>
      </c>
      <c r="F55" s="2" t="s">
        <v>187</v>
      </c>
      <c r="G55" s="2" t="s">
        <v>90</v>
      </c>
      <c r="H55" s="2">
        <v>0</v>
      </c>
      <c r="I55" s="1">
        <v>0</v>
      </c>
      <c r="J55" s="3" t="s">
        <v>18</v>
      </c>
      <c r="K55" s="2" t="str">
        <f>J55*388.50</f>
        <v>0</v>
      </c>
      <c r="L55" s="5"/>
    </row>
    <row r="56" spans="1:12" customHeight="1" ht="105" outlineLevel="5">
      <c r="A56" s="1"/>
      <c r="B56" s="1">
        <v>954335</v>
      </c>
      <c r="C56" s="1" t="s">
        <v>188</v>
      </c>
      <c r="D56" s="1"/>
      <c r="E56" s="2" t="s">
        <v>189</v>
      </c>
      <c r="F56" s="2" t="s">
        <v>190</v>
      </c>
      <c r="G56" s="2">
        <v>0</v>
      </c>
      <c r="H56" s="2">
        <v>0</v>
      </c>
      <c r="I56" s="1">
        <v>0</v>
      </c>
      <c r="J56" s="3" t="s">
        <v>18</v>
      </c>
      <c r="K56" s="2" t="str">
        <f>J56*555.00</f>
        <v>0</v>
      </c>
      <c r="L56" s="5"/>
    </row>
    <row r="57" spans="1:12" customHeight="1" ht="105" outlineLevel="5">
      <c r="A57" s="1"/>
      <c r="B57" s="1">
        <v>954336</v>
      </c>
      <c r="C57" s="1" t="s">
        <v>191</v>
      </c>
      <c r="D57" s="1"/>
      <c r="E57" s="2" t="s">
        <v>192</v>
      </c>
      <c r="F57" s="2" t="s">
        <v>193</v>
      </c>
      <c r="G57" s="2">
        <v>0</v>
      </c>
      <c r="H57" s="2">
        <v>0</v>
      </c>
      <c r="I57" s="1">
        <v>0</v>
      </c>
      <c r="J57" s="3" t="s">
        <v>18</v>
      </c>
      <c r="K57" s="2" t="str">
        <f>J57*387.61</f>
        <v>0</v>
      </c>
      <c r="L57" s="5"/>
    </row>
    <row r="58" spans="1:12" customHeight="1" ht="105" outlineLevel="5">
      <c r="A58" s="1"/>
      <c r="B58" s="1">
        <v>954337</v>
      </c>
      <c r="C58" s="1" t="s">
        <v>194</v>
      </c>
      <c r="D58" s="1"/>
      <c r="E58" s="2" t="s">
        <v>195</v>
      </c>
      <c r="F58" s="2" t="s">
        <v>196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J58*582.75</f>
        <v>0</v>
      </c>
      <c r="L58" s="5"/>
    </row>
    <row r="59" spans="1:12" customHeight="1" ht="105" outlineLevel="5">
      <c r="A59" s="1"/>
      <c r="B59" s="1">
        <v>954338</v>
      </c>
      <c r="C59" s="1" t="s">
        <v>197</v>
      </c>
      <c r="D59" s="1"/>
      <c r="E59" s="2" t="s">
        <v>198</v>
      </c>
      <c r="F59" s="2" t="s">
        <v>199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J59*635.25</f>
        <v>0</v>
      </c>
      <c r="L59" s="5"/>
    </row>
    <row r="60" spans="1:12" outlineLevel="1">
      <c r="A60" s="7" t="s">
        <v>200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outlineLevel="2">
      <c r="A61" s="8" t="s">
        <v>201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outlineLevel="3">
      <c r="A62" s="9" t="s">
        <v>202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819909</v>
      </c>
      <c r="C63" s="1" t="s">
        <v>203</v>
      </c>
      <c r="D63" s="1" t="s">
        <v>204</v>
      </c>
      <c r="E63" s="2" t="s">
        <v>205</v>
      </c>
      <c r="F63" s="2" t="s">
        <v>206</v>
      </c>
      <c r="G63" s="2">
        <v>0</v>
      </c>
      <c r="H63" s="2">
        <v>0</v>
      </c>
      <c r="I63" s="1">
        <v>0</v>
      </c>
      <c r="J63" s="3" t="s">
        <v>207</v>
      </c>
      <c r="K63" s="2" t="str">
        <f>J63*246.96</f>
        <v>0</v>
      </c>
      <c r="L63" s="5"/>
    </row>
    <row r="64" spans="1:12" customHeight="1" ht="105" outlineLevel="5">
      <c r="A64" s="1"/>
      <c r="B64" s="1">
        <v>819910</v>
      </c>
      <c r="C64" s="1" t="s">
        <v>208</v>
      </c>
      <c r="D64" s="1" t="s">
        <v>209</v>
      </c>
      <c r="E64" s="2" t="s">
        <v>210</v>
      </c>
      <c r="F64" s="2" t="s">
        <v>211</v>
      </c>
      <c r="G64" s="2">
        <v>0</v>
      </c>
      <c r="H64" s="2">
        <v>0</v>
      </c>
      <c r="I64" s="1">
        <v>0</v>
      </c>
      <c r="J64" s="3" t="s">
        <v>207</v>
      </c>
      <c r="K64" s="2" t="str">
        <f>J64*298.41</f>
        <v>0</v>
      </c>
      <c r="L64" s="5"/>
    </row>
    <row r="65" spans="1:12" customHeight="1" ht="105" outlineLevel="5">
      <c r="A65" s="1"/>
      <c r="B65" s="1">
        <v>819911</v>
      </c>
      <c r="C65" s="1" t="s">
        <v>212</v>
      </c>
      <c r="D65" s="1" t="s">
        <v>213</v>
      </c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207</v>
      </c>
      <c r="K65" s="2" t="str">
        <f>J65*355.74</f>
        <v>0</v>
      </c>
      <c r="L65" s="5"/>
    </row>
    <row r="66" spans="1:12" customHeight="1" ht="105" outlineLevel="5">
      <c r="A66" s="1"/>
      <c r="B66" s="1">
        <v>819912</v>
      </c>
      <c r="C66" s="1" t="s">
        <v>216</v>
      </c>
      <c r="D66" s="1" t="s">
        <v>217</v>
      </c>
      <c r="E66" s="2" t="s">
        <v>218</v>
      </c>
      <c r="F66" s="2" t="s">
        <v>219</v>
      </c>
      <c r="G66" s="2">
        <v>0</v>
      </c>
      <c r="H66" s="2">
        <v>0</v>
      </c>
      <c r="I66" s="1">
        <v>0</v>
      </c>
      <c r="J66" s="3" t="s">
        <v>207</v>
      </c>
      <c r="K66" s="2" t="str">
        <f>J66*583.59</f>
        <v>0</v>
      </c>
      <c r="L66" s="5"/>
    </row>
    <row r="67" spans="1:12" customHeight="1" ht="105" outlineLevel="5">
      <c r="A67" s="1"/>
      <c r="B67" s="1">
        <v>819913</v>
      </c>
      <c r="C67" s="1" t="s">
        <v>220</v>
      </c>
      <c r="D67" s="1" t="s">
        <v>221</v>
      </c>
      <c r="E67" s="2" t="s">
        <v>222</v>
      </c>
      <c r="F67" s="2" t="s">
        <v>223</v>
      </c>
      <c r="G67" s="2" t="s">
        <v>28</v>
      </c>
      <c r="H67" s="2">
        <v>0</v>
      </c>
      <c r="I67" s="1">
        <v>0</v>
      </c>
      <c r="J67" s="3" t="s">
        <v>207</v>
      </c>
      <c r="K67" s="2" t="str">
        <f>J67*252.84</f>
        <v>0</v>
      </c>
      <c r="L67" s="5"/>
    </row>
    <row r="68" spans="1:12" customHeight="1" ht="105" outlineLevel="5">
      <c r="A68" s="1"/>
      <c r="B68" s="1">
        <v>819914</v>
      </c>
      <c r="C68" s="1" t="s">
        <v>224</v>
      </c>
      <c r="D68" s="1" t="s">
        <v>225</v>
      </c>
      <c r="E68" s="2" t="s">
        <v>226</v>
      </c>
      <c r="F68" s="2" t="s">
        <v>227</v>
      </c>
      <c r="G68" s="2">
        <v>0</v>
      </c>
      <c r="H68" s="2">
        <v>0</v>
      </c>
      <c r="I68" s="1">
        <v>0</v>
      </c>
      <c r="J68" s="3" t="s">
        <v>207</v>
      </c>
      <c r="K68" s="2" t="str">
        <f>J68*351.33</f>
        <v>0</v>
      </c>
      <c r="L68" s="5"/>
    </row>
    <row r="69" spans="1:12" customHeight="1" ht="105" outlineLevel="5">
      <c r="A69" s="1"/>
      <c r="B69" s="1">
        <v>819915</v>
      </c>
      <c r="C69" s="1" t="s">
        <v>228</v>
      </c>
      <c r="D69" s="1" t="s">
        <v>229</v>
      </c>
      <c r="E69" s="2" t="s">
        <v>230</v>
      </c>
      <c r="F69" s="2" t="s">
        <v>215</v>
      </c>
      <c r="G69" s="2">
        <v>0</v>
      </c>
      <c r="H69" s="2">
        <v>0</v>
      </c>
      <c r="I69" s="1">
        <v>0</v>
      </c>
      <c r="J69" s="3" t="s">
        <v>207</v>
      </c>
      <c r="K69" s="2" t="str">
        <f>J69*355.74</f>
        <v>0</v>
      </c>
      <c r="L69" s="5"/>
    </row>
    <row r="70" spans="1:12" customHeight="1" ht="105" outlineLevel="5">
      <c r="A70" s="1"/>
      <c r="B70" s="1">
        <v>819916</v>
      </c>
      <c r="C70" s="1" t="s">
        <v>231</v>
      </c>
      <c r="D70" s="1" t="s">
        <v>232</v>
      </c>
      <c r="E70" s="2" t="s">
        <v>233</v>
      </c>
      <c r="F70" s="2" t="s">
        <v>234</v>
      </c>
      <c r="G70" s="2">
        <v>0</v>
      </c>
      <c r="H70" s="2">
        <v>0</v>
      </c>
      <c r="I70" s="1">
        <v>0</v>
      </c>
      <c r="J70" s="3" t="s">
        <v>207</v>
      </c>
      <c r="K70" s="2" t="str">
        <f>J70*483.63</f>
        <v>0</v>
      </c>
      <c r="L70" s="5"/>
    </row>
    <row r="71" spans="1:12" customHeight="1" ht="105" outlineLevel="5">
      <c r="A71" s="1"/>
      <c r="B71" s="1">
        <v>823146</v>
      </c>
      <c r="C71" s="1" t="s">
        <v>235</v>
      </c>
      <c r="D71" s="1" t="s">
        <v>236</v>
      </c>
      <c r="E71" s="2" t="s">
        <v>237</v>
      </c>
      <c r="F71" s="2" t="s">
        <v>238</v>
      </c>
      <c r="G71" s="2">
        <v>0</v>
      </c>
      <c r="H71" s="2">
        <v>0</v>
      </c>
      <c r="I71" s="1">
        <v>0</v>
      </c>
      <c r="J71" s="3" t="s">
        <v>207</v>
      </c>
      <c r="K71" s="2" t="str">
        <f>J71*289.59</f>
        <v>0</v>
      </c>
      <c r="L71" s="5"/>
    </row>
    <row r="72" spans="1:12" customHeight="1" ht="105" outlineLevel="5">
      <c r="A72" s="1"/>
      <c r="B72" s="1">
        <v>823147</v>
      </c>
      <c r="C72" s="1" t="s">
        <v>239</v>
      </c>
      <c r="D72" s="1" t="s">
        <v>240</v>
      </c>
      <c r="E72" s="2" t="s">
        <v>241</v>
      </c>
      <c r="F72" s="2" t="s">
        <v>242</v>
      </c>
      <c r="G72" s="2" t="s">
        <v>28</v>
      </c>
      <c r="H72" s="2">
        <v>0</v>
      </c>
      <c r="I72" s="1">
        <v>0</v>
      </c>
      <c r="J72" s="3" t="s">
        <v>207</v>
      </c>
      <c r="K72" s="2" t="str">
        <f>J72*837.90</f>
        <v>0</v>
      </c>
      <c r="L72" s="5"/>
    </row>
    <row r="73" spans="1:12" customHeight="1" ht="105" outlineLevel="5">
      <c r="A73" s="1"/>
      <c r="B73" s="1">
        <v>823148</v>
      </c>
      <c r="C73" s="1" t="s">
        <v>243</v>
      </c>
      <c r="D73" s="1" t="s">
        <v>244</v>
      </c>
      <c r="E73" s="2" t="s">
        <v>245</v>
      </c>
      <c r="F73" s="2" t="s">
        <v>246</v>
      </c>
      <c r="G73" s="2">
        <v>4</v>
      </c>
      <c r="H73" s="2">
        <v>0</v>
      </c>
      <c r="I73" s="1">
        <v>0</v>
      </c>
      <c r="J73" s="3" t="s">
        <v>207</v>
      </c>
      <c r="K73" s="2" t="str">
        <f>J73*299.88</f>
        <v>0</v>
      </c>
      <c r="L73" s="5"/>
    </row>
    <row r="74" spans="1:12" customHeight="1" ht="105" outlineLevel="5">
      <c r="A74" s="1"/>
      <c r="B74" s="1">
        <v>823149</v>
      </c>
      <c r="C74" s="1" t="s">
        <v>247</v>
      </c>
      <c r="D74" s="1" t="s">
        <v>248</v>
      </c>
      <c r="E74" s="2" t="s">
        <v>249</v>
      </c>
      <c r="F74" s="2" t="s">
        <v>250</v>
      </c>
      <c r="G74" s="2">
        <v>0</v>
      </c>
      <c r="H74" s="2">
        <v>0</v>
      </c>
      <c r="I74" s="1">
        <v>0</v>
      </c>
      <c r="J74" s="3" t="s">
        <v>207</v>
      </c>
      <c r="K74" s="2" t="str">
        <f>J74*693.84</f>
        <v>0</v>
      </c>
      <c r="L74" s="5"/>
    </row>
    <row r="75" spans="1:12" customHeight="1" ht="105" outlineLevel="5">
      <c r="A75" s="1"/>
      <c r="B75" s="1">
        <v>823150</v>
      </c>
      <c r="C75" s="1" t="s">
        <v>251</v>
      </c>
      <c r="D75" s="1" t="s">
        <v>252</v>
      </c>
      <c r="E75" s="2" t="s">
        <v>253</v>
      </c>
      <c r="F75" s="2" t="s">
        <v>254</v>
      </c>
      <c r="G75" s="2" t="s">
        <v>28</v>
      </c>
      <c r="H75" s="2">
        <v>0</v>
      </c>
      <c r="I75" s="1">
        <v>0</v>
      </c>
      <c r="J75" s="3" t="s">
        <v>207</v>
      </c>
      <c r="K75" s="2" t="str">
        <f>J75*282.24</f>
        <v>0</v>
      </c>
      <c r="L75" s="5"/>
    </row>
    <row r="76" spans="1:12" customHeight="1" ht="105" outlineLevel="5">
      <c r="A76" s="1"/>
      <c r="B76" s="1">
        <v>823151</v>
      </c>
      <c r="C76" s="1" t="s">
        <v>255</v>
      </c>
      <c r="D76" s="1" t="s">
        <v>256</v>
      </c>
      <c r="E76" s="2" t="s">
        <v>257</v>
      </c>
      <c r="F76" s="2" t="s">
        <v>258</v>
      </c>
      <c r="G76" s="2">
        <v>3</v>
      </c>
      <c r="H76" s="2">
        <v>0</v>
      </c>
      <c r="I76" s="1">
        <v>0</v>
      </c>
      <c r="J76" s="3" t="s">
        <v>207</v>
      </c>
      <c r="K76" s="2" t="str">
        <f>J76*452.76</f>
        <v>0</v>
      </c>
      <c r="L76" s="5"/>
    </row>
    <row r="77" spans="1:12" customHeight="1" ht="105" outlineLevel="5">
      <c r="A77" s="1"/>
      <c r="B77" s="1">
        <v>823152</v>
      </c>
      <c r="C77" s="1" t="s">
        <v>259</v>
      </c>
      <c r="D77" s="1" t="s">
        <v>260</v>
      </c>
      <c r="E77" s="2" t="s">
        <v>261</v>
      </c>
      <c r="F77" s="2" t="s">
        <v>262</v>
      </c>
      <c r="G77" s="2" t="s">
        <v>28</v>
      </c>
      <c r="H77" s="2">
        <v>0</v>
      </c>
      <c r="I77" s="1">
        <v>0</v>
      </c>
      <c r="J77" s="3" t="s">
        <v>207</v>
      </c>
      <c r="K77" s="2" t="str">
        <f>J77*792.33</f>
        <v>0</v>
      </c>
      <c r="L77" s="5"/>
    </row>
    <row r="78" spans="1:12" customHeight="1" ht="105" outlineLevel="5">
      <c r="A78" s="1"/>
      <c r="B78" s="1">
        <v>823153</v>
      </c>
      <c r="C78" s="1" t="s">
        <v>263</v>
      </c>
      <c r="D78" s="1" t="s">
        <v>264</v>
      </c>
      <c r="E78" s="2" t="s">
        <v>265</v>
      </c>
      <c r="F78" s="2" t="s">
        <v>266</v>
      </c>
      <c r="G78" s="2">
        <v>7</v>
      </c>
      <c r="H78" s="2">
        <v>0</v>
      </c>
      <c r="I78" s="1">
        <v>0</v>
      </c>
      <c r="J78" s="3" t="s">
        <v>207</v>
      </c>
      <c r="K78" s="2" t="str">
        <f>J78*1005.48</f>
        <v>0</v>
      </c>
      <c r="L78" s="5"/>
    </row>
    <row r="79" spans="1:12" customHeight="1" ht="105" outlineLevel="5">
      <c r="A79" s="1"/>
      <c r="B79" s="1">
        <v>823154</v>
      </c>
      <c r="C79" s="1" t="s">
        <v>267</v>
      </c>
      <c r="D79" s="1" t="s">
        <v>268</v>
      </c>
      <c r="E79" s="2" t="s">
        <v>269</v>
      </c>
      <c r="F79" s="2" t="s">
        <v>270</v>
      </c>
      <c r="G79" s="2" t="s">
        <v>33</v>
      </c>
      <c r="H79" s="2">
        <v>0</v>
      </c>
      <c r="I79" s="1">
        <v>0</v>
      </c>
      <c r="J79" s="3" t="s">
        <v>207</v>
      </c>
      <c r="K79" s="2" t="str">
        <f>J79*643.86</f>
        <v>0</v>
      </c>
      <c r="L79" s="5"/>
    </row>
    <row r="80" spans="1:12" customHeight="1" ht="105" outlineLevel="5">
      <c r="A80" s="1"/>
      <c r="B80" s="1">
        <v>823155</v>
      </c>
      <c r="C80" s="1" t="s">
        <v>271</v>
      </c>
      <c r="D80" s="1" t="s">
        <v>272</v>
      </c>
      <c r="E80" s="2" t="s">
        <v>273</v>
      </c>
      <c r="F80" s="2" t="s">
        <v>270</v>
      </c>
      <c r="G80" s="2">
        <v>9</v>
      </c>
      <c r="H80" s="2">
        <v>0</v>
      </c>
      <c r="I80" s="1">
        <v>0</v>
      </c>
      <c r="J80" s="3" t="s">
        <v>207</v>
      </c>
      <c r="K80" s="2" t="str">
        <f>J80*643.86</f>
        <v>0</v>
      </c>
      <c r="L80" s="5"/>
    </row>
    <row r="81" spans="1:12" customHeight="1" ht="105" outlineLevel="5">
      <c r="A81" s="1"/>
      <c r="B81" s="1">
        <v>823156</v>
      </c>
      <c r="C81" s="1" t="s">
        <v>274</v>
      </c>
      <c r="D81" s="1" t="s">
        <v>275</v>
      </c>
      <c r="E81" s="2" t="s">
        <v>276</v>
      </c>
      <c r="F81" s="2" t="s">
        <v>277</v>
      </c>
      <c r="G81" s="2" t="s">
        <v>28</v>
      </c>
      <c r="H81" s="2">
        <v>0</v>
      </c>
      <c r="I81" s="1">
        <v>0</v>
      </c>
      <c r="J81" s="3" t="s">
        <v>207</v>
      </c>
      <c r="K81" s="2" t="str">
        <f>J81*695.31</f>
        <v>0</v>
      </c>
      <c r="L81" s="5"/>
    </row>
    <row r="82" spans="1:12" customHeight="1" ht="105" outlineLevel="5">
      <c r="A82" s="1"/>
      <c r="B82" s="1">
        <v>823157</v>
      </c>
      <c r="C82" s="1" t="s">
        <v>278</v>
      </c>
      <c r="D82" s="1" t="s">
        <v>279</v>
      </c>
      <c r="E82" s="2" t="s">
        <v>280</v>
      </c>
      <c r="F82" s="2" t="s">
        <v>281</v>
      </c>
      <c r="G82" s="2" t="s">
        <v>33</v>
      </c>
      <c r="H82" s="2">
        <v>0</v>
      </c>
      <c r="I82" s="1">
        <v>0</v>
      </c>
      <c r="J82" s="3" t="s">
        <v>207</v>
      </c>
      <c r="K82" s="2" t="str">
        <f>J82*360.15</f>
        <v>0</v>
      </c>
      <c r="L82" s="5"/>
    </row>
    <row r="83" spans="1:12" customHeight="1" ht="105" outlineLevel="5">
      <c r="A83" s="1"/>
      <c r="B83" s="1">
        <v>823158</v>
      </c>
      <c r="C83" s="1" t="s">
        <v>282</v>
      </c>
      <c r="D83" s="1" t="s">
        <v>283</v>
      </c>
      <c r="E83" s="2" t="s">
        <v>284</v>
      </c>
      <c r="F83" s="2" t="s">
        <v>285</v>
      </c>
      <c r="G83" s="2" t="s">
        <v>28</v>
      </c>
      <c r="H83" s="2">
        <v>0</v>
      </c>
      <c r="I83" s="1">
        <v>0</v>
      </c>
      <c r="J83" s="3" t="s">
        <v>207</v>
      </c>
      <c r="K83" s="2" t="str">
        <f>J83*614.46</f>
        <v>0</v>
      </c>
      <c r="L83" s="5"/>
    </row>
    <row r="84" spans="1:12" customHeight="1" ht="105" outlineLevel="5">
      <c r="A84" s="1"/>
      <c r="B84" s="1">
        <v>823159</v>
      </c>
      <c r="C84" s="1" t="s">
        <v>286</v>
      </c>
      <c r="D84" s="1" t="s">
        <v>287</v>
      </c>
      <c r="E84" s="2" t="s">
        <v>288</v>
      </c>
      <c r="F84" s="2" t="s">
        <v>289</v>
      </c>
      <c r="G84" s="2" t="s">
        <v>33</v>
      </c>
      <c r="H84" s="2">
        <v>0</v>
      </c>
      <c r="I84" s="1">
        <v>0</v>
      </c>
      <c r="J84" s="3" t="s">
        <v>207</v>
      </c>
      <c r="K84" s="2" t="str">
        <f>J84*266.07</f>
        <v>0</v>
      </c>
      <c r="L84" s="5"/>
    </row>
    <row r="85" spans="1:12" customHeight="1" ht="105" outlineLevel="5">
      <c r="A85" s="1"/>
      <c r="B85" s="1">
        <v>823160</v>
      </c>
      <c r="C85" s="1" t="s">
        <v>290</v>
      </c>
      <c r="D85" s="1" t="s">
        <v>291</v>
      </c>
      <c r="E85" s="2" t="s">
        <v>292</v>
      </c>
      <c r="F85" s="2" t="s">
        <v>293</v>
      </c>
      <c r="G85" s="2">
        <v>10</v>
      </c>
      <c r="H85" s="2">
        <v>0</v>
      </c>
      <c r="I85" s="1">
        <v>0</v>
      </c>
      <c r="J85" s="3" t="s">
        <v>207</v>
      </c>
      <c r="K85" s="2" t="str">
        <f>J85*496.86</f>
        <v>0</v>
      </c>
      <c r="L85" s="5"/>
    </row>
    <row r="86" spans="1:12" customHeight="1" ht="105" outlineLevel="5">
      <c r="A86" s="1"/>
      <c r="B86" s="1">
        <v>823161</v>
      </c>
      <c r="C86" s="1" t="s">
        <v>294</v>
      </c>
      <c r="D86" s="1" t="s">
        <v>295</v>
      </c>
      <c r="E86" s="2" t="s">
        <v>296</v>
      </c>
      <c r="F86" s="2" t="s">
        <v>297</v>
      </c>
      <c r="G86" s="2" t="s">
        <v>28</v>
      </c>
      <c r="H86" s="2">
        <v>0</v>
      </c>
      <c r="I86" s="1">
        <v>0</v>
      </c>
      <c r="J86" s="3" t="s">
        <v>207</v>
      </c>
      <c r="K86" s="2" t="str">
        <f>J86*867.30</f>
        <v>0</v>
      </c>
      <c r="L86" s="5"/>
    </row>
    <row r="87" spans="1:12" customHeight="1" ht="105" outlineLevel="5">
      <c r="A87" s="1"/>
      <c r="B87" s="1">
        <v>823162</v>
      </c>
      <c r="C87" s="1" t="s">
        <v>298</v>
      </c>
      <c r="D87" s="1" t="s">
        <v>299</v>
      </c>
      <c r="E87" s="2" t="s">
        <v>300</v>
      </c>
      <c r="F87" s="2" t="s">
        <v>301</v>
      </c>
      <c r="G87" s="2">
        <v>9</v>
      </c>
      <c r="H87" s="2">
        <v>0</v>
      </c>
      <c r="I87" s="1">
        <v>0</v>
      </c>
      <c r="J87" s="3" t="s">
        <v>207</v>
      </c>
      <c r="K87" s="2" t="str">
        <f>J87*443.94</f>
        <v>0</v>
      </c>
      <c r="L87" s="5"/>
    </row>
    <row r="88" spans="1:12" customHeight="1" ht="105" outlineLevel="5">
      <c r="A88" s="1"/>
      <c r="B88" s="1">
        <v>823163</v>
      </c>
      <c r="C88" s="1" t="s">
        <v>302</v>
      </c>
      <c r="D88" s="1" t="s">
        <v>303</v>
      </c>
      <c r="E88" s="2" t="s">
        <v>304</v>
      </c>
      <c r="F88" s="2" t="s">
        <v>305</v>
      </c>
      <c r="G88" s="2" t="s">
        <v>28</v>
      </c>
      <c r="H88" s="2">
        <v>0</v>
      </c>
      <c r="I88" s="1">
        <v>0</v>
      </c>
      <c r="J88" s="3" t="s">
        <v>207</v>
      </c>
      <c r="K88" s="2" t="str">
        <f>J88*408.66</f>
        <v>0</v>
      </c>
      <c r="L88" s="5"/>
    </row>
    <row r="89" spans="1:12" customHeight="1" ht="105" outlineLevel="5">
      <c r="A89" s="1"/>
      <c r="B89" s="1">
        <v>823164</v>
      </c>
      <c r="C89" s="1" t="s">
        <v>306</v>
      </c>
      <c r="D89" s="1" t="s">
        <v>307</v>
      </c>
      <c r="E89" s="2" t="s">
        <v>308</v>
      </c>
      <c r="F89" s="2" t="s">
        <v>309</v>
      </c>
      <c r="G89" s="2" t="s">
        <v>28</v>
      </c>
      <c r="H89" s="2">
        <v>0</v>
      </c>
      <c r="I89" s="1">
        <v>0</v>
      </c>
      <c r="J89" s="3" t="s">
        <v>207</v>
      </c>
      <c r="K89" s="2" t="str">
        <f>J89*735.00</f>
        <v>0</v>
      </c>
      <c r="L89" s="5"/>
    </row>
    <row r="90" spans="1:12" customHeight="1" ht="105" outlineLevel="5">
      <c r="A90" s="1"/>
      <c r="B90" s="1">
        <v>823165</v>
      </c>
      <c r="C90" s="1" t="s">
        <v>310</v>
      </c>
      <c r="D90" s="1" t="s">
        <v>311</v>
      </c>
      <c r="E90" s="2" t="s">
        <v>312</v>
      </c>
      <c r="F90" s="2" t="s">
        <v>313</v>
      </c>
      <c r="G90" s="2">
        <v>9</v>
      </c>
      <c r="H90" s="2">
        <v>0</v>
      </c>
      <c r="I90" s="1">
        <v>0</v>
      </c>
      <c r="J90" s="3" t="s">
        <v>207</v>
      </c>
      <c r="K90" s="2" t="str">
        <f>J90*1264.20</f>
        <v>0</v>
      </c>
      <c r="L90" s="5"/>
    </row>
    <row r="91" spans="1:12" customHeight="1" ht="105" outlineLevel="5">
      <c r="A91" s="1"/>
      <c r="B91" s="1">
        <v>823166</v>
      </c>
      <c r="C91" s="1" t="s">
        <v>314</v>
      </c>
      <c r="D91" s="1" t="s">
        <v>315</v>
      </c>
      <c r="E91" s="2" t="s">
        <v>316</v>
      </c>
      <c r="F91" s="2" t="s">
        <v>317</v>
      </c>
      <c r="G91" s="2">
        <v>8</v>
      </c>
      <c r="H91" s="2">
        <v>0</v>
      </c>
      <c r="I91" s="1">
        <v>0</v>
      </c>
      <c r="J91" s="3" t="s">
        <v>207</v>
      </c>
      <c r="K91" s="2" t="str">
        <f>J91*1930.11</f>
        <v>0</v>
      </c>
      <c r="L91" s="5"/>
    </row>
    <row r="92" spans="1:12" customHeight="1" ht="105" outlineLevel="5">
      <c r="A92" s="1"/>
      <c r="B92" s="1">
        <v>823167</v>
      </c>
      <c r="C92" s="1" t="s">
        <v>318</v>
      </c>
      <c r="D92" s="1" t="s">
        <v>319</v>
      </c>
      <c r="E92" s="2" t="s">
        <v>320</v>
      </c>
      <c r="F92" s="2" t="s">
        <v>321</v>
      </c>
      <c r="G92" s="2">
        <v>3</v>
      </c>
      <c r="H92" s="2">
        <v>0</v>
      </c>
      <c r="I92" s="1">
        <v>0</v>
      </c>
      <c r="J92" s="3" t="s">
        <v>207</v>
      </c>
      <c r="K92" s="2" t="str">
        <f>J92*624.75</f>
        <v>0</v>
      </c>
      <c r="L92" s="5"/>
    </row>
    <row r="93" spans="1:12" customHeight="1" ht="105" outlineLevel="5">
      <c r="A93" s="1"/>
      <c r="B93" s="1">
        <v>823168</v>
      </c>
      <c r="C93" s="1" t="s">
        <v>322</v>
      </c>
      <c r="D93" s="1" t="s">
        <v>323</v>
      </c>
      <c r="E93" s="2" t="s">
        <v>324</v>
      </c>
      <c r="F93" s="2" t="s">
        <v>325</v>
      </c>
      <c r="G93" s="2">
        <v>9</v>
      </c>
      <c r="H93" s="2">
        <v>0</v>
      </c>
      <c r="I93" s="1">
        <v>0</v>
      </c>
      <c r="J93" s="3" t="s">
        <v>207</v>
      </c>
      <c r="K93" s="2" t="str">
        <f>J93*999.60</f>
        <v>0</v>
      </c>
      <c r="L93" s="5"/>
    </row>
    <row r="94" spans="1:12" customHeight="1" ht="105" outlineLevel="5">
      <c r="A94" s="1"/>
      <c r="B94" s="1">
        <v>823169</v>
      </c>
      <c r="C94" s="1" t="s">
        <v>326</v>
      </c>
      <c r="D94" s="1" t="s">
        <v>327</v>
      </c>
      <c r="E94" s="2" t="s">
        <v>328</v>
      </c>
      <c r="F94" s="2" t="s">
        <v>329</v>
      </c>
      <c r="G94" s="2">
        <v>8</v>
      </c>
      <c r="H94" s="2">
        <v>0</v>
      </c>
      <c r="I94" s="1">
        <v>0</v>
      </c>
      <c r="J94" s="3" t="s">
        <v>207</v>
      </c>
      <c r="K94" s="2" t="str">
        <f>J94*1074.57</f>
        <v>0</v>
      </c>
      <c r="L94" s="5"/>
    </row>
    <row r="95" spans="1:12" customHeight="1" ht="105" outlineLevel="5">
      <c r="A95" s="1"/>
      <c r="B95" s="1">
        <v>823170</v>
      </c>
      <c r="C95" s="1" t="s">
        <v>330</v>
      </c>
      <c r="D95" s="1" t="s">
        <v>331</v>
      </c>
      <c r="E95" s="2" t="s">
        <v>332</v>
      </c>
      <c r="F95" s="2" t="s">
        <v>333</v>
      </c>
      <c r="G95" s="2" t="s">
        <v>28</v>
      </c>
      <c r="H95" s="2">
        <v>0</v>
      </c>
      <c r="I95" s="1">
        <v>0</v>
      </c>
      <c r="J95" s="3" t="s">
        <v>207</v>
      </c>
      <c r="K95" s="2" t="str">
        <f>J95*527.73</f>
        <v>0</v>
      </c>
      <c r="L95" s="5"/>
    </row>
    <row r="96" spans="1:12" customHeight="1" ht="105" outlineLevel="5">
      <c r="A96" s="1"/>
      <c r="B96" s="1">
        <v>823171</v>
      </c>
      <c r="C96" s="1" t="s">
        <v>334</v>
      </c>
      <c r="D96" s="1" t="s">
        <v>335</v>
      </c>
      <c r="E96" s="2" t="s">
        <v>336</v>
      </c>
      <c r="F96" s="2" t="s">
        <v>337</v>
      </c>
      <c r="G96" s="2">
        <v>9</v>
      </c>
      <c r="H96" s="2">
        <v>0</v>
      </c>
      <c r="I96" s="1">
        <v>0</v>
      </c>
      <c r="J96" s="3" t="s">
        <v>207</v>
      </c>
      <c r="K96" s="2" t="str">
        <f>J96*858.48</f>
        <v>0</v>
      </c>
      <c r="L96" s="5"/>
    </row>
    <row r="97" spans="1:12" customHeight="1" ht="105" outlineLevel="5">
      <c r="A97" s="1"/>
      <c r="B97" s="1">
        <v>823172</v>
      </c>
      <c r="C97" s="1" t="s">
        <v>338</v>
      </c>
      <c r="D97" s="1" t="s">
        <v>339</v>
      </c>
      <c r="E97" s="2" t="s">
        <v>340</v>
      </c>
      <c r="F97" s="2" t="s">
        <v>341</v>
      </c>
      <c r="G97" s="2">
        <v>7</v>
      </c>
      <c r="H97" s="2">
        <v>0</v>
      </c>
      <c r="I97" s="1">
        <v>0</v>
      </c>
      <c r="J97" s="3" t="s">
        <v>207</v>
      </c>
      <c r="K97" s="2" t="str">
        <f>J97*1198.05</f>
        <v>0</v>
      </c>
      <c r="L97" s="5"/>
    </row>
    <row r="98" spans="1:12" customHeight="1" ht="105" outlineLevel="5">
      <c r="A98" s="1"/>
      <c r="B98" s="1">
        <v>823173</v>
      </c>
      <c r="C98" s="1" t="s">
        <v>342</v>
      </c>
      <c r="D98" s="1" t="s">
        <v>343</v>
      </c>
      <c r="E98" s="2" t="s">
        <v>344</v>
      </c>
      <c r="F98" s="2" t="s">
        <v>345</v>
      </c>
      <c r="G98" s="2" t="s">
        <v>28</v>
      </c>
      <c r="H98" s="2">
        <v>0</v>
      </c>
      <c r="I98" s="1">
        <v>0</v>
      </c>
      <c r="J98" s="3" t="s">
        <v>207</v>
      </c>
      <c r="K98" s="2" t="str">
        <f>J98*740.88</f>
        <v>0</v>
      </c>
      <c r="L98" s="5"/>
    </row>
    <row r="99" spans="1:12" customHeight="1" ht="105" outlineLevel="5">
      <c r="A99" s="1"/>
      <c r="B99" s="1">
        <v>857754</v>
      </c>
      <c r="C99" s="1" t="s">
        <v>346</v>
      </c>
      <c r="D99" s="1" t="s">
        <v>347</v>
      </c>
      <c r="E99" s="2" t="s">
        <v>348</v>
      </c>
      <c r="F99" s="2" t="s">
        <v>349</v>
      </c>
      <c r="G99" s="2">
        <v>0</v>
      </c>
      <c r="H99" s="2">
        <v>0</v>
      </c>
      <c r="I99" s="1">
        <v>0</v>
      </c>
      <c r="J99" s="3" t="s">
        <v>207</v>
      </c>
      <c r="K99" s="2" t="str">
        <f>J99*1674.33</f>
        <v>0</v>
      </c>
      <c r="L99" s="5"/>
    </row>
    <row r="100" spans="1:12" customHeight="1" ht="105" outlineLevel="5">
      <c r="A100" s="1"/>
      <c r="B100" s="1">
        <v>868488</v>
      </c>
      <c r="C100" s="1" t="s">
        <v>350</v>
      </c>
      <c r="D100" s="1" t="s">
        <v>351</v>
      </c>
      <c r="E100" s="2" t="s">
        <v>352</v>
      </c>
      <c r="F100" s="2" t="s">
        <v>353</v>
      </c>
      <c r="G100" s="2">
        <v>0</v>
      </c>
      <c r="H100" s="2">
        <v>0</v>
      </c>
      <c r="I100" s="1">
        <v>0</v>
      </c>
      <c r="J100" s="3" t="s">
        <v>207</v>
      </c>
      <c r="K100" s="2" t="str">
        <f>J100*1418.55</f>
        <v>0</v>
      </c>
      <c r="L100" s="5"/>
    </row>
    <row r="101" spans="1:12" customHeight="1" ht="105" outlineLevel="5">
      <c r="A101" s="1"/>
      <c r="B101" s="1">
        <v>868489</v>
      </c>
      <c r="C101" s="1" t="s">
        <v>354</v>
      </c>
      <c r="D101" s="1" t="s">
        <v>355</v>
      </c>
      <c r="E101" s="2" t="s">
        <v>356</v>
      </c>
      <c r="F101" s="2" t="s">
        <v>357</v>
      </c>
      <c r="G101" s="2">
        <v>0</v>
      </c>
      <c r="H101" s="2">
        <v>0</v>
      </c>
      <c r="I101" s="1">
        <v>0</v>
      </c>
      <c r="J101" s="3" t="s">
        <v>207</v>
      </c>
      <c r="K101" s="2" t="str">
        <f>J101*1683.15</f>
        <v>0</v>
      </c>
      <c r="L101" s="5"/>
    </row>
    <row r="102" spans="1:12" customHeight="1" ht="105" outlineLevel="5">
      <c r="A102" s="1"/>
      <c r="B102" s="1">
        <v>868531</v>
      </c>
      <c r="C102" s="1" t="s">
        <v>358</v>
      </c>
      <c r="D102" s="1" t="s">
        <v>359</v>
      </c>
      <c r="E102" s="2" t="s">
        <v>360</v>
      </c>
      <c r="F102" s="2" t="s">
        <v>361</v>
      </c>
      <c r="G102" s="2">
        <v>0</v>
      </c>
      <c r="H102" s="2">
        <v>0</v>
      </c>
      <c r="I102" s="1">
        <v>0</v>
      </c>
      <c r="J102" s="3" t="s">
        <v>207</v>
      </c>
      <c r="K102" s="2" t="str">
        <f>J102*1540.56</f>
        <v>0</v>
      </c>
      <c r="L102" s="5"/>
    </row>
    <row r="103" spans="1:12" customHeight="1" ht="105" outlineLevel="5">
      <c r="A103" s="1"/>
      <c r="B103" s="1">
        <v>868532</v>
      </c>
      <c r="C103" s="1" t="s">
        <v>362</v>
      </c>
      <c r="D103" s="1" t="s">
        <v>363</v>
      </c>
      <c r="E103" s="2" t="s">
        <v>364</v>
      </c>
      <c r="F103" s="2" t="s">
        <v>365</v>
      </c>
      <c r="G103" s="2">
        <v>0</v>
      </c>
      <c r="H103" s="2">
        <v>0</v>
      </c>
      <c r="I103" s="1">
        <v>0</v>
      </c>
      <c r="J103" s="3" t="s">
        <v>207</v>
      </c>
      <c r="K103" s="2" t="str">
        <f>J103*1086.33</f>
        <v>0</v>
      </c>
      <c r="L103" s="5"/>
    </row>
    <row r="104" spans="1:12" customHeight="1" ht="105" outlineLevel="5">
      <c r="A104" s="1"/>
      <c r="B104" s="1">
        <v>868533</v>
      </c>
      <c r="C104" s="1" t="s">
        <v>366</v>
      </c>
      <c r="D104" s="1" t="s">
        <v>367</v>
      </c>
      <c r="E104" s="2" t="s">
        <v>368</v>
      </c>
      <c r="F104" s="2" t="s">
        <v>369</v>
      </c>
      <c r="G104" s="2">
        <v>0</v>
      </c>
      <c r="H104" s="2">
        <v>0</v>
      </c>
      <c r="I104" s="1">
        <v>0</v>
      </c>
      <c r="J104" s="3" t="s">
        <v>207</v>
      </c>
      <c r="K104" s="2" t="str">
        <f>J104*1212.75</f>
        <v>0</v>
      </c>
      <c r="L104" s="5"/>
    </row>
    <row r="105" spans="1:12" customHeight="1" ht="105" outlineLevel="5">
      <c r="A105" s="1"/>
      <c r="B105" s="1">
        <v>868534</v>
      </c>
      <c r="C105" s="1" t="s">
        <v>370</v>
      </c>
      <c r="D105" s="1" t="s">
        <v>371</v>
      </c>
      <c r="E105" s="2" t="s">
        <v>372</v>
      </c>
      <c r="F105" s="2" t="s">
        <v>373</v>
      </c>
      <c r="G105" s="2">
        <v>0</v>
      </c>
      <c r="H105" s="2">
        <v>0</v>
      </c>
      <c r="I105" s="1">
        <v>0</v>
      </c>
      <c r="J105" s="3" t="s">
        <v>207</v>
      </c>
      <c r="K105" s="2" t="str">
        <f>J105*1862.49</f>
        <v>0</v>
      </c>
      <c r="L105" s="5"/>
    </row>
    <row r="106" spans="1:12" customHeight="1" ht="105" outlineLevel="5">
      <c r="A106" s="1"/>
      <c r="B106" s="1">
        <v>885096</v>
      </c>
      <c r="C106" s="1" t="s">
        <v>374</v>
      </c>
      <c r="D106" s="1" t="s">
        <v>375</v>
      </c>
      <c r="E106" s="2" t="s">
        <v>376</v>
      </c>
      <c r="F106" s="2" t="s">
        <v>377</v>
      </c>
      <c r="G106" s="2" t="s">
        <v>23</v>
      </c>
      <c r="H106" s="2">
        <v>0</v>
      </c>
      <c r="I106" s="1">
        <v>0</v>
      </c>
      <c r="J106" s="3" t="s">
        <v>207</v>
      </c>
      <c r="K106" s="2" t="str">
        <f>J106*154.35</f>
        <v>0</v>
      </c>
      <c r="L106" s="5"/>
    </row>
    <row r="107" spans="1:12" customHeight="1" ht="105" outlineLevel="5">
      <c r="A107" s="1"/>
      <c r="B107" s="1">
        <v>885097</v>
      </c>
      <c r="C107" s="1" t="s">
        <v>378</v>
      </c>
      <c r="D107" s="1" t="s">
        <v>379</v>
      </c>
      <c r="E107" s="2" t="s">
        <v>380</v>
      </c>
      <c r="F107" s="2" t="s">
        <v>206</v>
      </c>
      <c r="G107" s="2" t="s">
        <v>90</v>
      </c>
      <c r="H107" s="2">
        <v>0</v>
      </c>
      <c r="I107" s="1">
        <v>0</v>
      </c>
      <c r="J107" s="3" t="s">
        <v>207</v>
      </c>
      <c r="K107" s="2" t="str">
        <f>J107*246.96</f>
        <v>0</v>
      </c>
      <c r="L107" s="5"/>
    </row>
    <row r="108" spans="1:12" customHeight="1" ht="105" outlineLevel="5">
      <c r="A108" s="1"/>
      <c r="B108" s="1">
        <v>885098</v>
      </c>
      <c r="C108" s="1" t="s">
        <v>381</v>
      </c>
      <c r="D108" s="1" t="s">
        <v>382</v>
      </c>
      <c r="E108" s="2" t="s">
        <v>383</v>
      </c>
      <c r="F108" s="2" t="s">
        <v>384</v>
      </c>
      <c r="G108" s="2" t="s">
        <v>33</v>
      </c>
      <c r="H108" s="2">
        <v>0</v>
      </c>
      <c r="I108" s="1">
        <v>0</v>
      </c>
      <c r="J108" s="3" t="s">
        <v>207</v>
      </c>
      <c r="K108" s="2" t="str">
        <f>J108*417.48</f>
        <v>0</v>
      </c>
      <c r="L108" s="5"/>
    </row>
    <row r="109" spans="1:12" customHeight="1" ht="105" outlineLevel="5">
      <c r="A109" s="1"/>
      <c r="B109" s="1">
        <v>885099</v>
      </c>
      <c r="C109" s="1" t="s">
        <v>385</v>
      </c>
      <c r="D109" s="1" t="s">
        <v>386</v>
      </c>
      <c r="E109" s="2" t="s">
        <v>387</v>
      </c>
      <c r="F109" s="2" t="s">
        <v>388</v>
      </c>
      <c r="G109" s="2" t="s">
        <v>23</v>
      </c>
      <c r="H109" s="2">
        <v>0</v>
      </c>
      <c r="I109" s="1">
        <v>0</v>
      </c>
      <c r="J109" s="3" t="s">
        <v>207</v>
      </c>
      <c r="K109" s="2" t="str">
        <f>J109*160.23</f>
        <v>0</v>
      </c>
      <c r="L109" s="5"/>
    </row>
    <row r="110" spans="1:12" customHeight="1" ht="105" outlineLevel="5">
      <c r="A110" s="1"/>
      <c r="B110" s="1">
        <v>885100</v>
      </c>
      <c r="C110" s="1" t="s">
        <v>389</v>
      </c>
      <c r="D110" s="1" t="s">
        <v>390</v>
      </c>
      <c r="E110" s="2" t="s">
        <v>391</v>
      </c>
      <c r="F110" s="2" t="s">
        <v>392</v>
      </c>
      <c r="G110" s="2" t="s">
        <v>90</v>
      </c>
      <c r="H110" s="2">
        <v>0</v>
      </c>
      <c r="I110" s="1">
        <v>0</v>
      </c>
      <c r="J110" s="3" t="s">
        <v>207</v>
      </c>
      <c r="K110" s="2" t="str">
        <f>J110*267.54</f>
        <v>0</v>
      </c>
      <c r="L110" s="5"/>
    </row>
    <row r="111" spans="1:12" customHeight="1" ht="105" outlineLevel="5">
      <c r="A111" s="1"/>
      <c r="B111" s="1">
        <v>885101</v>
      </c>
      <c r="C111" s="1" t="s">
        <v>393</v>
      </c>
      <c r="D111" s="1" t="s">
        <v>394</v>
      </c>
      <c r="E111" s="2" t="s">
        <v>395</v>
      </c>
      <c r="F111" s="2" t="s">
        <v>396</v>
      </c>
      <c r="G111" s="2" t="s">
        <v>33</v>
      </c>
      <c r="H111" s="2">
        <v>0</v>
      </c>
      <c r="I111" s="1">
        <v>0</v>
      </c>
      <c r="J111" s="3" t="s">
        <v>207</v>
      </c>
      <c r="K111" s="2" t="str">
        <f>J111*402.78</f>
        <v>0</v>
      </c>
      <c r="L111" s="5"/>
    </row>
    <row r="112" spans="1:12" customHeight="1" ht="105" outlineLevel="5">
      <c r="A112" s="1"/>
      <c r="B112" s="1">
        <v>885115</v>
      </c>
      <c r="C112" s="1" t="s">
        <v>397</v>
      </c>
      <c r="D112" s="1" t="s">
        <v>398</v>
      </c>
      <c r="E112" s="2" t="s">
        <v>399</v>
      </c>
      <c r="F112" s="2" t="s">
        <v>400</v>
      </c>
      <c r="G112" s="2" t="s">
        <v>33</v>
      </c>
      <c r="H112" s="2">
        <v>0</v>
      </c>
      <c r="I112" s="1">
        <v>0</v>
      </c>
      <c r="J112" s="3" t="s">
        <v>207</v>
      </c>
      <c r="K112" s="2" t="str">
        <f>J112*470.40</f>
        <v>0</v>
      </c>
      <c r="L112" s="5"/>
    </row>
    <row r="113" spans="1:12" customHeight="1" ht="105" outlineLevel="5">
      <c r="A113" s="1"/>
      <c r="B113" s="1">
        <v>885116</v>
      </c>
      <c r="C113" s="1" t="s">
        <v>401</v>
      </c>
      <c r="D113" s="1" t="s">
        <v>402</v>
      </c>
      <c r="E113" s="2" t="s">
        <v>403</v>
      </c>
      <c r="F113" s="2" t="s">
        <v>404</v>
      </c>
      <c r="G113" s="2" t="s">
        <v>28</v>
      </c>
      <c r="H113" s="2">
        <v>0</v>
      </c>
      <c r="I113" s="1">
        <v>0</v>
      </c>
      <c r="J113" s="3" t="s">
        <v>207</v>
      </c>
      <c r="K113" s="2" t="str">
        <f>J113*654.15</f>
        <v>0</v>
      </c>
      <c r="L113" s="5"/>
    </row>
    <row r="114" spans="1:12" outlineLevel="3">
      <c r="A114" s="9" t="s">
        <v>405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5"/>
    </row>
    <row r="115" spans="1:12" customHeight="1" ht="105" outlineLevel="5">
      <c r="A115" s="1"/>
      <c r="B115" s="1">
        <v>954169</v>
      </c>
      <c r="C115" s="1" t="s">
        <v>406</v>
      </c>
      <c r="D115" s="1" t="s">
        <v>407</v>
      </c>
      <c r="E115" s="2" t="s">
        <v>408</v>
      </c>
      <c r="F115" s="2" t="s">
        <v>409</v>
      </c>
      <c r="G115" s="2" t="s">
        <v>33</v>
      </c>
      <c r="H115" s="2">
        <v>0</v>
      </c>
      <c r="I115" s="1">
        <v>0</v>
      </c>
      <c r="J115" s="3" t="s">
        <v>207</v>
      </c>
      <c r="K115" s="2" t="str">
        <f>J115*320.45</f>
        <v>0</v>
      </c>
      <c r="L115" s="5"/>
    </row>
    <row r="116" spans="1:12" customHeight="1" ht="105" outlineLevel="5">
      <c r="A116" s="1"/>
      <c r="B116" s="1">
        <v>954170</v>
      </c>
      <c r="C116" s="1" t="s">
        <v>410</v>
      </c>
      <c r="D116" s="1" t="s">
        <v>411</v>
      </c>
      <c r="E116" s="2" t="s">
        <v>412</v>
      </c>
      <c r="F116" s="2" t="s">
        <v>413</v>
      </c>
      <c r="G116" s="2" t="s">
        <v>28</v>
      </c>
      <c r="H116" s="2">
        <v>0</v>
      </c>
      <c r="I116" s="1">
        <v>0</v>
      </c>
      <c r="J116" s="3" t="s">
        <v>207</v>
      </c>
      <c r="K116" s="2" t="str">
        <f>J116*512.21</f>
        <v>0</v>
      </c>
      <c r="L116" s="5"/>
    </row>
    <row r="117" spans="1:12" customHeight="1" ht="105" outlineLevel="5">
      <c r="A117" s="1"/>
      <c r="B117" s="1">
        <v>954171</v>
      </c>
      <c r="C117" s="1" t="s">
        <v>414</v>
      </c>
      <c r="D117" s="1" t="s">
        <v>415</v>
      </c>
      <c r="E117" s="2" t="s">
        <v>416</v>
      </c>
      <c r="F117" s="2" t="s">
        <v>417</v>
      </c>
      <c r="G117" s="2" t="s">
        <v>28</v>
      </c>
      <c r="H117" s="2">
        <v>0</v>
      </c>
      <c r="I117" s="1">
        <v>0</v>
      </c>
      <c r="J117" s="3" t="s">
        <v>207</v>
      </c>
      <c r="K117" s="2" t="str">
        <f>J117*768.31</f>
        <v>0</v>
      </c>
      <c r="L117" s="5"/>
    </row>
    <row r="118" spans="1:12" customHeight="1" ht="105" outlineLevel="5">
      <c r="A118" s="1"/>
      <c r="B118" s="1">
        <v>954172</v>
      </c>
      <c r="C118" s="1" t="s">
        <v>418</v>
      </c>
      <c r="D118" s="1" t="s">
        <v>419</v>
      </c>
      <c r="E118" s="2" t="s">
        <v>420</v>
      </c>
      <c r="F118" s="2" t="s">
        <v>421</v>
      </c>
      <c r="G118" s="2" t="s">
        <v>28</v>
      </c>
      <c r="H118" s="2">
        <v>0</v>
      </c>
      <c r="I118" s="1">
        <v>0</v>
      </c>
      <c r="J118" s="3" t="s">
        <v>207</v>
      </c>
      <c r="K118" s="2" t="str">
        <f>J118*1140.49</f>
        <v>0</v>
      </c>
      <c r="L118" s="5"/>
    </row>
    <row r="119" spans="1:12" customHeight="1" ht="105" outlineLevel="5">
      <c r="A119" s="1"/>
      <c r="B119" s="1">
        <v>954173</v>
      </c>
      <c r="C119" s="1" t="s">
        <v>422</v>
      </c>
      <c r="D119" s="1" t="s">
        <v>423</v>
      </c>
      <c r="E119" s="2" t="s">
        <v>424</v>
      </c>
      <c r="F119" s="2" t="s">
        <v>425</v>
      </c>
      <c r="G119" s="2" t="s">
        <v>28</v>
      </c>
      <c r="H119" s="2">
        <v>0</v>
      </c>
      <c r="I119" s="1">
        <v>0</v>
      </c>
      <c r="J119" s="3" t="s">
        <v>207</v>
      </c>
      <c r="K119" s="2" t="str">
        <f>J119*488.24</f>
        <v>0</v>
      </c>
      <c r="L119" s="5"/>
    </row>
    <row r="120" spans="1:12" customHeight="1" ht="105" outlineLevel="5">
      <c r="A120" s="1"/>
      <c r="B120" s="1">
        <v>954174</v>
      </c>
      <c r="C120" s="1" t="s">
        <v>426</v>
      </c>
      <c r="D120" s="1" t="s">
        <v>427</v>
      </c>
      <c r="E120" s="2" t="s">
        <v>428</v>
      </c>
      <c r="F120" s="2" t="s">
        <v>429</v>
      </c>
      <c r="G120" s="2" t="s">
        <v>28</v>
      </c>
      <c r="H120" s="2">
        <v>0</v>
      </c>
      <c r="I120" s="1">
        <v>0</v>
      </c>
      <c r="J120" s="3" t="s">
        <v>207</v>
      </c>
      <c r="K120" s="2" t="str">
        <f>J120*664.86</f>
        <v>0</v>
      </c>
      <c r="L120" s="5"/>
    </row>
    <row r="121" spans="1:12" customHeight="1" ht="105" outlineLevel="5">
      <c r="A121" s="1"/>
      <c r="B121" s="1">
        <v>954175</v>
      </c>
      <c r="C121" s="1" t="s">
        <v>430</v>
      </c>
      <c r="D121" s="1" t="s">
        <v>431</v>
      </c>
      <c r="E121" s="2" t="s">
        <v>432</v>
      </c>
      <c r="F121" s="2" t="s">
        <v>433</v>
      </c>
      <c r="G121" s="2">
        <v>10</v>
      </c>
      <c r="H121" s="2">
        <v>0</v>
      </c>
      <c r="I121" s="1">
        <v>0</v>
      </c>
      <c r="J121" s="3" t="s">
        <v>207</v>
      </c>
      <c r="K121" s="2" t="str">
        <f>J121*1031.99</f>
        <v>0</v>
      </c>
      <c r="L121" s="5"/>
    </row>
    <row r="122" spans="1:12" customHeight="1" ht="105" outlineLevel="5">
      <c r="A122" s="1"/>
      <c r="B122" s="1">
        <v>954176</v>
      </c>
      <c r="C122" s="1" t="s">
        <v>434</v>
      </c>
      <c r="D122" s="1" t="s">
        <v>435</v>
      </c>
      <c r="E122" s="2" t="s">
        <v>436</v>
      </c>
      <c r="F122" s="2" t="s">
        <v>437</v>
      </c>
      <c r="G122" s="2" t="s">
        <v>23</v>
      </c>
      <c r="H122" s="2">
        <v>0</v>
      </c>
      <c r="I122" s="1">
        <v>0</v>
      </c>
      <c r="J122" s="3" t="s">
        <v>207</v>
      </c>
      <c r="K122" s="2" t="str">
        <f>J122*244.75</f>
        <v>0</v>
      </c>
      <c r="L122" s="5"/>
    </row>
    <row r="123" spans="1:12" customHeight="1" ht="105" outlineLevel="5">
      <c r="A123" s="1"/>
      <c r="B123" s="1">
        <v>954177</v>
      </c>
      <c r="C123" s="1" t="s">
        <v>438</v>
      </c>
      <c r="D123" s="1" t="s">
        <v>439</v>
      </c>
      <c r="E123" s="2" t="s">
        <v>440</v>
      </c>
      <c r="F123" s="2" t="s">
        <v>441</v>
      </c>
      <c r="G123" s="2" t="s">
        <v>33</v>
      </c>
      <c r="H123" s="2">
        <v>0</v>
      </c>
      <c r="I123" s="1">
        <v>0</v>
      </c>
      <c r="J123" s="3" t="s">
        <v>207</v>
      </c>
      <c r="K123" s="2" t="str">
        <f>J123*348.20</f>
        <v>0</v>
      </c>
      <c r="L123" s="5"/>
    </row>
    <row r="124" spans="1:12" customHeight="1" ht="105" outlineLevel="5">
      <c r="A124" s="1"/>
      <c r="B124" s="1">
        <v>954178</v>
      </c>
      <c r="C124" s="1" t="s">
        <v>442</v>
      </c>
      <c r="D124" s="1" t="s">
        <v>443</v>
      </c>
      <c r="E124" s="2" t="s">
        <v>444</v>
      </c>
      <c r="F124" s="2" t="s">
        <v>445</v>
      </c>
      <c r="G124" s="2" t="s">
        <v>90</v>
      </c>
      <c r="H124" s="2">
        <v>0</v>
      </c>
      <c r="I124" s="1">
        <v>0</v>
      </c>
      <c r="J124" s="3" t="s">
        <v>207</v>
      </c>
      <c r="K124" s="2" t="str">
        <f>J124*372.17</f>
        <v>0</v>
      </c>
      <c r="L124" s="5"/>
    </row>
    <row r="125" spans="1:12" customHeight="1" ht="105" outlineLevel="5">
      <c r="A125" s="1"/>
      <c r="B125" s="1">
        <v>954179</v>
      </c>
      <c r="C125" s="1" t="s">
        <v>446</v>
      </c>
      <c r="D125" s="1" t="s">
        <v>447</v>
      </c>
      <c r="E125" s="2" t="s">
        <v>448</v>
      </c>
      <c r="F125" s="2" t="s">
        <v>445</v>
      </c>
      <c r="G125" s="2" t="s">
        <v>23</v>
      </c>
      <c r="H125" s="2">
        <v>0</v>
      </c>
      <c r="I125" s="1">
        <v>0</v>
      </c>
      <c r="J125" s="3" t="s">
        <v>207</v>
      </c>
      <c r="K125" s="2" t="str">
        <f>J125*372.17</f>
        <v>0</v>
      </c>
      <c r="L125" s="5"/>
    </row>
    <row r="126" spans="1:12" customHeight="1" ht="105" outlineLevel="5">
      <c r="A126" s="1"/>
      <c r="B126" s="1">
        <v>954180</v>
      </c>
      <c r="C126" s="1" t="s">
        <v>449</v>
      </c>
      <c r="D126" s="1" t="s">
        <v>450</v>
      </c>
      <c r="E126" s="2" t="s">
        <v>451</v>
      </c>
      <c r="F126" s="2" t="s">
        <v>452</v>
      </c>
      <c r="G126" s="2" t="s">
        <v>90</v>
      </c>
      <c r="H126" s="2">
        <v>0</v>
      </c>
      <c r="I126" s="1">
        <v>0</v>
      </c>
      <c r="J126" s="3" t="s">
        <v>207</v>
      </c>
      <c r="K126" s="2" t="str">
        <f>J126*567.72</f>
        <v>0</v>
      </c>
      <c r="L126" s="5"/>
    </row>
    <row r="127" spans="1:12" customHeight="1" ht="105" outlineLevel="5">
      <c r="A127" s="1"/>
      <c r="B127" s="1">
        <v>954181</v>
      </c>
      <c r="C127" s="1" t="s">
        <v>453</v>
      </c>
      <c r="D127" s="1" t="s">
        <v>454</v>
      </c>
      <c r="E127" s="2" t="s">
        <v>455</v>
      </c>
      <c r="F127" s="2" t="s">
        <v>456</v>
      </c>
      <c r="G127" s="2" t="s">
        <v>28</v>
      </c>
      <c r="H127" s="2">
        <v>0</v>
      </c>
      <c r="I127" s="1">
        <v>0</v>
      </c>
      <c r="J127" s="3" t="s">
        <v>207</v>
      </c>
      <c r="K127" s="2" t="str">
        <f>J127*817.52</f>
        <v>0</v>
      </c>
      <c r="L127" s="5"/>
    </row>
    <row r="128" spans="1:12" customHeight="1" ht="105" outlineLevel="5">
      <c r="A128" s="1"/>
      <c r="B128" s="1">
        <v>954182</v>
      </c>
      <c r="C128" s="1" t="s">
        <v>457</v>
      </c>
      <c r="D128" s="1" t="s">
        <v>458</v>
      </c>
      <c r="E128" s="2" t="s">
        <v>459</v>
      </c>
      <c r="F128" s="2" t="s">
        <v>460</v>
      </c>
      <c r="G128" s="2" t="s">
        <v>90</v>
      </c>
      <c r="H128" s="2">
        <v>0</v>
      </c>
      <c r="I128" s="1">
        <v>0</v>
      </c>
      <c r="J128" s="3" t="s">
        <v>207</v>
      </c>
      <c r="K128" s="2" t="str">
        <f>J128*213.21</f>
        <v>0</v>
      </c>
      <c r="L128" s="5"/>
    </row>
    <row r="129" spans="1:12" customHeight="1" ht="105" outlineLevel="5">
      <c r="A129" s="1"/>
      <c r="B129" s="1">
        <v>954183</v>
      </c>
      <c r="C129" s="1" t="s">
        <v>461</v>
      </c>
      <c r="D129" s="1" t="s">
        <v>462</v>
      </c>
      <c r="E129" s="2" t="s">
        <v>463</v>
      </c>
      <c r="F129" s="2" t="s">
        <v>464</v>
      </c>
      <c r="G129" s="2" t="s">
        <v>33</v>
      </c>
      <c r="H129" s="2">
        <v>0</v>
      </c>
      <c r="I129" s="1">
        <v>0</v>
      </c>
      <c r="J129" s="3" t="s">
        <v>207</v>
      </c>
      <c r="K129" s="2" t="str">
        <f>J129*304.05</f>
        <v>0</v>
      </c>
      <c r="L129" s="5"/>
    </row>
    <row r="130" spans="1:12" customHeight="1" ht="105" outlineLevel="5">
      <c r="A130" s="1"/>
      <c r="B130" s="1">
        <v>954184</v>
      </c>
      <c r="C130" s="1" t="s">
        <v>465</v>
      </c>
      <c r="D130" s="1" t="s">
        <v>466</v>
      </c>
      <c r="E130" s="2" t="s">
        <v>467</v>
      </c>
      <c r="F130" s="2" t="s">
        <v>468</v>
      </c>
      <c r="G130" s="2" t="s">
        <v>90</v>
      </c>
      <c r="H130" s="2">
        <v>0</v>
      </c>
      <c r="I130" s="1">
        <v>0</v>
      </c>
      <c r="J130" s="3" t="s">
        <v>207</v>
      </c>
      <c r="K130" s="2" t="str">
        <f>J130*344.42</f>
        <v>0</v>
      </c>
      <c r="L130" s="5"/>
    </row>
    <row r="131" spans="1:12" customHeight="1" ht="105" outlineLevel="5">
      <c r="A131" s="1"/>
      <c r="B131" s="1">
        <v>954185</v>
      </c>
      <c r="C131" s="1" t="s">
        <v>469</v>
      </c>
      <c r="D131" s="1" t="s">
        <v>470</v>
      </c>
      <c r="E131" s="2" t="s">
        <v>471</v>
      </c>
      <c r="F131" s="2" t="s">
        <v>472</v>
      </c>
      <c r="G131" s="2" t="s">
        <v>23</v>
      </c>
      <c r="H131" s="2">
        <v>0</v>
      </c>
      <c r="I131" s="1">
        <v>0</v>
      </c>
      <c r="J131" s="3" t="s">
        <v>207</v>
      </c>
      <c r="K131" s="2" t="str">
        <f>J131*333.06</f>
        <v>0</v>
      </c>
      <c r="L131" s="5"/>
    </row>
    <row r="132" spans="1:12" customHeight="1" ht="105" outlineLevel="5">
      <c r="A132" s="1"/>
      <c r="B132" s="1">
        <v>954186</v>
      </c>
      <c r="C132" s="1" t="s">
        <v>473</v>
      </c>
      <c r="D132" s="1" t="s">
        <v>474</v>
      </c>
      <c r="E132" s="2" t="s">
        <v>475</v>
      </c>
      <c r="F132" s="2" t="s">
        <v>476</v>
      </c>
      <c r="G132" s="2" t="s">
        <v>33</v>
      </c>
      <c r="H132" s="2">
        <v>0</v>
      </c>
      <c r="I132" s="1">
        <v>0</v>
      </c>
      <c r="J132" s="3" t="s">
        <v>207</v>
      </c>
      <c r="K132" s="2" t="str">
        <f>J132*514.73</f>
        <v>0</v>
      </c>
      <c r="L132" s="5"/>
    </row>
    <row r="133" spans="1:12" customHeight="1" ht="105" outlineLevel="5">
      <c r="A133" s="1"/>
      <c r="B133" s="1">
        <v>954187</v>
      </c>
      <c r="C133" s="1" t="s">
        <v>477</v>
      </c>
      <c r="D133" s="1" t="s">
        <v>478</v>
      </c>
      <c r="E133" s="2" t="s">
        <v>479</v>
      </c>
      <c r="F133" s="2" t="s">
        <v>480</v>
      </c>
      <c r="G133" s="2" t="s">
        <v>28</v>
      </c>
      <c r="H133" s="2">
        <v>0</v>
      </c>
      <c r="I133" s="1">
        <v>0</v>
      </c>
      <c r="J133" s="3" t="s">
        <v>207</v>
      </c>
      <c r="K133" s="2" t="str">
        <f>J133*865.46</f>
        <v>0</v>
      </c>
      <c r="L133" s="5"/>
    </row>
    <row r="134" spans="1:12" customHeight="1" ht="105" outlineLevel="5">
      <c r="A134" s="1"/>
      <c r="B134" s="1">
        <v>954188</v>
      </c>
      <c r="C134" s="1" t="s">
        <v>481</v>
      </c>
      <c r="D134" s="1" t="s">
        <v>482</v>
      </c>
      <c r="E134" s="2" t="s">
        <v>483</v>
      </c>
      <c r="F134" s="2" t="s">
        <v>484</v>
      </c>
      <c r="G134" s="2" t="s">
        <v>28</v>
      </c>
      <c r="H134" s="2">
        <v>0</v>
      </c>
      <c r="I134" s="1">
        <v>0</v>
      </c>
      <c r="J134" s="3" t="s">
        <v>207</v>
      </c>
      <c r="K134" s="2" t="str">
        <f>J134*291.43</f>
        <v>0</v>
      </c>
      <c r="L134" s="5"/>
    </row>
    <row r="135" spans="1:12" customHeight="1" ht="105" outlineLevel="5">
      <c r="A135" s="1"/>
      <c r="B135" s="1">
        <v>954189</v>
      </c>
      <c r="C135" s="1" t="s">
        <v>485</v>
      </c>
      <c r="D135" s="1" t="s">
        <v>486</v>
      </c>
      <c r="E135" s="2" t="s">
        <v>487</v>
      </c>
      <c r="F135" s="2" t="s">
        <v>488</v>
      </c>
      <c r="G135" s="2" t="s">
        <v>33</v>
      </c>
      <c r="H135" s="2">
        <v>0</v>
      </c>
      <c r="I135" s="1">
        <v>0</v>
      </c>
      <c r="J135" s="3" t="s">
        <v>207</v>
      </c>
      <c r="K135" s="2" t="str">
        <f>J135*437.78</f>
        <v>0</v>
      </c>
      <c r="L135" s="5"/>
    </row>
    <row r="136" spans="1:12" customHeight="1" ht="105" outlineLevel="5">
      <c r="A136" s="1"/>
      <c r="B136" s="1">
        <v>954190</v>
      </c>
      <c r="C136" s="1" t="s">
        <v>489</v>
      </c>
      <c r="D136" s="1" t="s">
        <v>490</v>
      </c>
      <c r="E136" s="2" t="s">
        <v>491</v>
      </c>
      <c r="F136" s="2" t="s">
        <v>492</v>
      </c>
      <c r="G136" s="2" t="s">
        <v>33</v>
      </c>
      <c r="H136" s="2">
        <v>0</v>
      </c>
      <c r="I136" s="1">
        <v>0</v>
      </c>
      <c r="J136" s="3" t="s">
        <v>207</v>
      </c>
      <c r="K136" s="2" t="str">
        <f>J136*823.82</f>
        <v>0</v>
      </c>
      <c r="L136" s="5"/>
    </row>
    <row r="137" spans="1:12" customHeight="1" ht="105" outlineLevel="5">
      <c r="A137" s="1"/>
      <c r="B137" s="1">
        <v>954191</v>
      </c>
      <c r="C137" s="1" t="s">
        <v>493</v>
      </c>
      <c r="D137" s="1" t="s">
        <v>494</v>
      </c>
      <c r="E137" s="2" t="s">
        <v>495</v>
      </c>
      <c r="F137" s="2" t="s">
        <v>496</v>
      </c>
      <c r="G137" s="2" t="s">
        <v>33</v>
      </c>
      <c r="H137" s="2">
        <v>0</v>
      </c>
      <c r="I137" s="1">
        <v>0</v>
      </c>
      <c r="J137" s="3" t="s">
        <v>207</v>
      </c>
      <c r="K137" s="2" t="str">
        <f>J137*509.69</f>
        <v>0</v>
      </c>
      <c r="L137" s="5"/>
    </row>
    <row r="138" spans="1:12" customHeight="1" ht="105" outlineLevel="5">
      <c r="A138" s="1"/>
      <c r="B138" s="1">
        <v>954192</v>
      </c>
      <c r="C138" s="1" t="s">
        <v>497</v>
      </c>
      <c r="D138" s="1" t="s">
        <v>498</v>
      </c>
      <c r="E138" s="2" t="s">
        <v>499</v>
      </c>
      <c r="F138" s="2" t="s">
        <v>500</v>
      </c>
      <c r="G138" s="2" t="s">
        <v>33</v>
      </c>
      <c r="H138" s="2">
        <v>0</v>
      </c>
      <c r="I138" s="1">
        <v>0</v>
      </c>
      <c r="J138" s="3" t="s">
        <v>207</v>
      </c>
      <c r="K138" s="2" t="str">
        <f>J138*866.72</f>
        <v>0</v>
      </c>
      <c r="L138" s="5"/>
    </row>
    <row r="139" spans="1:12" customHeight="1" ht="105" outlineLevel="5">
      <c r="A139" s="1"/>
      <c r="B139" s="1">
        <v>954193</v>
      </c>
      <c r="C139" s="1" t="s">
        <v>501</v>
      </c>
      <c r="D139" s="1" t="s">
        <v>502</v>
      </c>
      <c r="E139" s="2" t="s">
        <v>503</v>
      </c>
      <c r="F139" s="2" t="s">
        <v>504</v>
      </c>
      <c r="G139" s="2" t="s">
        <v>28</v>
      </c>
      <c r="H139" s="2">
        <v>0</v>
      </c>
      <c r="I139" s="1">
        <v>0</v>
      </c>
      <c r="J139" s="3" t="s">
        <v>207</v>
      </c>
      <c r="K139" s="2" t="str">
        <f>J139*1423.08</f>
        <v>0</v>
      </c>
      <c r="L139" s="5"/>
    </row>
    <row r="140" spans="1:12" customHeight="1" ht="105" outlineLevel="5">
      <c r="A140" s="1"/>
      <c r="B140" s="1">
        <v>954194</v>
      </c>
      <c r="C140" s="1" t="s">
        <v>505</v>
      </c>
      <c r="D140" s="1" t="s">
        <v>506</v>
      </c>
      <c r="E140" s="2" t="s">
        <v>507</v>
      </c>
      <c r="F140" s="2" t="s">
        <v>508</v>
      </c>
      <c r="G140" s="2">
        <v>10</v>
      </c>
      <c r="H140" s="2">
        <v>0</v>
      </c>
      <c r="I140" s="1">
        <v>0</v>
      </c>
      <c r="J140" s="3" t="s">
        <v>207</v>
      </c>
      <c r="K140" s="2" t="str">
        <f>J140*2119.49</f>
        <v>0</v>
      </c>
      <c r="L140" s="5"/>
    </row>
    <row r="141" spans="1:12" customHeight="1" ht="105" outlineLevel="5">
      <c r="A141" s="1"/>
      <c r="B141" s="1">
        <v>954195</v>
      </c>
      <c r="C141" s="1" t="s">
        <v>509</v>
      </c>
      <c r="D141" s="1" t="s">
        <v>510</v>
      </c>
      <c r="E141" s="2" t="s">
        <v>511</v>
      </c>
      <c r="F141" s="2" t="s">
        <v>512</v>
      </c>
      <c r="G141" s="2" t="s">
        <v>28</v>
      </c>
      <c r="H141" s="2">
        <v>0</v>
      </c>
      <c r="I141" s="1">
        <v>0</v>
      </c>
      <c r="J141" s="3" t="s">
        <v>207</v>
      </c>
      <c r="K141" s="2" t="str">
        <f>J141*456.70</f>
        <v>0</v>
      </c>
      <c r="L141" s="5"/>
    </row>
    <row r="142" spans="1:12" customHeight="1" ht="105" outlineLevel="5">
      <c r="A142" s="1"/>
      <c r="B142" s="1">
        <v>954196</v>
      </c>
      <c r="C142" s="1" t="s">
        <v>513</v>
      </c>
      <c r="D142" s="1" t="s">
        <v>514</v>
      </c>
      <c r="E142" s="2" t="s">
        <v>515</v>
      </c>
      <c r="F142" s="2" t="s">
        <v>516</v>
      </c>
      <c r="G142" s="2" t="s">
        <v>28</v>
      </c>
      <c r="H142" s="2">
        <v>0</v>
      </c>
      <c r="I142" s="1">
        <v>0</v>
      </c>
      <c r="J142" s="3" t="s">
        <v>207</v>
      </c>
      <c r="K142" s="2" t="str">
        <f>J142*688.83</f>
        <v>0</v>
      </c>
      <c r="L142" s="5"/>
    </row>
    <row r="143" spans="1:12" customHeight="1" ht="105" outlineLevel="5">
      <c r="A143" s="1"/>
      <c r="B143" s="1">
        <v>954197</v>
      </c>
      <c r="C143" s="1" t="s">
        <v>517</v>
      </c>
      <c r="D143" s="1" t="s">
        <v>518</v>
      </c>
      <c r="E143" s="2" t="s">
        <v>519</v>
      </c>
      <c r="F143" s="2" t="s">
        <v>520</v>
      </c>
      <c r="G143" s="2" t="s">
        <v>28</v>
      </c>
      <c r="H143" s="2">
        <v>0</v>
      </c>
      <c r="I143" s="1">
        <v>0</v>
      </c>
      <c r="J143" s="3" t="s">
        <v>207</v>
      </c>
      <c r="K143" s="2" t="str">
        <f>J143*1217.44</f>
        <v>0</v>
      </c>
      <c r="L143" s="5"/>
    </row>
    <row r="144" spans="1:12" customHeight="1" ht="105" outlineLevel="5">
      <c r="A144" s="1"/>
      <c r="B144" s="1">
        <v>954198</v>
      </c>
      <c r="C144" s="1" t="s">
        <v>521</v>
      </c>
      <c r="D144" s="1" t="s">
        <v>522</v>
      </c>
      <c r="E144" s="2" t="s">
        <v>523</v>
      </c>
      <c r="F144" s="2" t="s">
        <v>524</v>
      </c>
      <c r="G144" s="2" t="s">
        <v>28</v>
      </c>
      <c r="H144" s="2">
        <v>0</v>
      </c>
      <c r="I144" s="1">
        <v>0</v>
      </c>
      <c r="J144" s="3" t="s">
        <v>207</v>
      </c>
      <c r="K144" s="2" t="str">
        <f>J144*383.53</f>
        <v>0</v>
      </c>
      <c r="L144" s="5"/>
    </row>
    <row r="145" spans="1:12" customHeight="1" ht="105" outlineLevel="5">
      <c r="A145" s="1"/>
      <c r="B145" s="1">
        <v>954199</v>
      </c>
      <c r="C145" s="1" t="s">
        <v>525</v>
      </c>
      <c r="D145" s="1" t="s">
        <v>526</v>
      </c>
      <c r="E145" s="2" t="s">
        <v>527</v>
      </c>
      <c r="F145" s="2" t="s">
        <v>528</v>
      </c>
      <c r="G145" s="2" t="s">
        <v>28</v>
      </c>
      <c r="H145" s="2">
        <v>0</v>
      </c>
      <c r="I145" s="1">
        <v>0</v>
      </c>
      <c r="J145" s="3" t="s">
        <v>207</v>
      </c>
      <c r="K145" s="2" t="str">
        <f>J145*604.31</f>
        <v>0</v>
      </c>
      <c r="L145" s="5"/>
    </row>
    <row r="146" spans="1:12" outlineLevel="3">
      <c r="A146" s="9" t="s">
        <v>529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954342</v>
      </c>
      <c r="C147" s="1" t="s">
        <v>530</v>
      </c>
      <c r="D147" s="1"/>
      <c r="E147" s="2" t="s">
        <v>531</v>
      </c>
      <c r="F147" s="2" t="s">
        <v>532</v>
      </c>
      <c r="G147" s="2">
        <v>0</v>
      </c>
      <c r="H147" s="2">
        <v>0</v>
      </c>
      <c r="I147" s="1">
        <v>0</v>
      </c>
      <c r="J147" s="3" t="s">
        <v>207</v>
      </c>
      <c r="K147" s="2" t="str">
        <f>J147*366.30</f>
        <v>0</v>
      </c>
      <c r="L147" s="5"/>
    </row>
    <row r="148" spans="1:12" customHeight="1" ht="105" outlineLevel="5">
      <c r="A148" s="1"/>
      <c r="B148" s="1">
        <v>954349</v>
      </c>
      <c r="C148" s="1" t="s">
        <v>533</v>
      </c>
      <c r="D148" s="1"/>
      <c r="E148" s="2" t="s">
        <v>534</v>
      </c>
      <c r="F148" s="2" t="s">
        <v>535</v>
      </c>
      <c r="G148" s="2" t="s">
        <v>28</v>
      </c>
      <c r="H148" s="2">
        <v>0</v>
      </c>
      <c r="I148" s="1">
        <v>0</v>
      </c>
      <c r="J148" s="3" t="s">
        <v>207</v>
      </c>
      <c r="K148" s="2" t="str">
        <f>J148*360.75</f>
        <v>0</v>
      </c>
      <c r="L148" s="5"/>
    </row>
    <row r="149" spans="1:12" outlineLevel="2">
      <c r="A149" s="8" t="s">
        <v>536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outlineLevel="3">
      <c r="A150" s="9" t="s">
        <v>537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5"/>
    </row>
    <row r="151" spans="1:12" customHeight="1" ht="105" outlineLevel="5">
      <c r="A151" s="1"/>
      <c r="B151" s="1">
        <v>819917</v>
      </c>
      <c r="C151" s="1" t="s">
        <v>538</v>
      </c>
      <c r="D151" s="1" t="s">
        <v>539</v>
      </c>
      <c r="E151" s="2" t="s">
        <v>540</v>
      </c>
      <c r="F151" s="2" t="s">
        <v>541</v>
      </c>
      <c r="G151" s="2">
        <v>0</v>
      </c>
      <c r="H151" s="2" t="s">
        <v>23</v>
      </c>
      <c r="I151" s="1">
        <v>0</v>
      </c>
      <c r="J151" s="3" t="s">
        <v>207</v>
      </c>
      <c r="K151" s="2" t="str">
        <f>J151*386.00</f>
        <v>0</v>
      </c>
      <c r="L151" s="5"/>
    </row>
    <row r="152" spans="1:12" customHeight="1" ht="105" outlineLevel="5">
      <c r="A152" s="1"/>
      <c r="B152" s="1">
        <v>819918</v>
      </c>
      <c r="C152" s="1" t="s">
        <v>542</v>
      </c>
      <c r="D152" s="1" t="s">
        <v>543</v>
      </c>
      <c r="E152" s="2" t="s">
        <v>544</v>
      </c>
      <c r="F152" s="2" t="s">
        <v>545</v>
      </c>
      <c r="G152" s="2">
        <v>0</v>
      </c>
      <c r="H152" s="2" t="s">
        <v>43</v>
      </c>
      <c r="I152" s="1">
        <v>0</v>
      </c>
      <c r="J152" s="3" t="s">
        <v>207</v>
      </c>
      <c r="K152" s="2" t="str">
        <f>J152*335.00</f>
        <v>0</v>
      </c>
      <c r="L152" s="5"/>
    </row>
    <row r="153" spans="1:12" customHeight="1" ht="105" outlineLevel="5">
      <c r="A153" s="1"/>
      <c r="B153" s="1">
        <v>819919</v>
      </c>
      <c r="C153" s="1" t="s">
        <v>546</v>
      </c>
      <c r="D153" s="1" t="s">
        <v>547</v>
      </c>
      <c r="E153" s="2" t="s">
        <v>548</v>
      </c>
      <c r="F153" s="2" t="s">
        <v>549</v>
      </c>
      <c r="G153" s="2">
        <v>0</v>
      </c>
      <c r="H153" s="2">
        <v>0</v>
      </c>
      <c r="I153" s="1">
        <v>0</v>
      </c>
      <c r="J153" s="3" t="s">
        <v>207</v>
      </c>
      <c r="K153" s="2" t="str">
        <f>J153*180.00</f>
        <v>0</v>
      </c>
      <c r="L153" s="5"/>
    </row>
    <row r="154" spans="1:12" customHeight="1" ht="105" outlineLevel="5">
      <c r="A154" s="1"/>
      <c r="B154" s="1">
        <v>819920</v>
      </c>
      <c r="C154" s="1" t="s">
        <v>550</v>
      </c>
      <c r="D154" s="1" t="s">
        <v>551</v>
      </c>
      <c r="E154" s="2" t="s">
        <v>552</v>
      </c>
      <c r="F154" s="2" t="s">
        <v>553</v>
      </c>
      <c r="G154" s="2" t="s">
        <v>33</v>
      </c>
      <c r="H154" s="2" t="s">
        <v>34</v>
      </c>
      <c r="I154" s="1">
        <v>0</v>
      </c>
      <c r="J154" s="3" t="s">
        <v>207</v>
      </c>
      <c r="K154" s="2" t="str">
        <f>J154*329.00</f>
        <v>0</v>
      </c>
      <c r="L154" s="5"/>
    </row>
    <row r="155" spans="1:12" customHeight="1" ht="105" outlineLevel="5">
      <c r="A155" s="1"/>
      <c r="B155" s="1">
        <v>819921</v>
      </c>
      <c r="C155" s="1" t="s">
        <v>554</v>
      </c>
      <c r="D155" s="1" t="s">
        <v>555</v>
      </c>
      <c r="E155" s="2" t="s">
        <v>556</v>
      </c>
      <c r="F155" s="2" t="s">
        <v>557</v>
      </c>
      <c r="G155" s="2" t="s">
        <v>33</v>
      </c>
      <c r="H155" s="2" t="s">
        <v>43</v>
      </c>
      <c r="I155" s="1">
        <v>0</v>
      </c>
      <c r="J155" s="3" t="s">
        <v>207</v>
      </c>
      <c r="K155" s="2" t="str">
        <f>J155*385.00</f>
        <v>0</v>
      </c>
      <c r="L155" s="5"/>
    </row>
    <row r="156" spans="1:12" customHeight="1" ht="105" outlineLevel="5">
      <c r="A156" s="1"/>
      <c r="B156" s="1">
        <v>819922</v>
      </c>
      <c r="C156" s="1" t="s">
        <v>558</v>
      </c>
      <c r="D156" s="1" t="s">
        <v>559</v>
      </c>
      <c r="E156" s="2" t="s">
        <v>560</v>
      </c>
      <c r="F156" s="2" t="s">
        <v>561</v>
      </c>
      <c r="G156" s="2" t="s">
        <v>28</v>
      </c>
      <c r="H156" s="2" t="s">
        <v>23</v>
      </c>
      <c r="I156" s="1">
        <v>0</v>
      </c>
      <c r="J156" s="3" t="s">
        <v>207</v>
      </c>
      <c r="K156" s="2" t="str">
        <f>J156*449.00</f>
        <v>0</v>
      </c>
      <c r="L156" s="5"/>
    </row>
    <row r="157" spans="1:12" customHeight="1" ht="105" outlineLevel="5">
      <c r="A157" s="1"/>
      <c r="B157" s="1">
        <v>819923</v>
      </c>
      <c r="C157" s="1" t="s">
        <v>562</v>
      </c>
      <c r="D157" s="1" t="s">
        <v>563</v>
      </c>
      <c r="E157" s="2" t="s">
        <v>564</v>
      </c>
      <c r="F157" s="2" t="s">
        <v>128</v>
      </c>
      <c r="G157" s="2" t="s">
        <v>28</v>
      </c>
      <c r="H157" s="2" t="s">
        <v>43</v>
      </c>
      <c r="I157" s="1">
        <v>0</v>
      </c>
      <c r="J157" s="3" t="s">
        <v>207</v>
      </c>
      <c r="K157" s="2" t="str">
        <f>J157*390.00</f>
        <v>0</v>
      </c>
      <c r="L157" s="5"/>
    </row>
    <row r="158" spans="1:12" customHeight="1" ht="105" outlineLevel="5">
      <c r="A158" s="1"/>
      <c r="B158" s="1">
        <v>819924</v>
      </c>
      <c r="C158" s="1" t="s">
        <v>565</v>
      </c>
      <c r="D158" s="1" t="s">
        <v>566</v>
      </c>
      <c r="E158" s="2" t="s">
        <v>567</v>
      </c>
      <c r="F158" s="2" t="s">
        <v>561</v>
      </c>
      <c r="G158" s="2" t="s">
        <v>90</v>
      </c>
      <c r="H158" s="2" t="s">
        <v>43</v>
      </c>
      <c r="I158" s="1">
        <v>0</v>
      </c>
      <c r="J158" s="3" t="s">
        <v>207</v>
      </c>
      <c r="K158" s="2" t="str">
        <f>J158*449.00</f>
        <v>0</v>
      </c>
      <c r="L158" s="5"/>
    </row>
    <row r="159" spans="1:12" customHeight="1" ht="105" outlineLevel="5">
      <c r="A159" s="1"/>
      <c r="B159" s="1">
        <v>819925</v>
      </c>
      <c r="C159" s="1" t="s">
        <v>568</v>
      </c>
      <c r="D159" s="1" t="s">
        <v>569</v>
      </c>
      <c r="E159" s="2" t="s">
        <v>570</v>
      </c>
      <c r="F159" s="2" t="s">
        <v>571</v>
      </c>
      <c r="G159" s="2" t="s">
        <v>28</v>
      </c>
      <c r="H159" s="2" t="s">
        <v>34</v>
      </c>
      <c r="I159" s="1">
        <v>0</v>
      </c>
      <c r="J159" s="3" t="s">
        <v>207</v>
      </c>
      <c r="K159" s="2" t="str">
        <f>J159*580.00</f>
        <v>0</v>
      </c>
      <c r="L159" s="5"/>
    </row>
    <row r="160" spans="1:12" customHeight="1" ht="105" outlineLevel="5">
      <c r="A160" s="1"/>
      <c r="B160" s="1">
        <v>819926</v>
      </c>
      <c r="C160" s="1" t="s">
        <v>572</v>
      </c>
      <c r="D160" s="1" t="s">
        <v>573</v>
      </c>
      <c r="E160" s="2" t="s">
        <v>574</v>
      </c>
      <c r="F160" s="2" t="s">
        <v>575</v>
      </c>
      <c r="G160" s="2" t="s">
        <v>90</v>
      </c>
      <c r="H160" s="2" t="s">
        <v>43</v>
      </c>
      <c r="I160" s="1">
        <v>0</v>
      </c>
      <c r="J160" s="3" t="s">
        <v>207</v>
      </c>
      <c r="K160" s="2" t="str">
        <f>J160*768.00</f>
        <v>0</v>
      </c>
      <c r="L160" s="5"/>
    </row>
    <row r="161" spans="1:12" customHeight="1" ht="105" outlineLevel="5">
      <c r="A161" s="1"/>
      <c r="B161" s="1">
        <v>819927</v>
      </c>
      <c r="C161" s="1" t="s">
        <v>576</v>
      </c>
      <c r="D161" s="1" t="s">
        <v>577</v>
      </c>
      <c r="E161" s="2" t="s">
        <v>578</v>
      </c>
      <c r="F161" s="2" t="s">
        <v>579</v>
      </c>
      <c r="G161" s="2">
        <v>0</v>
      </c>
      <c r="H161" s="2" t="s">
        <v>23</v>
      </c>
      <c r="I161" s="1">
        <v>0</v>
      </c>
      <c r="J161" s="3" t="s">
        <v>207</v>
      </c>
      <c r="K161" s="2" t="str">
        <f>J161*854.00</f>
        <v>0</v>
      </c>
      <c r="L161" s="5"/>
    </row>
    <row r="162" spans="1:12" customHeight="1" ht="105" outlineLevel="5">
      <c r="A162" s="1"/>
      <c r="B162" s="1">
        <v>819928</v>
      </c>
      <c r="C162" s="1" t="s">
        <v>580</v>
      </c>
      <c r="D162" s="1" t="s">
        <v>581</v>
      </c>
      <c r="E162" s="2" t="s">
        <v>582</v>
      </c>
      <c r="F162" s="2" t="s">
        <v>583</v>
      </c>
      <c r="G162" s="2">
        <v>1</v>
      </c>
      <c r="H162" s="2" t="s">
        <v>23</v>
      </c>
      <c r="I162" s="1">
        <v>0</v>
      </c>
      <c r="J162" s="3" t="s">
        <v>207</v>
      </c>
      <c r="K162" s="2" t="str">
        <f>J162*971.00</f>
        <v>0</v>
      </c>
      <c r="L162" s="5"/>
    </row>
    <row r="163" spans="1:12" customHeight="1" ht="105" outlineLevel="5">
      <c r="A163" s="1"/>
      <c r="B163" s="1">
        <v>819929</v>
      </c>
      <c r="C163" s="1" t="s">
        <v>584</v>
      </c>
      <c r="D163" s="1" t="s">
        <v>585</v>
      </c>
      <c r="E163" s="2" t="s">
        <v>586</v>
      </c>
      <c r="F163" s="2" t="s">
        <v>587</v>
      </c>
      <c r="G163" s="2">
        <v>0</v>
      </c>
      <c r="H163" s="2" t="s">
        <v>23</v>
      </c>
      <c r="I163" s="1">
        <v>0</v>
      </c>
      <c r="J163" s="3" t="s">
        <v>207</v>
      </c>
      <c r="K163" s="2" t="str">
        <f>J163*1346.00</f>
        <v>0</v>
      </c>
      <c r="L163" s="5"/>
    </row>
    <row r="164" spans="1:12" customHeight="1" ht="105" outlineLevel="5">
      <c r="A164" s="1"/>
      <c r="B164" s="1">
        <v>819930</v>
      </c>
      <c r="C164" s="1" t="s">
        <v>588</v>
      </c>
      <c r="D164" s="1" t="s">
        <v>589</v>
      </c>
      <c r="E164" s="2" t="s">
        <v>590</v>
      </c>
      <c r="F164" s="2" t="s">
        <v>591</v>
      </c>
      <c r="G164" s="2">
        <v>0</v>
      </c>
      <c r="H164" s="2" t="s">
        <v>90</v>
      </c>
      <c r="I164" s="1">
        <v>0</v>
      </c>
      <c r="J164" s="3" t="s">
        <v>207</v>
      </c>
      <c r="K164" s="2" t="str">
        <f>J164*1756.00</f>
        <v>0</v>
      </c>
      <c r="L164" s="5"/>
    </row>
    <row r="165" spans="1:12" customHeight="1" ht="105" outlineLevel="5">
      <c r="A165" s="1"/>
      <c r="B165" s="1">
        <v>819931</v>
      </c>
      <c r="C165" s="1" t="s">
        <v>592</v>
      </c>
      <c r="D165" s="1" t="s">
        <v>593</v>
      </c>
      <c r="E165" s="2" t="s">
        <v>594</v>
      </c>
      <c r="F165" s="2" t="s">
        <v>595</v>
      </c>
      <c r="G165" s="2">
        <v>0</v>
      </c>
      <c r="H165" s="2">
        <v>0</v>
      </c>
      <c r="I165" s="1">
        <v>0</v>
      </c>
      <c r="J165" s="3" t="s">
        <v>207</v>
      </c>
      <c r="K165" s="2" t="str">
        <f>J165*159.00</f>
        <v>0</v>
      </c>
      <c r="L165" s="5"/>
    </row>
    <row r="166" spans="1:12" customHeight="1" ht="105" outlineLevel="5">
      <c r="A166" s="1"/>
      <c r="B166" s="1">
        <v>819932</v>
      </c>
      <c r="C166" s="1" t="s">
        <v>596</v>
      </c>
      <c r="D166" s="1" t="s">
        <v>597</v>
      </c>
      <c r="E166" s="2" t="s">
        <v>598</v>
      </c>
      <c r="F166" s="2" t="s">
        <v>599</v>
      </c>
      <c r="G166" s="2" t="s">
        <v>33</v>
      </c>
      <c r="H166" s="2" t="s">
        <v>23</v>
      </c>
      <c r="I166" s="1">
        <v>0</v>
      </c>
      <c r="J166" s="3" t="s">
        <v>207</v>
      </c>
      <c r="K166" s="2" t="str">
        <f>J166*258.00</f>
        <v>0</v>
      </c>
      <c r="L166" s="5"/>
    </row>
    <row r="167" spans="1:12" customHeight="1" ht="105" outlineLevel="5">
      <c r="A167" s="1"/>
      <c r="B167" s="1">
        <v>819933</v>
      </c>
      <c r="C167" s="1" t="s">
        <v>600</v>
      </c>
      <c r="D167" s="1" t="s">
        <v>601</v>
      </c>
      <c r="E167" s="2" t="s">
        <v>602</v>
      </c>
      <c r="F167" s="2" t="s">
        <v>603</v>
      </c>
      <c r="G167" s="2" t="s">
        <v>28</v>
      </c>
      <c r="H167" s="2" t="s">
        <v>23</v>
      </c>
      <c r="I167" s="1">
        <v>0</v>
      </c>
      <c r="J167" s="3" t="s">
        <v>207</v>
      </c>
      <c r="K167" s="2" t="str">
        <f>J167*308.00</f>
        <v>0</v>
      </c>
      <c r="L167" s="5"/>
    </row>
    <row r="168" spans="1:12" customHeight="1" ht="105" outlineLevel="5">
      <c r="A168" s="1"/>
      <c r="B168" s="1">
        <v>819934</v>
      </c>
      <c r="C168" s="1" t="s">
        <v>604</v>
      </c>
      <c r="D168" s="1" t="s">
        <v>605</v>
      </c>
      <c r="E168" s="2" t="s">
        <v>606</v>
      </c>
      <c r="F168" s="2" t="s">
        <v>607</v>
      </c>
      <c r="G168" s="2" t="s">
        <v>28</v>
      </c>
      <c r="H168" s="2" t="s">
        <v>23</v>
      </c>
      <c r="I168" s="1">
        <v>0</v>
      </c>
      <c r="J168" s="3" t="s">
        <v>207</v>
      </c>
      <c r="K168" s="2" t="str">
        <f>J168*457.00</f>
        <v>0</v>
      </c>
      <c r="L168" s="5"/>
    </row>
    <row r="169" spans="1:12" customHeight="1" ht="105" outlineLevel="5">
      <c r="A169" s="1"/>
      <c r="B169" s="1">
        <v>819935</v>
      </c>
      <c r="C169" s="1" t="s">
        <v>608</v>
      </c>
      <c r="D169" s="1" t="s">
        <v>609</v>
      </c>
      <c r="E169" s="2" t="s">
        <v>610</v>
      </c>
      <c r="F169" s="2" t="s">
        <v>17</v>
      </c>
      <c r="G169" s="2" t="s">
        <v>28</v>
      </c>
      <c r="H169" s="2" t="s">
        <v>23</v>
      </c>
      <c r="I169" s="1">
        <v>0</v>
      </c>
      <c r="J169" s="3" t="s">
        <v>207</v>
      </c>
      <c r="K169" s="2" t="str">
        <f>J169*305.00</f>
        <v>0</v>
      </c>
      <c r="L169" s="5"/>
    </row>
    <row r="170" spans="1:12" customHeight="1" ht="105" outlineLevel="5">
      <c r="A170" s="1"/>
      <c r="B170" s="1">
        <v>819936</v>
      </c>
      <c r="C170" s="1" t="s">
        <v>611</v>
      </c>
      <c r="D170" s="1" t="s">
        <v>612</v>
      </c>
      <c r="E170" s="2" t="s">
        <v>613</v>
      </c>
      <c r="F170" s="2" t="s">
        <v>614</v>
      </c>
      <c r="G170" s="2" t="s">
        <v>28</v>
      </c>
      <c r="H170" s="2" t="s">
        <v>34</v>
      </c>
      <c r="I170" s="1">
        <v>0</v>
      </c>
      <c r="J170" s="3" t="s">
        <v>207</v>
      </c>
      <c r="K170" s="2" t="str">
        <f>J170*462.00</f>
        <v>0</v>
      </c>
      <c r="L170" s="5"/>
    </row>
    <row r="171" spans="1:12" customHeight="1" ht="105" outlineLevel="5">
      <c r="A171" s="1"/>
      <c r="B171" s="1">
        <v>819937</v>
      </c>
      <c r="C171" s="1" t="s">
        <v>615</v>
      </c>
      <c r="D171" s="1" t="s">
        <v>616</v>
      </c>
      <c r="E171" s="2" t="s">
        <v>617</v>
      </c>
      <c r="F171" s="2" t="s">
        <v>618</v>
      </c>
      <c r="G171" s="2" t="s">
        <v>28</v>
      </c>
      <c r="H171" s="2" t="s">
        <v>23</v>
      </c>
      <c r="I171" s="1">
        <v>0</v>
      </c>
      <c r="J171" s="3" t="s">
        <v>207</v>
      </c>
      <c r="K171" s="2" t="str">
        <f>J171*497.00</f>
        <v>0</v>
      </c>
      <c r="L171" s="5"/>
    </row>
    <row r="172" spans="1:12" customHeight="1" ht="105" outlineLevel="5">
      <c r="A172" s="1"/>
      <c r="B172" s="1">
        <v>819938</v>
      </c>
      <c r="C172" s="1" t="s">
        <v>619</v>
      </c>
      <c r="D172" s="1" t="s">
        <v>620</v>
      </c>
      <c r="E172" s="2" t="s">
        <v>621</v>
      </c>
      <c r="F172" s="2" t="s">
        <v>622</v>
      </c>
      <c r="G172" s="2" t="s">
        <v>33</v>
      </c>
      <c r="H172" s="2" t="s">
        <v>34</v>
      </c>
      <c r="I172" s="1">
        <v>0</v>
      </c>
      <c r="J172" s="3" t="s">
        <v>207</v>
      </c>
      <c r="K172" s="2" t="str">
        <f>J172*716.00</f>
        <v>0</v>
      </c>
      <c r="L172" s="5"/>
    </row>
    <row r="173" spans="1:12" customHeight="1" ht="105" outlineLevel="5">
      <c r="A173" s="1"/>
      <c r="B173" s="1">
        <v>819939</v>
      </c>
      <c r="C173" s="1" t="s">
        <v>623</v>
      </c>
      <c r="D173" s="1" t="s">
        <v>624</v>
      </c>
      <c r="E173" s="2" t="s">
        <v>625</v>
      </c>
      <c r="F173" s="2" t="s">
        <v>626</v>
      </c>
      <c r="G173" s="2">
        <v>1</v>
      </c>
      <c r="H173" s="2" t="s">
        <v>23</v>
      </c>
      <c r="I173" s="1">
        <v>0</v>
      </c>
      <c r="J173" s="3" t="s">
        <v>207</v>
      </c>
      <c r="K173" s="2" t="str">
        <f>J173*794.00</f>
        <v>0</v>
      </c>
      <c r="L173" s="5"/>
    </row>
    <row r="174" spans="1:12" customHeight="1" ht="105" outlineLevel="5">
      <c r="A174" s="1"/>
      <c r="B174" s="1">
        <v>819940</v>
      </c>
      <c r="C174" s="1" t="s">
        <v>627</v>
      </c>
      <c r="D174" s="1" t="s">
        <v>628</v>
      </c>
      <c r="E174" s="2" t="s">
        <v>629</v>
      </c>
      <c r="F174" s="2" t="s">
        <v>630</v>
      </c>
      <c r="G174" s="2">
        <v>0</v>
      </c>
      <c r="H174" s="2" t="s">
        <v>23</v>
      </c>
      <c r="I174" s="1">
        <v>0</v>
      </c>
      <c r="J174" s="3" t="s">
        <v>207</v>
      </c>
      <c r="K174" s="2" t="str">
        <f>J174*929.00</f>
        <v>0</v>
      </c>
      <c r="L174" s="5"/>
    </row>
    <row r="175" spans="1:12" customHeight="1" ht="105" outlineLevel="5">
      <c r="A175" s="1"/>
      <c r="B175" s="1">
        <v>819941</v>
      </c>
      <c r="C175" s="1" t="s">
        <v>631</v>
      </c>
      <c r="D175" s="1" t="s">
        <v>632</v>
      </c>
      <c r="E175" s="2" t="s">
        <v>633</v>
      </c>
      <c r="F175" s="2" t="s">
        <v>634</v>
      </c>
      <c r="G175" s="2">
        <v>7</v>
      </c>
      <c r="H175" s="2" t="s">
        <v>33</v>
      </c>
      <c r="I175" s="1">
        <v>0</v>
      </c>
      <c r="J175" s="3" t="s">
        <v>207</v>
      </c>
      <c r="K175" s="2" t="str">
        <f>J175*1312.00</f>
        <v>0</v>
      </c>
      <c r="L175" s="5"/>
    </row>
    <row r="176" spans="1:12" customHeight="1" ht="105" outlineLevel="5">
      <c r="A176" s="1"/>
      <c r="B176" s="1">
        <v>819942</v>
      </c>
      <c r="C176" s="1" t="s">
        <v>635</v>
      </c>
      <c r="D176" s="1" t="s">
        <v>636</v>
      </c>
      <c r="E176" s="2" t="s">
        <v>637</v>
      </c>
      <c r="F176" s="2" t="s">
        <v>638</v>
      </c>
      <c r="G176" s="2">
        <v>2</v>
      </c>
      <c r="H176" s="2" t="s">
        <v>90</v>
      </c>
      <c r="I176" s="1">
        <v>0</v>
      </c>
      <c r="J176" s="3" t="s">
        <v>207</v>
      </c>
      <c r="K176" s="2" t="str">
        <f>J176*1702.00</f>
        <v>0</v>
      </c>
      <c r="L176" s="5"/>
    </row>
    <row r="177" spans="1:12" customHeight="1" ht="105" outlineLevel="5">
      <c r="A177" s="1"/>
      <c r="B177" s="1">
        <v>819943</v>
      </c>
      <c r="C177" s="1" t="s">
        <v>639</v>
      </c>
      <c r="D177" s="1" t="s">
        <v>640</v>
      </c>
      <c r="E177" s="2" t="s">
        <v>641</v>
      </c>
      <c r="F177" s="2" t="s">
        <v>642</v>
      </c>
      <c r="G177" s="2">
        <v>0</v>
      </c>
      <c r="H177" s="2">
        <v>0</v>
      </c>
      <c r="I177" s="1">
        <v>0</v>
      </c>
      <c r="J177" s="3" t="s">
        <v>207</v>
      </c>
      <c r="K177" s="2" t="str">
        <f>J177*96.00</f>
        <v>0</v>
      </c>
      <c r="L177" s="5"/>
    </row>
    <row r="178" spans="1:12" customHeight="1" ht="105" outlineLevel="5">
      <c r="A178" s="1"/>
      <c r="B178" s="1">
        <v>819944</v>
      </c>
      <c r="C178" s="1" t="s">
        <v>643</v>
      </c>
      <c r="D178" s="1" t="s">
        <v>644</v>
      </c>
      <c r="E178" s="2" t="s">
        <v>645</v>
      </c>
      <c r="F178" s="2" t="s">
        <v>646</v>
      </c>
      <c r="G178" s="2">
        <v>0</v>
      </c>
      <c r="H178" s="2">
        <v>0</v>
      </c>
      <c r="I178" s="1">
        <v>0</v>
      </c>
      <c r="J178" s="3" t="s">
        <v>207</v>
      </c>
      <c r="K178" s="2" t="str">
        <f>J178*172.00</f>
        <v>0</v>
      </c>
      <c r="L178" s="5"/>
    </row>
    <row r="179" spans="1:12" customHeight="1" ht="105" outlineLevel="5">
      <c r="A179" s="1"/>
      <c r="B179" s="1">
        <v>819945</v>
      </c>
      <c r="C179" s="1" t="s">
        <v>647</v>
      </c>
      <c r="D179" s="1" t="s">
        <v>648</v>
      </c>
      <c r="E179" s="2" t="s">
        <v>649</v>
      </c>
      <c r="F179" s="2" t="s">
        <v>650</v>
      </c>
      <c r="G179" s="2" t="s">
        <v>28</v>
      </c>
      <c r="H179" s="2" t="s">
        <v>90</v>
      </c>
      <c r="I179" s="1">
        <v>0</v>
      </c>
      <c r="J179" s="3" t="s">
        <v>207</v>
      </c>
      <c r="K179" s="2" t="str">
        <f>J179*153.00</f>
        <v>0</v>
      </c>
      <c r="L179" s="5"/>
    </row>
    <row r="180" spans="1:12" customHeight="1" ht="105" outlineLevel="5">
      <c r="A180" s="1"/>
      <c r="B180" s="1">
        <v>819946</v>
      </c>
      <c r="C180" s="1" t="s">
        <v>651</v>
      </c>
      <c r="D180" s="1" t="s">
        <v>652</v>
      </c>
      <c r="E180" s="2" t="s">
        <v>653</v>
      </c>
      <c r="F180" s="2" t="s">
        <v>654</v>
      </c>
      <c r="G180" s="2" t="s">
        <v>28</v>
      </c>
      <c r="H180" s="2" t="s">
        <v>23</v>
      </c>
      <c r="I180" s="1">
        <v>0</v>
      </c>
      <c r="J180" s="3" t="s">
        <v>207</v>
      </c>
      <c r="K180" s="2" t="str">
        <f>J180*253.00</f>
        <v>0</v>
      </c>
      <c r="L180" s="5"/>
    </row>
    <row r="181" spans="1:12" customHeight="1" ht="105" outlineLevel="5">
      <c r="A181" s="1"/>
      <c r="B181" s="1">
        <v>819947</v>
      </c>
      <c r="C181" s="1" t="s">
        <v>655</v>
      </c>
      <c r="D181" s="1" t="s">
        <v>656</v>
      </c>
      <c r="E181" s="2" t="s">
        <v>657</v>
      </c>
      <c r="F181" s="2" t="s">
        <v>658</v>
      </c>
      <c r="G181" s="2" t="s">
        <v>33</v>
      </c>
      <c r="H181" s="2" t="s">
        <v>23</v>
      </c>
      <c r="I181" s="1">
        <v>0</v>
      </c>
      <c r="J181" s="3" t="s">
        <v>207</v>
      </c>
      <c r="K181" s="2" t="str">
        <f>J181*220.00</f>
        <v>0</v>
      </c>
      <c r="L181" s="5"/>
    </row>
    <row r="182" spans="1:12" customHeight="1" ht="105" outlineLevel="5">
      <c r="A182" s="1"/>
      <c r="B182" s="1">
        <v>819948</v>
      </c>
      <c r="C182" s="1" t="s">
        <v>659</v>
      </c>
      <c r="D182" s="1" t="s">
        <v>660</v>
      </c>
      <c r="E182" s="2" t="s">
        <v>661</v>
      </c>
      <c r="F182" s="2" t="s">
        <v>662</v>
      </c>
      <c r="G182" s="2" t="s">
        <v>28</v>
      </c>
      <c r="H182" s="2" t="s">
        <v>90</v>
      </c>
      <c r="I182" s="1">
        <v>0</v>
      </c>
      <c r="J182" s="3" t="s">
        <v>207</v>
      </c>
      <c r="K182" s="2" t="str">
        <f>J182*274.00</f>
        <v>0</v>
      </c>
      <c r="L182" s="5"/>
    </row>
    <row r="183" spans="1:12" customHeight="1" ht="105" outlineLevel="5">
      <c r="A183" s="1"/>
      <c r="B183" s="1">
        <v>819949</v>
      </c>
      <c r="C183" s="1" t="s">
        <v>663</v>
      </c>
      <c r="D183" s="1" t="s">
        <v>664</v>
      </c>
      <c r="E183" s="2" t="s">
        <v>665</v>
      </c>
      <c r="F183" s="2" t="s">
        <v>666</v>
      </c>
      <c r="G183" s="2" t="s">
        <v>28</v>
      </c>
      <c r="H183" s="2" t="s">
        <v>23</v>
      </c>
      <c r="I183" s="1">
        <v>0</v>
      </c>
      <c r="J183" s="3" t="s">
        <v>207</v>
      </c>
      <c r="K183" s="2" t="str">
        <f>J183*317.00</f>
        <v>0</v>
      </c>
      <c r="L183" s="5"/>
    </row>
    <row r="184" spans="1:12" customHeight="1" ht="105" outlineLevel="5">
      <c r="A184" s="1"/>
      <c r="B184" s="1">
        <v>819950</v>
      </c>
      <c r="C184" s="1" t="s">
        <v>667</v>
      </c>
      <c r="D184" s="1" t="s">
        <v>668</v>
      </c>
      <c r="E184" s="2" t="s">
        <v>669</v>
      </c>
      <c r="F184" s="2" t="s">
        <v>670</v>
      </c>
      <c r="G184" s="2">
        <v>2</v>
      </c>
      <c r="H184" s="2" t="s">
        <v>34</v>
      </c>
      <c r="I184" s="1">
        <v>0</v>
      </c>
      <c r="J184" s="3" t="s">
        <v>207</v>
      </c>
      <c r="K184" s="2" t="str">
        <f>J184*239.00</f>
        <v>0</v>
      </c>
      <c r="L184" s="5"/>
    </row>
    <row r="185" spans="1:12" customHeight="1" ht="105" outlineLevel="5">
      <c r="A185" s="1"/>
      <c r="B185" s="1">
        <v>819951</v>
      </c>
      <c r="C185" s="1" t="s">
        <v>671</v>
      </c>
      <c r="D185" s="1" t="s">
        <v>672</v>
      </c>
      <c r="E185" s="2" t="s">
        <v>673</v>
      </c>
      <c r="F185" s="2" t="s">
        <v>674</v>
      </c>
      <c r="G185" s="2" t="s">
        <v>28</v>
      </c>
      <c r="H185" s="2" t="s">
        <v>33</v>
      </c>
      <c r="I185" s="1">
        <v>0</v>
      </c>
      <c r="J185" s="3" t="s">
        <v>207</v>
      </c>
      <c r="K185" s="2" t="str">
        <f>J185*349.00</f>
        <v>0</v>
      </c>
      <c r="L185" s="5"/>
    </row>
    <row r="186" spans="1:12" customHeight="1" ht="105" outlineLevel="5">
      <c r="A186" s="1"/>
      <c r="B186" s="1">
        <v>819952</v>
      </c>
      <c r="C186" s="1" t="s">
        <v>675</v>
      </c>
      <c r="D186" s="1" t="s">
        <v>676</v>
      </c>
      <c r="E186" s="2" t="s">
        <v>677</v>
      </c>
      <c r="F186" s="2" t="s">
        <v>678</v>
      </c>
      <c r="G186" s="2" t="s">
        <v>28</v>
      </c>
      <c r="H186" s="2" t="s">
        <v>23</v>
      </c>
      <c r="I186" s="1">
        <v>0</v>
      </c>
      <c r="J186" s="3" t="s">
        <v>207</v>
      </c>
      <c r="K186" s="2" t="str">
        <f>J186*367.00</f>
        <v>0</v>
      </c>
      <c r="L186" s="5"/>
    </row>
    <row r="187" spans="1:12" customHeight="1" ht="105" outlineLevel="5">
      <c r="A187" s="1"/>
      <c r="B187" s="1">
        <v>819953</v>
      </c>
      <c r="C187" s="1" t="s">
        <v>679</v>
      </c>
      <c r="D187" s="1" t="s">
        <v>680</v>
      </c>
      <c r="E187" s="2" t="s">
        <v>681</v>
      </c>
      <c r="F187" s="2" t="s">
        <v>682</v>
      </c>
      <c r="G187" s="2" t="s">
        <v>28</v>
      </c>
      <c r="H187" s="2" t="s">
        <v>34</v>
      </c>
      <c r="I187" s="1">
        <v>0</v>
      </c>
      <c r="J187" s="3" t="s">
        <v>207</v>
      </c>
      <c r="K187" s="2" t="str">
        <f>J187*284.00</f>
        <v>0</v>
      </c>
      <c r="L187" s="5"/>
    </row>
    <row r="188" spans="1:12" customHeight="1" ht="105" outlineLevel="5">
      <c r="A188" s="1"/>
      <c r="B188" s="1">
        <v>819954</v>
      </c>
      <c r="C188" s="1" t="s">
        <v>683</v>
      </c>
      <c r="D188" s="1" t="s">
        <v>684</v>
      </c>
      <c r="E188" s="2" t="s">
        <v>685</v>
      </c>
      <c r="F188" s="2" t="s">
        <v>686</v>
      </c>
      <c r="G188" s="2">
        <v>2</v>
      </c>
      <c r="H188" s="2" t="s">
        <v>23</v>
      </c>
      <c r="I188" s="1">
        <v>0</v>
      </c>
      <c r="J188" s="3" t="s">
        <v>207</v>
      </c>
      <c r="K188" s="2" t="str">
        <f>J188*520.00</f>
        <v>0</v>
      </c>
      <c r="L188" s="5"/>
    </row>
    <row r="189" spans="1:12" customHeight="1" ht="105" outlineLevel="5">
      <c r="A189" s="1"/>
      <c r="B189" s="1">
        <v>819955</v>
      </c>
      <c r="C189" s="1" t="s">
        <v>687</v>
      </c>
      <c r="D189" s="1" t="s">
        <v>688</v>
      </c>
      <c r="E189" s="2" t="s">
        <v>689</v>
      </c>
      <c r="F189" s="2" t="s">
        <v>690</v>
      </c>
      <c r="G189" s="2">
        <v>0</v>
      </c>
      <c r="H189" s="2" t="s">
        <v>23</v>
      </c>
      <c r="I189" s="1">
        <v>0</v>
      </c>
      <c r="J189" s="3" t="s">
        <v>207</v>
      </c>
      <c r="K189" s="2" t="str">
        <f>J189*387.00</f>
        <v>0</v>
      </c>
      <c r="L189" s="5"/>
    </row>
    <row r="190" spans="1:12" customHeight="1" ht="105" outlineLevel="5">
      <c r="A190" s="1"/>
      <c r="B190" s="1">
        <v>819956</v>
      </c>
      <c r="C190" s="1" t="s">
        <v>691</v>
      </c>
      <c r="D190" s="1" t="s">
        <v>692</v>
      </c>
      <c r="E190" s="2" t="s">
        <v>693</v>
      </c>
      <c r="F190" s="2" t="s">
        <v>694</v>
      </c>
      <c r="G190" s="2">
        <v>0</v>
      </c>
      <c r="H190" s="2" t="s">
        <v>90</v>
      </c>
      <c r="I190" s="1">
        <v>0</v>
      </c>
      <c r="J190" s="3" t="s">
        <v>207</v>
      </c>
      <c r="K190" s="2" t="str">
        <f>J190*589.00</f>
        <v>0</v>
      </c>
      <c r="L190" s="5"/>
    </row>
    <row r="191" spans="1:12" customHeight="1" ht="105" outlineLevel="5">
      <c r="A191" s="1"/>
      <c r="B191" s="1">
        <v>819957</v>
      </c>
      <c r="C191" s="1" t="s">
        <v>695</v>
      </c>
      <c r="D191" s="1" t="s">
        <v>696</v>
      </c>
      <c r="E191" s="2" t="s">
        <v>697</v>
      </c>
      <c r="F191" s="2" t="s">
        <v>698</v>
      </c>
      <c r="G191" s="2">
        <v>0</v>
      </c>
      <c r="H191" s="2" t="s">
        <v>23</v>
      </c>
      <c r="I191" s="1">
        <v>0</v>
      </c>
      <c r="J191" s="3" t="s">
        <v>207</v>
      </c>
      <c r="K191" s="2" t="str">
        <f>J191*524.00</f>
        <v>0</v>
      </c>
      <c r="L191" s="5"/>
    </row>
    <row r="192" spans="1:12" customHeight="1" ht="105" outlineLevel="5">
      <c r="A192" s="1"/>
      <c r="B192" s="1">
        <v>819958</v>
      </c>
      <c r="C192" s="1" t="s">
        <v>699</v>
      </c>
      <c r="D192" s="1" t="s">
        <v>700</v>
      </c>
      <c r="E192" s="2" t="s">
        <v>701</v>
      </c>
      <c r="F192" s="2" t="s">
        <v>702</v>
      </c>
      <c r="G192" s="2">
        <v>0</v>
      </c>
      <c r="H192" s="2" t="s">
        <v>90</v>
      </c>
      <c r="I192" s="1">
        <v>0</v>
      </c>
      <c r="J192" s="3" t="s">
        <v>207</v>
      </c>
      <c r="K192" s="2" t="str">
        <f>J192*857.00</f>
        <v>0</v>
      </c>
      <c r="L192" s="5"/>
    </row>
    <row r="193" spans="1:12" customHeight="1" ht="105" outlineLevel="5">
      <c r="A193" s="1"/>
      <c r="B193" s="1">
        <v>819959</v>
      </c>
      <c r="C193" s="1" t="s">
        <v>703</v>
      </c>
      <c r="D193" s="1" t="s">
        <v>704</v>
      </c>
      <c r="E193" s="2" t="s">
        <v>705</v>
      </c>
      <c r="F193" s="2" t="s">
        <v>706</v>
      </c>
      <c r="G193" s="2">
        <v>0</v>
      </c>
      <c r="H193" s="2" t="s">
        <v>23</v>
      </c>
      <c r="I193" s="1">
        <v>0</v>
      </c>
      <c r="J193" s="3" t="s">
        <v>207</v>
      </c>
      <c r="K193" s="2" t="str">
        <f>J193*678.00</f>
        <v>0</v>
      </c>
      <c r="L193" s="5"/>
    </row>
    <row r="194" spans="1:12" customHeight="1" ht="105" outlineLevel="5">
      <c r="A194" s="1"/>
      <c r="B194" s="1">
        <v>819960</v>
      </c>
      <c r="C194" s="1" t="s">
        <v>707</v>
      </c>
      <c r="D194" s="1" t="s">
        <v>708</v>
      </c>
      <c r="E194" s="2" t="s">
        <v>709</v>
      </c>
      <c r="F194" s="2" t="s">
        <v>710</v>
      </c>
      <c r="G194" s="2" t="s">
        <v>28</v>
      </c>
      <c r="H194" s="2" t="s">
        <v>23</v>
      </c>
      <c r="I194" s="1">
        <v>0</v>
      </c>
      <c r="J194" s="3" t="s">
        <v>207</v>
      </c>
      <c r="K194" s="2" t="str">
        <f>J194*238.00</f>
        <v>0</v>
      </c>
      <c r="L194" s="5"/>
    </row>
    <row r="195" spans="1:12" customHeight="1" ht="105" outlineLevel="5">
      <c r="A195" s="1"/>
      <c r="B195" s="1">
        <v>819961</v>
      </c>
      <c r="C195" s="1" t="s">
        <v>711</v>
      </c>
      <c r="D195" s="1" t="s">
        <v>712</v>
      </c>
      <c r="E195" s="2" t="s">
        <v>713</v>
      </c>
      <c r="F195" s="2" t="s">
        <v>714</v>
      </c>
      <c r="G195" s="2" t="s">
        <v>28</v>
      </c>
      <c r="H195" s="2" t="s">
        <v>23</v>
      </c>
      <c r="I195" s="1">
        <v>0</v>
      </c>
      <c r="J195" s="3" t="s">
        <v>207</v>
      </c>
      <c r="K195" s="2" t="str">
        <f>J195*294.00</f>
        <v>0</v>
      </c>
      <c r="L195" s="5"/>
    </row>
    <row r="196" spans="1:12" customHeight="1" ht="105" outlineLevel="5">
      <c r="A196" s="1"/>
      <c r="B196" s="1">
        <v>819962</v>
      </c>
      <c r="C196" s="1" t="s">
        <v>715</v>
      </c>
      <c r="D196" s="1" t="s">
        <v>716</v>
      </c>
      <c r="E196" s="2" t="s">
        <v>717</v>
      </c>
      <c r="F196" s="2" t="s">
        <v>718</v>
      </c>
      <c r="G196" s="2" t="s">
        <v>28</v>
      </c>
      <c r="H196" s="2" t="s">
        <v>23</v>
      </c>
      <c r="I196" s="1">
        <v>0</v>
      </c>
      <c r="J196" s="3" t="s">
        <v>207</v>
      </c>
      <c r="K196" s="2" t="str">
        <f>J196*332.00</f>
        <v>0</v>
      </c>
      <c r="L196" s="5"/>
    </row>
    <row r="197" spans="1:12" customHeight="1" ht="105" outlineLevel="5">
      <c r="A197" s="1"/>
      <c r="B197" s="1">
        <v>819963</v>
      </c>
      <c r="C197" s="1" t="s">
        <v>719</v>
      </c>
      <c r="D197" s="1" t="s">
        <v>720</v>
      </c>
      <c r="E197" s="2" t="s">
        <v>721</v>
      </c>
      <c r="F197" s="2" t="s">
        <v>722</v>
      </c>
      <c r="G197" s="2">
        <v>0</v>
      </c>
      <c r="H197" s="2" t="s">
        <v>23</v>
      </c>
      <c r="I197" s="1">
        <v>0</v>
      </c>
      <c r="J197" s="3" t="s">
        <v>207</v>
      </c>
      <c r="K197" s="2" t="str">
        <f>J197*506.00</f>
        <v>0</v>
      </c>
      <c r="L197" s="5"/>
    </row>
    <row r="198" spans="1:12" customHeight="1" ht="105" outlineLevel="5">
      <c r="A198" s="1"/>
      <c r="B198" s="1">
        <v>819964</v>
      </c>
      <c r="C198" s="1" t="s">
        <v>723</v>
      </c>
      <c r="D198" s="1" t="s">
        <v>724</v>
      </c>
      <c r="E198" s="2" t="s">
        <v>725</v>
      </c>
      <c r="F198" s="2" t="s">
        <v>726</v>
      </c>
      <c r="G198" s="2">
        <v>0</v>
      </c>
      <c r="H198" s="2" t="s">
        <v>23</v>
      </c>
      <c r="I198" s="1">
        <v>0</v>
      </c>
      <c r="J198" s="3" t="s">
        <v>207</v>
      </c>
      <c r="K198" s="2" t="str">
        <f>J198*534.00</f>
        <v>0</v>
      </c>
      <c r="L198" s="5"/>
    </row>
    <row r="199" spans="1:12" customHeight="1" ht="105" outlineLevel="5">
      <c r="A199" s="1"/>
      <c r="B199" s="1">
        <v>819965</v>
      </c>
      <c r="C199" s="1" t="s">
        <v>727</v>
      </c>
      <c r="D199" s="1" t="s">
        <v>728</v>
      </c>
      <c r="E199" s="2" t="s">
        <v>729</v>
      </c>
      <c r="F199" s="2" t="s">
        <v>730</v>
      </c>
      <c r="G199" s="2">
        <v>0</v>
      </c>
      <c r="H199" s="2" t="s">
        <v>33</v>
      </c>
      <c r="I199" s="1">
        <v>0</v>
      </c>
      <c r="J199" s="3" t="s">
        <v>207</v>
      </c>
      <c r="K199" s="2" t="str">
        <f>J199*613.00</f>
        <v>0</v>
      </c>
      <c r="L199" s="5"/>
    </row>
    <row r="200" spans="1:12" customHeight="1" ht="105" outlineLevel="5">
      <c r="A200" s="1"/>
      <c r="B200" s="1">
        <v>819966</v>
      </c>
      <c r="C200" s="1" t="s">
        <v>731</v>
      </c>
      <c r="D200" s="1" t="s">
        <v>732</v>
      </c>
      <c r="E200" s="2" t="s">
        <v>733</v>
      </c>
      <c r="F200" s="2" t="s">
        <v>734</v>
      </c>
      <c r="G200" s="2">
        <v>0</v>
      </c>
      <c r="H200" s="2">
        <v>10</v>
      </c>
      <c r="I200" s="1">
        <v>0</v>
      </c>
      <c r="J200" s="3" t="s">
        <v>207</v>
      </c>
      <c r="K200" s="2" t="str">
        <f>J200*943.00</f>
        <v>0</v>
      </c>
      <c r="L200" s="5"/>
    </row>
    <row r="201" spans="1:12" customHeight="1" ht="105" outlineLevel="5">
      <c r="A201" s="1"/>
      <c r="B201" s="1">
        <v>819967</v>
      </c>
      <c r="C201" s="1" t="s">
        <v>735</v>
      </c>
      <c r="D201" s="1" t="s">
        <v>736</v>
      </c>
      <c r="E201" s="2" t="s">
        <v>737</v>
      </c>
      <c r="F201" s="2" t="s">
        <v>738</v>
      </c>
      <c r="G201" s="2" t="s">
        <v>28</v>
      </c>
      <c r="H201" s="2" t="s">
        <v>23</v>
      </c>
      <c r="I201" s="1">
        <v>0</v>
      </c>
      <c r="J201" s="3" t="s">
        <v>207</v>
      </c>
      <c r="K201" s="2" t="str">
        <f>J201*255.00</f>
        <v>0</v>
      </c>
      <c r="L201" s="5"/>
    </row>
    <row r="202" spans="1:12" customHeight="1" ht="105" outlineLevel="5">
      <c r="A202" s="1"/>
      <c r="B202" s="1">
        <v>819968</v>
      </c>
      <c r="C202" s="1" t="s">
        <v>739</v>
      </c>
      <c r="D202" s="1" t="s">
        <v>740</v>
      </c>
      <c r="E202" s="2" t="s">
        <v>741</v>
      </c>
      <c r="F202" s="2" t="s">
        <v>742</v>
      </c>
      <c r="G202" s="2">
        <v>9</v>
      </c>
      <c r="H202" s="2" t="s">
        <v>90</v>
      </c>
      <c r="I202" s="1">
        <v>0</v>
      </c>
      <c r="J202" s="3" t="s">
        <v>207</v>
      </c>
      <c r="K202" s="2" t="str">
        <f>J202*256.00</f>
        <v>0</v>
      </c>
      <c r="L202" s="5"/>
    </row>
    <row r="203" spans="1:12" customHeight="1" ht="105" outlineLevel="5">
      <c r="A203" s="1"/>
      <c r="B203" s="1">
        <v>819969</v>
      </c>
      <c r="C203" s="1" t="s">
        <v>743</v>
      </c>
      <c r="D203" s="1" t="s">
        <v>744</v>
      </c>
      <c r="E203" s="2" t="s">
        <v>745</v>
      </c>
      <c r="F203" s="2" t="s">
        <v>746</v>
      </c>
      <c r="G203" s="2">
        <v>8</v>
      </c>
      <c r="H203" s="2" t="s">
        <v>23</v>
      </c>
      <c r="I203" s="1">
        <v>0</v>
      </c>
      <c r="J203" s="3" t="s">
        <v>207</v>
      </c>
      <c r="K203" s="2" t="str">
        <f>J203*273.00</f>
        <v>0</v>
      </c>
      <c r="L203" s="5"/>
    </row>
    <row r="204" spans="1:12" customHeight="1" ht="105" outlineLevel="5">
      <c r="A204" s="1"/>
      <c r="B204" s="1">
        <v>819970</v>
      </c>
      <c r="C204" s="1" t="s">
        <v>747</v>
      </c>
      <c r="D204" s="1" t="s">
        <v>748</v>
      </c>
      <c r="E204" s="2" t="s">
        <v>749</v>
      </c>
      <c r="F204" s="2" t="s">
        <v>750</v>
      </c>
      <c r="G204" s="2">
        <v>9</v>
      </c>
      <c r="H204" s="2" t="s">
        <v>23</v>
      </c>
      <c r="I204" s="1">
        <v>0</v>
      </c>
      <c r="J204" s="3" t="s">
        <v>207</v>
      </c>
      <c r="K204" s="2" t="str">
        <f>J204*340.00</f>
        <v>0</v>
      </c>
      <c r="L204" s="5"/>
    </row>
    <row r="205" spans="1:12" customHeight="1" ht="105" outlineLevel="5">
      <c r="A205" s="1"/>
      <c r="B205" s="1">
        <v>819971</v>
      </c>
      <c r="C205" s="1" t="s">
        <v>751</v>
      </c>
      <c r="D205" s="1" t="s">
        <v>752</v>
      </c>
      <c r="E205" s="2" t="s">
        <v>753</v>
      </c>
      <c r="F205" s="2" t="s">
        <v>754</v>
      </c>
      <c r="G205" s="2">
        <v>7</v>
      </c>
      <c r="H205" s="2" t="s">
        <v>23</v>
      </c>
      <c r="I205" s="1">
        <v>0</v>
      </c>
      <c r="J205" s="3" t="s">
        <v>207</v>
      </c>
      <c r="K205" s="2" t="str">
        <f>J205*374.00</f>
        <v>0</v>
      </c>
      <c r="L205" s="5"/>
    </row>
    <row r="206" spans="1:12" customHeight="1" ht="105" outlineLevel="5">
      <c r="A206" s="1"/>
      <c r="B206" s="1">
        <v>819972</v>
      </c>
      <c r="C206" s="1" t="s">
        <v>755</v>
      </c>
      <c r="D206" s="1" t="s">
        <v>756</v>
      </c>
      <c r="E206" s="2" t="s">
        <v>757</v>
      </c>
      <c r="F206" s="2" t="s">
        <v>758</v>
      </c>
      <c r="G206" s="2">
        <v>9</v>
      </c>
      <c r="H206" s="2" t="s">
        <v>23</v>
      </c>
      <c r="I206" s="1">
        <v>0</v>
      </c>
      <c r="J206" s="3" t="s">
        <v>207</v>
      </c>
      <c r="K206" s="2" t="str">
        <f>J206*378.00</f>
        <v>0</v>
      </c>
      <c r="L206" s="5"/>
    </row>
    <row r="207" spans="1:12" customHeight="1" ht="105" outlineLevel="5">
      <c r="A207" s="1"/>
      <c r="B207" s="1">
        <v>819973</v>
      </c>
      <c r="C207" s="1" t="s">
        <v>759</v>
      </c>
      <c r="D207" s="1" t="s">
        <v>760</v>
      </c>
      <c r="E207" s="2" t="s">
        <v>761</v>
      </c>
      <c r="F207" s="2" t="s">
        <v>762</v>
      </c>
      <c r="G207" s="2">
        <v>0</v>
      </c>
      <c r="H207" s="2" t="s">
        <v>23</v>
      </c>
      <c r="I207" s="1">
        <v>0</v>
      </c>
      <c r="J207" s="3" t="s">
        <v>207</v>
      </c>
      <c r="K207" s="2" t="str">
        <f>J207*438.00</f>
        <v>0</v>
      </c>
      <c r="L207" s="5"/>
    </row>
    <row r="208" spans="1:12" customHeight="1" ht="105" outlineLevel="5">
      <c r="A208" s="1"/>
      <c r="B208" s="1">
        <v>819974</v>
      </c>
      <c r="C208" s="1" t="s">
        <v>763</v>
      </c>
      <c r="D208" s="1" t="s">
        <v>764</v>
      </c>
      <c r="E208" s="2" t="s">
        <v>765</v>
      </c>
      <c r="F208" s="2" t="s">
        <v>766</v>
      </c>
      <c r="G208" s="2">
        <v>0</v>
      </c>
      <c r="H208" s="2" t="s">
        <v>90</v>
      </c>
      <c r="I208" s="1">
        <v>0</v>
      </c>
      <c r="J208" s="3" t="s">
        <v>207</v>
      </c>
      <c r="K208" s="2" t="str">
        <f>J208*362.00</f>
        <v>0</v>
      </c>
      <c r="L208" s="5"/>
    </row>
    <row r="209" spans="1:12" customHeight="1" ht="105" outlineLevel="5">
      <c r="A209" s="1"/>
      <c r="B209" s="1">
        <v>819975</v>
      </c>
      <c r="C209" s="1" t="s">
        <v>767</v>
      </c>
      <c r="D209" s="1" t="s">
        <v>768</v>
      </c>
      <c r="E209" s="2" t="s">
        <v>769</v>
      </c>
      <c r="F209" s="2" t="s">
        <v>607</v>
      </c>
      <c r="G209" s="2">
        <v>0</v>
      </c>
      <c r="H209" s="2" t="s">
        <v>23</v>
      </c>
      <c r="I209" s="1">
        <v>0</v>
      </c>
      <c r="J209" s="3" t="s">
        <v>207</v>
      </c>
      <c r="K209" s="2" t="str">
        <f>J209*457.00</f>
        <v>0</v>
      </c>
      <c r="L209" s="5"/>
    </row>
    <row r="210" spans="1:12" customHeight="1" ht="105" outlineLevel="5">
      <c r="A210" s="1"/>
      <c r="B210" s="1">
        <v>819976</v>
      </c>
      <c r="C210" s="1" t="s">
        <v>770</v>
      </c>
      <c r="D210" s="1" t="s">
        <v>771</v>
      </c>
      <c r="E210" s="2" t="s">
        <v>772</v>
      </c>
      <c r="F210" s="2" t="s">
        <v>773</v>
      </c>
      <c r="G210" s="2">
        <v>0</v>
      </c>
      <c r="H210" s="2" t="s">
        <v>23</v>
      </c>
      <c r="I210" s="1">
        <v>0</v>
      </c>
      <c r="J210" s="3" t="s">
        <v>207</v>
      </c>
      <c r="K210" s="2" t="str">
        <f>J210*452.00</f>
        <v>0</v>
      </c>
      <c r="L210" s="5"/>
    </row>
    <row r="211" spans="1:12" customHeight="1" ht="105" outlineLevel="5">
      <c r="A211" s="1"/>
      <c r="B211" s="1">
        <v>819977</v>
      </c>
      <c r="C211" s="1" t="s">
        <v>774</v>
      </c>
      <c r="D211" s="1" t="s">
        <v>775</v>
      </c>
      <c r="E211" s="2" t="s">
        <v>776</v>
      </c>
      <c r="F211" s="2" t="s">
        <v>777</v>
      </c>
      <c r="G211" s="2">
        <v>0</v>
      </c>
      <c r="H211" s="2" t="s">
        <v>23</v>
      </c>
      <c r="I211" s="1">
        <v>0</v>
      </c>
      <c r="J211" s="3" t="s">
        <v>207</v>
      </c>
      <c r="K211" s="2" t="str">
        <f>J211*666.00</f>
        <v>0</v>
      </c>
      <c r="L211" s="5"/>
    </row>
    <row r="212" spans="1:12" customHeight="1" ht="105" outlineLevel="5">
      <c r="A212" s="1"/>
      <c r="B212" s="1">
        <v>819978</v>
      </c>
      <c r="C212" s="1" t="s">
        <v>778</v>
      </c>
      <c r="D212" s="1" t="s">
        <v>779</v>
      </c>
      <c r="E212" s="2" t="s">
        <v>780</v>
      </c>
      <c r="F212" s="2" t="s">
        <v>781</v>
      </c>
      <c r="G212" s="2">
        <v>0</v>
      </c>
      <c r="H212" s="2" t="s">
        <v>23</v>
      </c>
      <c r="I212" s="1">
        <v>0</v>
      </c>
      <c r="J212" s="3" t="s">
        <v>207</v>
      </c>
      <c r="K212" s="2" t="str">
        <f>J212*681.00</f>
        <v>0</v>
      </c>
      <c r="L212" s="5"/>
    </row>
    <row r="213" spans="1:12" customHeight="1" ht="105" outlineLevel="5">
      <c r="A213" s="1"/>
      <c r="B213" s="1">
        <v>819979</v>
      </c>
      <c r="C213" s="1" t="s">
        <v>782</v>
      </c>
      <c r="D213" s="1" t="s">
        <v>783</v>
      </c>
      <c r="E213" s="2" t="s">
        <v>784</v>
      </c>
      <c r="F213" s="2" t="s">
        <v>785</v>
      </c>
      <c r="G213" s="2">
        <v>0</v>
      </c>
      <c r="H213" s="2" t="s">
        <v>90</v>
      </c>
      <c r="I213" s="1">
        <v>0</v>
      </c>
      <c r="J213" s="3" t="s">
        <v>207</v>
      </c>
      <c r="K213" s="2" t="str">
        <f>J213*583.00</f>
        <v>0</v>
      </c>
      <c r="L213" s="5"/>
    </row>
    <row r="214" spans="1:12" customHeight="1" ht="105" outlineLevel="5">
      <c r="A214" s="1"/>
      <c r="B214" s="1">
        <v>819980</v>
      </c>
      <c r="C214" s="1" t="s">
        <v>786</v>
      </c>
      <c r="D214" s="1" t="s">
        <v>787</v>
      </c>
      <c r="E214" s="2" t="s">
        <v>788</v>
      </c>
      <c r="F214" s="2" t="s">
        <v>702</v>
      </c>
      <c r="G214" s="2">
        <v>0</v>
      </c>
      <c r="H214" s="2" t="s">
        <v>23</v>
      </c>
      <c r="I214" s="1">
        <v>0</v>
      </c>
      <c r="J214" s="3" t="s">
        <v>207</v>
      </c>
      <c r="K214" s="2" t="str">
        <f>J214*857.00</f>
        <v>0</v>
      </c>
      <c r="L214" s="5"/>
    </row>
    <row r="215" spans="1:12" customHeight="1" ht="105" outlineLevel="5">
      <c r="A215" s="1"/>
      <c r="B215" s="1">
        <v>819981</v>
      </c>
      <c r="C215" s="1" t="s">
        <v>789</v>
      </c>
      <c r="D215" s="1" t="s">
        <v>790</v>
      </c>
      <c r="E215" s="2" t="s">
        <v>791</v>
      </c>
      <c r="F215" s="2" t="s">
        <v>792</v>
      </c>
      <c r="G215" s="2">
        <v>0</v>
      </c>
      <c r="H215" s="2" t="s">
        <v>90</v>
      </c>
      <c r="I215" s="1">
        <v>0</v>
      </c>
      <c r="J215" s="3" t="s">
        <v>207</v>
      </c>
      <c r="K215" s="2" t="str">
        <f>J215*777.00</f>
        <v>0</v>
      </c>
      <c r="L215" s="5"/>
    </row>
    <row r="216" spans="1:12" customHeight="1" ht="105" outlineLevel="5">
      <c r="A216" s="1"/>
      <c r="B216" s="1">
        <v>819982</v>
      </c>
      <c r="C216" s="1" t="s">
        <v>793</v>
      </c>
      <c r="D216" s="1" t="s">
        <v>794</v>
      </c>
      <c r="E216" s="2" t="s">
        <v>795</v>
      </c>
      <c r="F216" s="2" t="s">
        <v>796</v>
      </c>
      <c r="G216" s="2">
        <v>0</v>
      </c>
      <c r="H216" s="2" t="s">
        <v>90</v>
      </c>
      <c r="I216" s="1">
        <v>0</v>
      </c>
      <c r="J216" s="3" t="s">
        <v>207</v>
      </c>
      <c r="K216" s="2" t="str">
        <f>J216*795.00</f>
        <v>0</v>
      </c>
      <c r="L216" s="5"/>
    </row>
    <row r="217" spans="1:12" customHeight="1" ht="105" outlineLevel="5">
      <c r="A217" s="1"/>
      <c r="B217" s="1">
        <v>819983</v>
      </c>
      <c r="C217" s="1" t="s">
        <v>797</v>
      </c>
      <c r="D217" s="1" t="s">
        <v>798</v>
      </c>
      <c r="E217" s="2" t="s">
        <v>799</v>
      </c>
      <c r="F217" s="2" t="s">
        <v>800</v>
      </c>
      <c r="G217" s="2">
        <v>0</v>
      </c>
      <c r="H217" s="2">
        <v>0</v>
      </c>
      <c r="I217" s="1">
        <v>0</v>
      </c>
      <c r="J217" s="3" t="s">
        <v>207</v>
      </c>
      <c r="K217" s="2" t="str">
        <f>J217*171.00</f>
        <v>0</v>
      </c>
      <c r="L217" s="5"/>
    </row>
    <row r="218" spans="1:12" customHeight="1" ht="105" outlineLevel="5">
      <c r="A218" s="1"/>
      <c r="B218" s="1">
        <v>819984</v>
      </c>
      <c r="C218" s="1" t="s">
        <v>801</v>
      </c>
      <c r="D218" s="1" t="s">
        <v>802</v>
      </c>
      <c r="E218" s="2" t="s">
        <v>803</v>
      </c>
      <c r="F218" s="2" t="s">
        <v>804</v>
      </c>
      <c r="G218" s="2" t="s">
        <v>28</v>
      </c>
      <c r="H218" s="2" t="s">
        <v>23</v>
      </c>
      <c r="I218" s="1">
        <v>0</v>
      </c>
      <c r="J218" s="3" t="s">
        <v>207</v>
      </c>
      <c r="K218" s="2" t="str">
        <f>J218*388.00</f>
        <v>0</v>
      </c>
      <c r="L218" s="5"/>
    </row>
    <row r="219" spans="1:12" customHeight="1" ht="105" outlineLevel="5">
      <c r="A219" s="1"/>
      <c r="B219" s="1">
        <v>819985</v>
      </c>
      <c r="C219" s="1" t="s">
        <v>805</v>
      </c>
      <c r="D219" s="1" t="s">
        <v>806</v>
      </c>
      <c r="E219" s="2" t="s">
        <v>807</v>
      </c>
      <c r="F219" s="2" t="s">
        <v>808</v>
      </c>
      <c r="G219" s="2" t="s">
        <v>28</v>
      </c>
      <c r="H219" s="2" t="s">
        <v>23</v>
      </c>
      <c r="I219" s="1">
        <v>0</v>
      </c>
      <c r="J219" s="3" t="s">
        <v>207</v>
      </c>
      <c r="K219" s="2" t="str">
        <f>J219*530.00</f>
        <v>0</v>
      </c>
      <c r="L219" s="5"/>
    </row>
    <row r="220" spans="1:12" customHeight="1" ht="105" outlineLevel="5">
      <c r="A220" s="1"/>
      <c r="B220" s="1">
        <v>819986</v>
      </c>
      <c r="C220" s="1" t="s">
        <v>809</v>
      </c>
      <c r="D220" s="1" t="s">
        <v>810</v>
      </c>
      <c r="E220" s="2" t="s">
        <v>811</v>
      </c>
      <c r="F220" s="2" t="s">
        <v>812</v>
      </c>
      <c r="G220" s="2" t="s">
        <v>28</v>
      </c>
      <c r="H220" s="2" t="s">
        <v>34</v>
      </c>
      <c r="I220" s="1">
        <v>0</v>
      </c>
      <c r="J220" s="3" t="s">
        <v>207</v>
      </c>
      <c r="K220" s="2" t="str">
        <f>J220*488.00</f>
        <v>0</v>
      </c>
      <c r="L220" s="5"/>
    </row>
    <row r="221" spans="1:12" customHeight="1" ht="105" outlineLevel="5">
      <c r="A221" s="1"/>
      <c r="B221" s="1">
        <v>819987</v>
      </c>
      <c r="C221" s="1" t="s">
        <v>813</v>
      </c>
      <c r="D221" s="1" t="s">
        <v>814</v>
      </c>
      <c r="E221" s="2" t="s">
        <v>815</v>
      </c>
      <c r="F221" s="2" t="s">
        <v>816</v>
      </c>
      <c r="G221" s="2" t="s">
        <v>28</v>
      </c>
      <c r="H221" s="2" t="s">
        <v>23</v>
      </c>
      <c r="I221" s="1">
        <v>0</v>
      </c>
      <c r="J221" s="3" t="s">
        <v>207</v>
      </c>
      <c r="K221" s="2" t="str">
        <f>J221*584.00</f>
        <v>0</v>
      </c>
      <c r="L221" s="5"/>
    </row>
    <row r="222" spans="1:12" customHeight="1" ht="105" outlineLevel="5">
      <c r="A222" s="1"/>
      <c r="B222" s="1">
        <v>819988</v>
      </c>
      <c r="C222" s="1" t="s">
        <v>817</v>
      </c>
      <c r="D222" s="1" t="s">
        <v>818</v>
      </c>
      <c r="E222" s="2" t="s">
        <v>819</v>
      </c>
      <c r="F222" s="2" t="s">
        <v>820</v>
      </c>
      <c r="G222" s="2" t="s">
        <v>28</v>
      </c>
      <c r="H222" s="2" t="s">
        <v>23</v>
      </c>
      <c r="I222" s="1">
        <v>0</v>
      </c>
      <c r="J222" s="3" t="s">
        <v>207</v>
      </c>
      <c r="K222" s="2" t="str">
        <f>J222*503.00</f>
        <v>0</v>
      </c>
      <c r="L222" s="5"/>
    </row>
    <row r="223" spans="1:12" customHeight="1" ht="105" outlineLevel="5">
      <c r="A223" s="1"/>
      <c r="B223" s="1">
        <v>819989</v>
      </c>
      <c r="C223" s="1" t="s">
        <v>821</v>
      </c>
      <c r="D223" s="1" t="s">
        <v>822</v>
      </c>
      <c r="E223" s="2" t="s">
        <v>823</v>
      </c>
      <c r="F223" s="2" t="s">
        <v>824</v>
      </c>
      <c r="G223" s="2" t="s">
        <v>28</v>
      </c>
      <c r="H223" s="2" t="s">
        <v>23</v>
      </c>
      <c r="I223" s="1">
        <v>0</v>
      </c>
      <c r="J223" s="3" t="s">
        <v>207</v>
      </c>
      <c r="K223" s="2" t="str">
        <f>J223*575.00</f>
        <v>0</v>
      </c>
      <c r="L223" s="5"/>
    </row>
    <row r="224" spans="1:12" customHeight="1" ht="105" outlineLevel="5">
      <c r="A224" s="1"/>
      <c r="B224" s="1">
        <v>819990</v>
      </c>
      <c r="C224" s="1" t="s">
        <v>825</v>
      </c>
      <c r="D224" s="1" t="s">
        <v>826</v>
      </c>
      <c r="E224" s="2" t="s">
        <v>827</v>
      </c>
      <c r="F224" s="2" t="s">
        <v>828</v>
      </c>
      <c r="G224" s="2" t="s">
        <v>28</v>
      </c>
      <c r="H224" s="2" t="s">
        <v>90</v>
      </c>
      <c r="I224" s="1">
        <v>0</v>
      </c>
      <c r="J224" s="3" t="s">
        <v>207</v>
      </c>
      <c r="K224" s="2" t="str">
        <f>J224*651.00</f>
        <v>0</v>
      </c>
      <c r="L224" s="5"/>
    </row>
    <row r="225" spans="1:12" customHeight="1" ht="105" outlineLevel="5">
      <c r="A225" s="1"/>
      <c r="B225" s="1">
        <v>819991</v>
      </c>
      <c r="C225" s="1" t="s">
        <v>829</v>
      </c>
      <c r="D225" s="1" t="s">
        <v>830</v>
      </c>
      <c r="E225" s="2" t="s">
        <v>831</v>
      </c>
      <c r="F225" s="2" t="s">
        <v>832</v>
      </c>
      <c r="G225" s="2">
        <v>9</v>
      </c>
      <c r="H225" s="2" t="s">
        <v>23</v>
      </c>
      <c r="I225" s="1">
        <v>0</v>
      </c>
      <c r="J225" s="3" t="s">
        <v>207</v>
      </c>
      <c r="K225" s="2" t="str">
        <f>J225*787.00</f>
        <v>0</v>
      </c>
      <c r="L225" s="5"/>
    </row>
    <row r="226" spans="1:12" customHeight="1" ht="105" outlineLevel="5">
      <c r="A226" s="1"/>
      <c r="B226" s="1">
        <v>819992</v>
      </c>
      <c r="C226" s="1" t="s">
        <v>833</v>
      </c>
      <c r="D226" s="1" t="s">
        <v>834</v>
      </c>
      <c r="E226" s="2" t="s">
        <v>835</v>
      </c>
      <c r="F226" s="2" t="s">
        <v>836</v>
      </c>
      <c r="G226" s="2">
        <v>0</v>
      </c>
      <c r="H226" s="2" t="s">
        <v>90</v>
      </c>
      <c r="I226" s="1">
        <v>0</v>
      </c>
      <c r="J226" s="3" t="s">
        <v>207</v>
      </c>
      <c r="K226" s="2" t="str">
        <f>J226*956.00</f>
        <v>0</v>
      </c>
      <c r="L226" s="5"/>
    </row>
    <row r="227" spans="1:12" customHeight="1" ht="105" outlineLevel="5">
      <c r="A227" s="1"/>
      <c r="B227" s="1">
        <v>819993</v>
      </c>
      <c r="C227" s="1" t="s">
        <v>837</v>
      </c>
      <c r="D227" s="1" t="s">
        <v>838</v>
      </c>
      <c r="E227" s="2" t="s">
        <v>839</v>
      </c>
      <c r="F227" s="2" t="s">
        <v>840</v>
      </c>
      <c r="G227" s="2">
        <v>0</v>
      </c>
      <c r="H227" s="2" t="s">
        <v>90</v>
      </c>
      <c r="I227" s="1">
        <v>0</v>
      </c>
      <c r="J227" s="3" t="s">
        <v>207</v>
      </c>
      <c r="K227" s="2" t="str">
        <f>J227*985.00</f>
        <v>0</v>
      </c>
      <c r="L227" s="5"/>
    </row>
    <row r="228" spans="1:12" customHeight="1" ht="105" outlineLevel="5">
      <c r="A228" s="1"/>
      <c r="B228" s="1">
        <v>819994</v>
      </c>
      <c r="C228" s="1" t="s">
        <v>841</v>
      </c>
      <c r="D228" s="1" t="s">
        <v>842</v>
      </c>
      <c r="E228" s="2" t="s">
        <v>843</v>
      </c>
      <c r="F228" s="2" t="s">
        <v>844</v>
      </c>
      <c r="G228" s="2">
        <v>0</v>
      </c>
      <c r="H228" s="2" t="s">
        <v>90</v>
      </c>
      <c r="I228" s="1">
        <v>0</v>
      </c>
      <c r="J228" s="3" t="s">
        <v>207</v>
      </c>
      <c r="K228" s="2" t="str">
        <f>J228*1690.00</f>
        <v>0</v>
      </c>
      <c r="L228" s="5"/>
    </row>
    <row r="229" spans="1:12" customHeight="1" ht="105" outlineLevel="5">
      <c r="A229" s="1"/>
      <c r="B229" s="1">
        <v>819995</v>
      </c>
      <c r="C229" s="1" t="s">
        <v>845</v>
      </c>
      <c r="D229" s="1" t="s">
        <v>846</v>
      </c>
      <c r="E229" s="2" t="s">
        <v>847</v>
      </c>
      <c r="F229" s="2" t="s">
        <v>848</v>
      </c>
      <c r="G229" s="2">
        <v>0</v>
      </c>
      <c r="H229" s="2" t="s">
        <v>90</v>
      </c>
      <c r="I229" s="1">
        <v>0</v>
      </c>
      <c r="J229" s="3" t="s">
        <v>207</v>
      </c>
      <c r="K229" s="2" t="str">
        <f>J229*2067.00</f>
        <v>0</v>
      </c>
      <c r="L229" s="5"/>
    </row>
    <row r="230" spans="1:12" customHeight="1" ht="105" outlineLevel="5">
      <c r="A230" s="1"/>
      <c r="B230" s="1">
        <v>819996</v>
      </c>
      <c r="C230" s="1" t="s">
        <v>849</v>
      </c>
      <c r="D230" s="1" t="s">
        <v>850</v>
      </c>
      <c r="E230" s="2" t="s">
        <v>851</v>
      </c>
      <c r="F230" s="2" t="s">
        <v>17</v>
      </c>
      <c r="G230" s="2" t="s">
        <v>28</v>
      </c>
      <c r="H230" s="2" t="s">
        <v>23</v>
      </c>
      <c r="I230" s="1">
        <v>0</v>
      </c>
      <c r="J230" s="3" t="s">
        <v>207</v>
      </c>
      <c r="K230" s="2" t="str">
        <f>J230*305.00</f>
        <v>0</v>
      </c>
      <c r="L230" s="5"/>
    </row>
    <row r="231" spans="1:12" customHeight="1" ht="105" outlineLevel="5">
      <c r="A231" s="1"/>
      <c r="B231" s="1">
        <v>819997</v>
      </c>
      <c r="C231" s="1" t="s">
        <v>852</v>
      </c>
      <c r="D231" s="1" t="s">
        <v>853</v>
      </c>
      <c r="E231" s="2" t="s">
        <v>854</v>
      </c>
      <c r="F231" s="2" t="s">
        <v>855</v>
      </c>
      <c r="G231" s="2">
        <v>0</v>
      </c>
      <c r="H231" s="2" t="s">
        <v>23</v>
      </c>
      <c r="I231" s="1">
        <v>0</v>
      </c>
      <c r="J231" s="3" t="s">
        <v>207</v>
      </c>
      <c r="K231" s="2" t="str">
        <f>J231*304.00</f>
        <v>0</v>
      </c>
      <c r="L231" s="5"/>
    </row>
    <row r="232" spans="1:12" customHeight="1" ht="105" outlineLevel="5">
      <c r="A232" s="1"/>
      <c r="B232" s="1">
        <v>819998</v>
      </c>
      <c r="C232" s="1" t="s">
        <v>856</v>
      </c>
      <c r="D232" s="1" t="s">
        <v>857</v>
      </c>
      <c r="E232" s="2" t="s">
        <v>858</v>
      </c>
      <c r="F232" s="2" t="s">
        <v>614</v>
      </c>
      <c r="G232" s="2" t="s">
        <v>28</v>
      </c>
      <c r="H232" s="2">
        <v>0</v>
      </c>
      <c r="I232" s="1">
        <v>0</v>
      </c>
      <c r="J232" s="3" t="s">
        <v>207</v>
      </c>
      <c r="K232" s="2" t="str">
        <f>J232*462.00</f>
        <v>0</v>
      </c>
      <c r="L232" s="5"/>
    </row>
    <row r="233" spans="1:12" customHeight="1" ht="105" outlineLevel="5">
      <c r="A233" s="1"/>
      <c r="B233" s="1">
        <v>819999</v>
      </c>
      <c r="C233" s="1" t="s">
        <v>859</v>
      </c>
      <c r="D233" s="1" t="s">
        <v>860</v>
      </c>
      <c r="E233" s="2" t="s">
        <v>861</v>
      </c>
      <c r="F233" s="2" t="s">
        <v>862</v>
      </c>
      <c r="G233" s="2" t="s">
        <v>28</v>
      </c>
      <c r="H233" s="2" t="s">
        <v>23</v>
      </c>
      <c r="I233" s="1">
        <v>0</v>
      </c>
      <c r="J233" s="3" t="s">
        <v>207</v>
      </c>
      <c r="K233" s="2" t="str">
        <f>J233*406.00</f>
        <v>0</v>
      </c>
      <c r="L233" s="5"/>
    </row>
    <row r="234" spans="1:12" customHeight="1" ht="105" outlineLevel="5">
      <c r="A234" s="1"/>
      <c r="B234" s="1">
        <v>820000</v>
      </c>
      <c r="C234" s="1" t="s">
        <v>863</v>
      </c>
      <c r="D234" s="1" t="s">
        <v>864</v>
      </c>
      <c r="E234" s="2" t="s">
        <v>865</v>
      </c>
      <c r="F234" s="2" t="s">
        <v>866</v>
      </c>
      <c r="G234" s="2" t="s">
        <v>33</v>
      </c>
      <c r="H234" s="2">
        <v>0</v>
      </c>
      <c r="I234" s="1">
        <v>0</v>
      </c>
      <c r="J234" s="3" t="s">
        <v>207</v>
      </c>
      <c r="K234" s="2" t="str">
        <f>J234*469.00</f>
        <v>0</v>
      </c>
      <c r="L234" s="5"/>
    </row>
    <row r="235" spans="1:12" customHeight="1" ht="105" outlineLevel="5">
      <c r="A235" s="1"/>
      <c r="B235" s="1">
        <v>820001</v>
      </c>
      <c r="C235" s="1" t="s">
        <v>867</v>
      </c>
      <c r="D235" s="1" t="s">
        <v>868</v>
      </c>
      <c r="E235" s="2" t="s">
        <v>869</v>
      </c>
      <c r="F235" s="2" t="s">
        <v>870</v>
      </c>
      <c r="G235" s="2">
        <v>8</v>
      </c>
      <c r="H235" s="2" t="s">
        <v>43</v>
      </c>
      <c r="I235" s="1">
        <v>0</v>
      </c>
      <c r="J235" s="3" t="s">
        <v>207</v>
      </c>
      <c r="K235" s="2" t="str">
        <f>J235*428.00</f>
        <v>0</v>
      </c>
      <c r="L235" s="5"/>
    </row>
    <row r="236" spans="1:12" customHeight="1" ht="105" outlineLevel="5">
      <c r="A236" s="1"/>
      <c r="B236" s="1">
        <v>820002</v>
      </c>
      <c r="C236" s="1" t="s">
        <v>871</v>
      </c>
      <c r="D236" s="1" t="s">
        <v>872</v>
      </c>
      <c r="E236" s="2" t="s">
        <v>873</v>
      </c>
      <c r="F236" s="2" t="s">
        <v>27</v>
      </c>
      <c r="G236" s="2" t="s">
        <v>23</v>
      </c>
      <c r="H236" s="2" t="s">
        <v>34</v>
      </c>
      <c r="I236" s="1">
        <v>0</v>
      </c>
      <c r="J236" s="3" t="s">
        <v>207</v>
      </c>
      <c r="K236" s="2" t="str">
        <f>J236*542.00</f>
        <v>0</v>
      </c>
      <c r="L236" s="5"/>
    </row>
    <row r="237" spans="1:12" customHeight="1" ht="105" outlineLevel="5">
      <c r="A237" s="1"/>
      <c r="B237" s="1">
        <v>820003</v>
      </c>
      <c r="C237" s="1" t="s">
        <v>874</v>
      </c>
      <c r="D237" s="1" t="s">
        <v>875</v>
      </c>
      <c r="E237" s="2" t="s">
        <v>876</v>
      </c>
      <c r="F237" s="2" t="s">
        <v>877</v>
      </c>
      <c r="G237" s="2" t="s">
        <v>28</v>
      </c>
      <c r="H237" s="2" t="s">
        <v>34</v>
      </c>
      <c r="I237" s="1">
        <v>0</v>
      </c>
      <c r="J237" s="3" t="s">
        <v>207</v>
      </c>
      <c r="K237" s="2" t="str">
        <f>J237*624.00</f>
        <v>0</v>
      </c>
      <c r="L237" s="5"/>
    </row>
    <row r="238" spans="1:12" customHeight="1" ht="105" outlineLevel="5">
      <c r="A238" s="1"/>
      <c r="B238" s="1">
        <v>820004</v>
      </c>
      <c r="C238" s="1" t="s">
        <v>878</v>
      </c>
      <c r="D238" s="1" t="s">
        <v>879</v>
      </c>
      <c r="E238" s="2" t="s">
        <v>880</v>
      </c>
      <c r="F238" s="2" t="s">
        <v>881</v>
      </c>
      <c r="G238" s="2">
        <v>4</v>
      </c>
      <c r="H238" s="2" t="s">
        <v>33</v>
      </c>
      <c r="I238" s="1">
        <v>0</v>
      </c>
      <c r="J238" s="3" t="s">
        <v>207</v>
      </c>
      <c r="K238" s="2" t="str">
        <f>J238*557.00</f>
        <v>0</v>
      </c>
      <c r="L238" s="5"/>
    </row>
    <row r="239" spans="1:12" customHeight="1" ht="105" outlineLevel="5">
      <c r="A239" s="1"/>
      <c r="B239" s="1">
        <v>820005</v>
      </c>
      <c r="C239" s="1" t="s">
        <v>882</v>
      </c>
      <c r="D239" s="1" t="s">
        <v>883</v>
      </c>
      <c r="E239" s="2" t="s">
        <v>884</v>
      </c>
      <c r="F239" s="2" t="s">
        <v>885</v>
      </c>
      <c r="G239" s="2" t="s">
        <v>28</v>
      </c>
      <c r="H239" s="2" t="s">
        <v>23</v>
      </c>
      <c r="I239" s="1">
        <v>0</v>
      </c>
      <c r="J239" s="3" t="s">
        <v>207</v>
      </c>
      <c r="K239" s="2" t="str">
        <f>J239*544.00</f>
        <v>0</v>
      </c>
      <c r="L239" s="5"/>
    </row>
    <row r="240" spans="1:12" customHeight="1" ht="105" outlineLevel="5">
      <c r="A240" s="1"/>
      <c r="B240" s="1">
        <v>820006</v>
      </c>
      <c r="C240" s="1" t="s">
        <v>886</v>
      </c>
      <c r="D240" s="1" t="s">
        <v>887</v>
      </c>
      <c r="E240" s="2" t="s">
        <v>888</v>
      </c>
      <c r="F240" s="2" t="s">
        <v>889</v>
      </c>
      <c r="G240" s="2">
        <v>0</v>
      </c>
      <c r="H240" s="2" t="s">
        <v>23</v>
      </c>
      <c r="I240" s="1">
        <v>0</v>
      </c>
      <c r="J240" s="3" t="s">
        <v>207</v>
      </c>
      <c r="K240" s="2" t="str">
        <f>J240*811.00</f>
        <v>0</v>
      </c>
      <c r="L240" s="5"/>
    </row>
    <row r="241" spans="1:12" customHeight="1" ht="105" outlineLevel="5">
      <c r="A241" s="1"/>
      <c r="B241" s="1">
        <v>820007</v>
      </c>
      <c r="C241" s="1" t="s">
        <v>890</v>
      </c>
      <c r="D241" s="1" t="s">
        <v>891</v>
      </c>
      <c r="E241" s="2" t="s">
        <v>892</v>
      </c>
      <c r="F241" s="2" t="s">
        <v>893</v>
      </c>
      <c r="G241" s="2">
        <v>0</v>
      </c>
      <c r="H241" s="2" t="s">
        <v>33</v>
      </c>
      <c r="I241" s="1">
        <v>0</v>
      </c>
      <c r="J241" s="3" t="s">
        <v>207</v>
      </c>
      <c r="K241" s="2" t="str">
        <f>J241*668.00</f>
        <v>0</v>
      </c>
      <c r="L241" s="5"/>
    </row>
    <row r="242" spans="1:12" customHeight="1" ht="105" outlineLevel="5">
      <c r="A242" s="1"/>
      <c r="B242" s="1">
        <v>820008</v>
      </c>
      <c r="C242" s="1" t="s">
        <v>894</v>
      </c>
      <c r="D242" s="1" t="s">
        <v>895</v>
      </c>
      <c r="E242" s="2" t="s">
        <v>896</v>
      </c>
      <c r="F242" s="2" t="s">
        <v>897</v>
      </c>
      <c r="G242" s="2">
        <v>2</v>
      </c>
      <c r="H242" s="2" t="s">
        <v>23</v>
      </c>
      <c r="I242" s="1">
        <v>0</v>
      </c>
      <c r="J242" s="3" t="s">
        <v>207</v>
      </c>
      <c r="K242" s="2" t="str">
        <f>J242*718.00</f>
        <v>0</v>
      </c>
      <c r="L242" s="5"/>
    </row>
    <row r="243" spans="1:12" customHeight="1" ht="105" outlineLevel="5">
      <c r="A243" s="1"/>
      <c r="B243" s="1">
        <v>820009</v>
      </c>
      <c r="C243" s="1" t="s">
        <v>898</v>
      </c>
      <c r="D243" s="1" t="s">
        <v>899</v>
      </c>
      <c r="E243" s="2" t="s">
        <v>900</v>
      </c>
      <c r="F243" s="2" t="s">
        <v>32</v>
      </c>
      <c r="G243" s="2">
        <v>0</v>
      </c>
      <c r="H243" s="2" t="s">
        <v>23</v>
      </c>
      <c r="I243" s="1">
        <v>0</v>
      </c>
      <c r="J243" s="3" t="s">
        <v>207</v>
      </c>
      <c r="K243" s="2" t="str">
        <f>J243*756.00</f>
        <v>0</v>
      </c>
      <c r="L243" s="5"/>
    </row>
    <row r="244" spans="1:12" customHeight="1" ht="105" outlineLevel="5">
      <c r="A244" s="1"/>
      <c r="B244" s="1">
        <v>820010</v>
      </c>
      <c r="C244" s="1" t="s">
        <v>901</v>
      </c>
      <c r="D244" s="1" t="s">
        <v>902</v>
      </c>
      <c r="E244" s="2" t="s">
        <v>903</v>
      </c>
      <c r="F244" s="2" t="s">
        <v>904</v>
      </c>
      <c r="G244" s="2">
        <v>0</v>
      </c>
      <c r="H244" s="2" t="s">
        <v>23</v>
      </c>
      <c r="I244" s="1">
        <v>0</v>
      </c>
      <c r="J244" s="3" t="s">
        <v>207</v>
      </c>
      <c r="K244" s="2" t="str">
        <f>J244*1117.00</f>
        <v>0</v>
      </c>
      <c r="L244" s="5"/>
    </row>
    <row r="245" spans="1:12" customHeight="1" ht="105" outlineLevel="5">
      <c r="A245" s="1"/>
      <c r="B245" s="1">
        <v>820011</v>
      </c>
      <c r="C245" s="1" t="s">
        <v>905</v>
      </c>
      <c r="D245" s="1" t="s">
        <v>906</v>
      </c>
      <c r="E245" s="2" t="s">
        <v>907</v>
      </c>
      <c r="F245" s="2" t="s">
        <v>908</v>
      </c>
      <c r="G245" s="2">
        <v>3</v>
      </c>
      <c r="H245" s="2" t="s">
        <v>23</v>
      </c>
      <c r="I245" s="1">
        <v>0</v>
      </c>
      <c r="J245" s="3" t="s">
        <v>207</v>
      </c>
      <c r="K245" s="2" t="str">
        <f>J245*1054.00</f>
        <v>0</v>
      </c>
      <c r="L245" s="5"/>
    </row>
    <row r="246" spans="1:12" customHeight="1" ht="105" outlineLevel="5">
      <c r="A246" s="1"/>
      <c r="B246" s="1">
        <v>820012</v>
      </c>
      <c r="C246" s="1" t="s">
        <v>909</v>
      </c>
      <c r="D246" s="1" t="s">
        <v>910</v>
      </c>
      <c r="E246" s="2" t="s">
        <v>911</v>
      </c>
      <c r="F246" s="2" t="s">
        <v>912</v>
      </c>
      <c r="G246" s="2">
        <v>0</v>
      </c>
      <c r="H246" s="2" t="s">
        <v>23</v>
      </c>
      <c r="I246" s="1">
        <v>0</v>
      </c>
      <c r="J246" s="3" t="s">
        <v>207</v>
      </c>
      <c r="K246" s="2" t="str">
        <f>J246*1476.00</f>
        <v>0</v>
      </c>
      <c r="L246" s="5"/>
    </row>
    <row r="247" spans="1:12" customHeight="1" ht="105" outlineLevel="5">
      <c r="A247" s="1"/>
      <c r="B247" s="1">
        <v>820013</v>
      </c>
      <c r="C247" s="1" t="s">
        <v>913</v>
      </c>
      <c r="D247" s="1" t="s">
        <v>914</v>
      </c>
      <c r="E247" s="2" t="s">
        <v>915</v>
      </c>
      <c r="F247" s="2" t="s">
        <v>916</v>
      </c>
      <c r="G247" s="2">
        <v>0</v>
      </c>
      <c r="H247" s="2" t="s">
        <v>90</v>
      </c>
      <c r="I247" s="1">
        <v>0</v>
      </c>
      <c r="J247" s="3" t="s">
        <v>207</v>
      </c>
      <c r="K247" s="2" t="str">
        <f>J247*1325.00</f>
        <v>0</v>
      </c>
      <c r="L247" s="5"/>
    </row>
    <row r="248" spans="1:12" customHeight="1" ht="105" outlineLevel="5">
      <c r="A248" s="1"/>
      <c r="B248" s="1">
        <v>820014</v>
      </c>
      <c r="C248" s="1" t="s">
        <v>917</v>
      </c>
      <c r="D248" s="1" t="s">
        <v>918</v>
      </c>
      <c r="E248" s="2" t="s">
        <v>919</v>
      </c>
      <c r="F248" s="2" t="s">
        <v>920</v>
      </c>
      <c r="G248" s="2">
        <v>10</v>
      </c>
      <c r="H248" s="2" t="s">
        <v>23</v>
      </c>
      <c r="I248" s="1">
        <v>0</v>
      </c>
      <c r="J248" s="3" t="s">
        <v>207</v>
      </c>
      <c r="K248" s="2" t="str">
        <f>J248*484.00</f>
        <v>0</v>
      </c>
      <c r="L248" s="5"/>
    </row>
    <row r="249" spans="1:12" customHeight="1" ht="105" outlineLevel="5">
      <c r="A249" s="1"/>
      <c r="B249" s="1">
        <v>820015</v>
      </c>
      <c r="C249" s="1" t="s">
        <v>921</v>
      </c>
      <c r="D249" s="1" t="s">
        <v>922</v>
      </c>
      <c r="E249" s="2" t="s">
        <v>923</v>
      </c>
      <c r="F249" s="2" t="s">
        <v>571</v>
      </c>
      <c r="G249" s="2">
        <v>7</v>
      </c>
      <c r="H249" s="2" t="s">
        <v>23</v>
      </c>
      <c r="I249" s="1">
        <v>0</v>
      </c>
      <c r="J249" s="3" t="s">
        <v>207</v>
      </c>
      <c r="K249" s="2" t="str">
        <f>J249*580.00</f>
        <v>0</v>
      </c>
      <c r="L249" s="5"/>
    </row>
    <row r="250" spans="1:12" customHeight="1" ht="105" outlineLevel="5">
      <c r="A250" s="1"/>
      <c r="B250" s="1">
        <v>820016</v>
      </c>
      <c r="C250" s="1" t="s">
        <v>924</v>
      </c>
      <c r="D250" s="1" t="s">
        <v>925</v>
      </c>
      <c r="E250" s="2" t="s">
        <v>926</v>
      </c>
      <c r="F250" s="2" t="s">
        <v>927</v>
      </c>
      <c r="G250" s="2">
        <v>10</v>
      </c>
      <c r="H250" s="2" t="s">
        <v>23</v>
      </c>
      <c r="I250" s="1">
        <v>0</v>
      </c>
      <c r="J250" s="3" t="s">
        <v>207</v>
      </c>
      <c r="K250" s="2" t="str">
        <f>J250*743.00</f>
        <v>0</v>
      </c>
      <c r="L250" s="5"/>
    </row>
    <row r="251" spans="1:12" customHeight="1" ht="105" outlineLevel="5">
      <c r="A251" s="1"/>
      <c r="B251" s="1">
        <v>820017</v>
      </c>
      <c r="C251" s="1" t="s">
        <v>928</v>
      </c>
      <c r="D251" s="1" t="s">
        <v>929</v>
      </c>
      <c r="E251" s="2" t="s">
        <v>930</v>
      </c>
      <c r="F251" s="2" t="s">
        <v>931</v>
      </c>
      <c r="G251" s="2">
        <v>8</v>
      </c>
      <c r="H251" s="2" t="s">
        <v>23</v>
      </c>
      <c r="I251" s="1">
        <v>0</v>
      </c>
      <c r="J251" s="3" t="s">
        <v>207</v>
      </c>
      <c r="K251" s="2" t="str">
        <f>J251*604.00</f>
        <v>0</v>
      </c>
      <c r="L251" s="5"/>
    </row>
    <row r="252" spans="1:12" customHeight="1" ht="105" outlineLevel="5">
      <c r="A252" s="1"/>
      <c r="B252" s="1">
        <v>820018</v>
      </c>
      <c r="C252" s="1" t="s">
        <v>932</v>
      </c>
      <c r="D252" s="1" t="s">
        <v>933</v>
      </c>
      <c r="E252" s="2" t="s">
        <v>934</v>
      </c>
      <c r="F252" s="2" t="s">
        <v>935</v>
      </c>
      <c r="G252" s="2">
        <v>1</v>
      </c>
      <c r="H252" s="2" t="s">
        <v>90</v>
      </c>
      <c r="I252" s="1">
        <v>0</v>
      </c>
      <c r="J252" s="3" t="s">
        <v>207</v>
      </c>
      <c r="K252" s="2" t="str">
        <f>J252*746.00</f>
        <v>0</v>
      </c>
      <c r="L252" s="5"/>
    </row>
    <row r="253" spans="1:12" customHeight="1" ht="105" outlineLevel="5">
      <c r="A253" s="1"/>
      <c r="B253" s="1">
        <v>820019</v>
      </c>
      <c r="C253" s="1" t="s">
        <v>936</v>
      </c>
      <c r="D253" s="1" t="s">
        <v>937</v>
      </c>
      <c r="E253" s="2" t="s">
        <v>938</v>
      </c>
      <c r="F253" s="2" t="s">
        <v>939</v>
      </c>
      <c r="G253" s="2" t="s">
        <v>28</v>
      </c>
      <c r="H253" s="2" t="s">
        <v>23</v>
      </c>
      <c r="I253" s="1">
        <v>0</v>
      </c>
      <c r="J253" s="3" t="s">
        <v>207</v>
      </c>
      <c r="K253" s="2" t="str">
        <f>J253*722.00</f>
        <v>0</v>
      </c>
      <c r="L253" s="5"/>
    </row>
    <row r="254" spans="1:12" customHeight="1" ht="105" outlineLevel="5">
      <c r="A254" s="1"/>
      <c r="B254" s="1">
        <v>820020</v>
      </c>
      <c r="C254" s="1" t="s">
        <v>940</v>
      </c>
      <c r="D254" s="1" t="s">
        <v>941</v>
      </c>
      <c r="E254" s="2" t="s">
        <v>942</v>
      </c>
      <c r="F254" s="2" t="s">
        <v>943</v>
      </c>
      <c r="G254" s="2">
        <v>2</v>
      </c>
      <c r="H254" s="2" t="s">
        <v>33</v>
      </c>
      <c r="I254" s="1">
        <v>0</v>
      </c>
      <c r="J254" s="3" t="s">
        <v>207</v>
      </c>
      <c r="K254" s="2" t="str">
        <f>J254*791.00</f>
        <v>0</v>
      </c>
      <c r="L254" s="5"/>
    </row>
    <row r="255" spans="1:12" customHeight="1" ht="105" outlineLevel="5">
      <c r="A255" s="1"/>
      <c r="B255" s="1">
        <v>820021</v>
      </c>
      <c r="C255" s="1" t="s">
        <v>944</v>
      </c>
      <c r="D255" s="1" t="s">
        <v>945</v>
      </c>
      <c r="E255" s="2" t="s">
        <v>946</v>
      </c>
      <c r="F255" s="2" t="s">
        <v>947</v>
      </c>
      <c r="G255" s="2">
        <v>2</v>
      </c>
      <c r="H255" s="2" t="s">
        <v>90</v>
      </c>
      <c r="I255" s="1">
        <v>0</v>
      </c>
      <c r="J255" s="3" t="s">
        <v>207</v>
      </c>
      <c r="K255" s="2" t="str">
        <f>J255*1042.00</f>
        <v>0</v>
      </c>
      <c r="L255" s="5"/>
    </row>
    <row r="256" spans="1:12" customHeight="1" ht="105" outlineLevel="5">
      <c r="A256" s="1"/>
      <c r="B256" s="1">
        <v>820022</v>
      </c>
      <c r="C256" s="1" t="s">
        <v>948</v>
      </c>
      <c r="D256" s="1" t="s">
        <v>949</v>
      </c>
      <c r="E256" s="2" t="s">
        <v>950</v>
      </c>
      <c r="F256" s="2" t="s">
        <v>951</v>
      </c>
      <c r="G256" s="2">
        <v>0</v>
      </c>
      <c r="H256" s="2" t="s">
        <v>90</v>
      </c>
      <c r="I256" s="1">
        <v>0</v>
      </c>
      <c r="J256" s="3" t="s">
        <v>207</v>
      </c>
      <c r="K256" s="2" t="str">
        <f>J256*1144.00</f>
        <v>0</v>
      </c>
      <c r="L256" s="5"/>
    </row>
    <row r="257" spans="1:12" customHeight="1" ht="105" outlineLevel="5">
      <c r="A257" s="1"/>
      <c r="B257" s="1">
        <v>820023</v>
      </c>
      <c r="C257" s="1" t="s">
        <v>952</v>
      </c>
      <c r="D257" s="1" t="s">
        <v>953</v>
      </c>
      <c r="E257" s="2" t="s">
        <v>954</v>
      </c>
      <c r="F257" s="2" t="s">
        <v>955</v>
      </c>
      <c r="G257" s="2">
        <v>0</v>
      </c>
      <c r="H257" s="2" t="s">
        <v>43</v>
      </c>
      <c r="I257" s="1">
        <v>0</v>
      </c>
      <c r="J257" s="3" t="s">
        <v>207</v>
      </c>
      <c r="K257" s="2" t="str">
        <f>J257*1364.00</f>
        <v>0</v>
      </c>
      <c r="L257" s="5"/>
    </row>
    <row r="258" spans="1:12" customHeight="1" ht="105" outlineLevel="5">
      <c r="A258" s="1"/>
      <c r="B258" s="1">
        <v>820024</v>
      </c>
      <c r="C258" s="1" t="s">
        <v>956</v>
      </c>
      <c r="D258" s="1" t="s">
        <v>957</v>
      </c>
      <c r="E258" s="2" t="s">
        <v>958</v>
      </c>
      <c r="F258" s="2" t="s">
        <v>959</v>
      </c>
      <c r="G258" s="2">
        <v>7</v>
      </c>
      <c r="H258" s="2" t="s">
        <v>33</v>
      </c>
      <c r="I258" s="1">
        <v>0</v>
      </c>
      <c r="J258" s="3" t="s">
        <v>207</v>
      </c>
      <c r="K258" s="2" t="str">
        <f>J258*472.00</f>
        <v>0</v>
      </c>
      <c r="L258" s="5"/>
    </row>
    <row r="259" spans="1:12" customHeight="1" ht="105" outlineLevel="5">
      <c r="A259" s="1"/>
      <c r="B259" s="1">
        <v>820025</v>
      </c>
      <c r="C259" s="1" t="s">
        <v>960</v>
      </c>
      <c r="D259" s="1" t="s">
        <v>961</v>
      </c>
      <c r="E259" s="2" t="s">
        <v>962</v>
      </c>
      <c r="F259" s="2" t="s">
        <v>785</v>
      </c>
      <c r="G259" s="2">
        <v>9</v>
      </c>
      <c r="H259" s="2" t="s">
        <v>23</v>
      </c>
      <c r="I259" s="1">
        <v>0</v>
      </c>
      <c r="J259" s="3" t="s">
        <v>207</v>
      </c>
      <c r="K259" s="2" t="str">
        <f>J259*583.00</f>
        <v>0</v>
      </c>
      <c r="L259" s="5"/>
    </row>
    <row r="260" spans="1:12" customHeight="1" ht="105" outlineLevel="5">
      <c r="A260" s="1"/>
      <c r="B260" s="1">
        <v>820026</v>
      </c>
      <c r="C260" s="1" t="s">
        <v>963</v>
      </c>
      <c r="D260" s="1" t="s">
        <v>964</v>
      </c>
      <c r="E260" s="2" t="s">
        <v>965</v>
      </c>
      <c r="F260" s="2" t="s">
        <v>966</v>
      </c>
      <c r="G260" s="2">
        <v>9</v>
      </c>
      <c r="H260" s="2" t="s">
        <v>23</v>
      </c>
      <c r="I260" s="1">
        <v>0</v>
      </c>
      <c r="J260" s="3" t="s">
        <v>207</v>
      </c>
      <c r="K260" s="2" t="str">
        <f>J260*689.00</f>
        <v>0</v>
      </c>
      <c r="L260" s="5"/>
    </row>
    <row r="261" spans="1:12" customHeight="1" ht="105" outlineLevel="5">
      <c r="A261" s="1"/>
      <c r="B261" s="1">
        <v>820027</v>
      </c>
      <c r="C261" s="1" t="s">
        <v>967</v>
      </c>
      <c r="D261" s="1" t="s">
        <v>968</v>
      </c>
      <c r="E261" s="2" t="s">
        <v>969</v>
      </c>
      <c r="F261" s="2" t="s">
        <v>970</v>
      </c>
      <c r="G261" s="2">
        <v>6</v>
      </c>
      <c r="H261" s="2" t="s">
        <v>23</v>
      </c>
      <c r="I261" s="1">
        <v>0</v>
      </c>
      <c r="J261" s="3" t="s">
        <v>207</v>
      </c>
      <c r="K261" s="2" t="str">
        <f>J261*650.00</f>
        <v>0</v>
      </c>
      <c r="L261" s="5"/>
    </row>
    <row r="262" spans="1:12" customHeight="1" ht="105" outlineLevel="5">
      <c r="A262" s="1"/>
      <c r="B262" s="1">
        <v>820028</v>
      </c>
      <c r="C262" s="1" t="s">
        <v>971</v>
      </c>
      <c r="D262" s="1" t="s">
        <v>972</v>
      </c>
      <c r="E262" s="2" t="s">
        <v>973</v>
      </c>
      <c r="F262" s="2" t="s">
        <v>974</v>
      </c>
      <c r="G262" s="2">
        <v>0</v>
      </c>
      <c r="H262" s="2" t="s">
        <v>23</v>
      </c>
      <c r="I262" s="1">
        <v>0</v>
      </c>
      <c r="J262" s="3" t="s">
        <v>207</v>
      </c>
      <c r="K262" s="2" t="str">
        <f>J262*631.00</f>
        <v>0</v>
      </c>
      <c r="L262" s="5"/>
    </row>
    <row r="263" spans="1:12" customHeight="1" ht="105" outlineLevel="5">
      <c r="A263" s="1"/>
      <c r="B263" s="1">
        <v>820029</v>
      </c>
      <c r="C263" s="1" t="s">
        <v>975</v>
      </c>
      <c r="D263" s="1" t="s">
        <v>976</v>
      </c>
      <c r="E263" s="2" t="s">
        <v>977</v>
      </c>
      <c r="F263" s="2" t="s">
        <v>978</v>
      </c>
      <c r="G263" s="2">
        <v>4</v>
      </c>
      <c r="H263" s="2" t="s">
        <v>23</v>
      </c>
      <c r="I263" s="1">
        <v>0</v>
      </c>
      <c r="J263" s="3" t="s">
        <v>207</v>
      </c>
      <c r="K263" s="2" t="str">
        <f>J263*693.00</f>
        <v>0</v>
      </c>
      <c r="L263" s="5"/>
    </row>
    <row r="264" spans="1:12" customHeight="1" ht="105" outlineLevel="5">
      <c r="A264" s="1"/>
      <c r="B264" s="1">
        <v>820030</v>
      </c>
      <c r="C264" s="1" t="s">
        <v>979</v>
      </c>
      <c r="D264" s="1" t="s">
        <v>980</v>
      </c>
      <c r="E264" s="2" t="s">
        <v>981</v>
      </c>
      <c r="F264" s="2" t="s">
        <v>982</v>
      </c>
      <c r="G264" s="2">
        <v>0</v>
      </c>
      <c r="H264" s="2" t="s">
        <v>90</v>
      </c>
      <c r="I264" s="1">
        <v>0</v>
      </c>
      <c r="J264" s="3" t="s">
        <v>207</v>
      </c>
      <c r="K264" s="2" t="str">
        <f>J264*761.00</f>
        <v>0</v>
      </c>
      <c r="L264" s="5"/>
    </row>
    <row r="265" spans="1:12" customHeight="1" ht="105" outlineLevel="5">
      <c r="A265" s="1"/>
      <c r="B265" s="1">
        <v>820031</v>
      </c>
      <c r="C265" s="1" t="s">
        <v>983</v>
      </c>
      <c r="D265" s="1" t="s">
        <v>984</v>
      </c>
      <c r="E265" s="2" t="s">
        <v>985</v>
      </c>
      <c r="F265" s="2" t="s">
        <v>734</v>
      </c>
      <c r="G265" s="2">
        <v>6</v>
      </c>
      <c r="H265" s="2" t="s">
        <v>90</v>
      </c>
      <c r="I265" s="1">
        <v>0</v>
      </c>
      <c r="J265" s="3" t="s">
        <v>207</v>
      </c>
      <c r="K265" s="2" t="str">
        <f>J265*943.00</f>
        <v>0</v>
      </c>
      <c r="L265" s="5"/>
    </row>
    <row r="266" spans="1:12" customHeight="1" ht="105" outlineLevel="5">
      <c r="A266" s="1"/>
      <c r="B266" s="1">
        <v>820032</v>
      </c>
      <c r="C266" s="1" t="s">
        <v>986</v>
      </c>
      <c r="D266" s="1" t="s">
        <v>987</v>
      </c>
      <c r="E266" s="2" t="s">
        <v>988</v>
      </c>
      <c r="F266" s="2" t="s">
        <v>989</v>
      </c>
      <c r="G266" s="2">
        <v>0</v>
      </c>
      <c r="H266" s="2" t="s">
        <v>90</v>
      </c>
      <c r="I266" s="1">
        <v>0</v>
      </c>
      <c r="J266" s="3" t="s">
        <v>207</v>
      </c>
      <c r="K266" s="2" t="str">
        <f>J266*1115.00</f>
        <v>0</v>
      </c>
      <c r="L266" s="5"/>
    </row>
    <row r="267" spans="1:12" customHeight="1" ht="105" outlineLevel="5">
      <c r="A267" s="1"/>
      <c r="B267" s="1">
        <v>820033</v>
      </c>
      <c r="C267" s="1" t="s">
        <v>990</v>
      </c>
      <c r="D267" s="1" t="s">
        <v>991</v>
      </c>
      <c r="E267" s="2" t="s">
        <v>992</v>
      </c>
      <c r="F267" s="2" t="s">
        <v>993</v>
      </c>
      <c r="G267" s="2">
        <v>0</v>
      </c>
      <c r="H267" s="2" t="s">
        <v>34</v>
      </c>
      <c r="I267" s="1">
        <v>0</v>
      </c>
      <c r="J267" s="3" t="s">
        <v>207</v>
      </c>
      <c r="K267" s="2" t="str">
        <f>J267*1532.00</f>
        <v>0</v>
      </c>
      <c r="L267" s="5"/>
    </row>
    <row r="268" spans="1:12" customHeight="1" ht="105" outlineLevel="5">
      <c r="A268" s="1"/>
      <c r="B268" s="1">
        <v>820034</v>
      </c>
      <c r="C268" s="1" t="s">
        <v>994</v>
      </c>
      <c r="D268" s="1" t="s">
        <v>995</v>
      </c>
      <c r="E268" s="2" t="s">
        <v>996</v>
      </c>
      <c r="F268" s="2" t="s">
        <v>997</v>
      </c>
      <c r="G268" s="2" t="s">
        <v>28</v>
      </c>
      <c r="H268" s="2" t="s">
        <v>23</v>
      </c>
      <c r="I268" s="1">
        <v>0</v>
      </c>
      <c r="J268" s="3" t="s">
        <v>207</v>
      </c>
      <c r="K268" s="2" t="str">
        <f>J268*192.00</f>
        <v>0</v>
      </c>
      <c r="L268" s="5"/>
    </row>
    <row r="269" spans="1:12" customHeight="1" ht="105" outlineLevel="5">
      <c r="A269" s="1"/>
      <c r="B269" s="1">
        <v>820035</v>
      </c>
      <c r="C269" s="1" t="s">
        <v>998</v>
      </c>
      <c r="D269" s="1" t="s">
        <v>999</v>
      </c>
      <c r="E269" s="2" t="s">
        <v>1000</v>
      </c>
      <c r="F269" s="2" t="s">
        <v>1001</v>
      </c>
      <c r="G269" s="2" t="s">
        <v>28</v>
      </c>
      <c r="H269" s="2" t="s">
        <v>34</v>
      </c>
      <c r="I269" s="1">
        <v>0</v>
      </c>
      <c r="J269" s="3" t="s">
        <v>207</v>
      </c>
      <c r="K269" s="2" t="str">
        <f>J269*323.00</f>
        <v>0</v>
      </c>
      <c r="L269" s="5"/>
    </row>
    <row r="270" spans="1:12" customHeight="1" ht="105" outlineLevel="5">
      <c r="A270" s="1"/>
      <c r="B270" s="1">
        <v>820036</v>
      </c>
      <c r="C270" s="1" t="s">
        <v>1002</v>
      </c>
      <c r="D270" s="1" t="s">
        <v>1003</v>
      </c>
      <c r="E270" s="2" t="s">
        <v>1004</v>
      </c>
      <c r="F270" s="2" t="s">
        <v>1005</v>
      </c>
      <c r="G270" s="2" t="s">
        <v>33</v>
      </c>
      <c r="H270" s="2" t="s">
        <v>43</v>
      </c>
      <c r="I270" s="1">
        <v>0</v>
      </c>
      <c r="J270" s="3" t="s">
        <v>207</v>
      </c>
      <c r="K270" s="2" t="str">
        <f>J270*334.00</f>
        <v>0</v>
      </c>
      <c r="L270" s="5"/>
    </row>
    <row r="271" spans="1:12" customHeight="1" ht="105" outlineLevel="5">
      <c r="A271" s="1"/>
      <c r="B271" s="1">
        <v>820037</v>
      </c>
      <c r="C271" s="1" t="s">
        <v>1006</v>
      </c>
      <c r="D271" s="1" t="s">
        <v>1007</v>
      </c>
      <c r="E271" s="2" t="s">
        <v>1008</v>
      </c>
      <c r="F271" s="2" t="s">
        <v>1009</v>
      </c>
      <c r="G271" s="2" t="s">
        <v>33</v>
      </c>
      <c r="H271" s="2" t="s">
        <v>43</v>
      </c>
      <c r="I271" s="1">
        <v>0</v>
      </c>
      <c r="J271" s="3" t="s">
        <v>207</v>
      </c>
      <c r="K271" s="2" t="str">
        <f>J271*481.00</f>
        <v>0</v>
      </c>
      <c r="L271" s="5"/>
    </row>
    <row r="272" spans="1:12" customHeight="1" ht="105" outlineLevel="5">
      <c r="A272" s="1"/>
      <c r="B272" s="1">
        <v>820038</v>
      </c>
      <c r="C272" s="1" t="s">
        <v>1010</v>
      </c>
      <c r="D272" s="1" t="s">
        <v>1011</v>
      </c>
      <c r="E272" s="2" t="s">
        <v>1012</v>
      </c>
      <c r="F272" s="2" t="s">
        <v>1013</v>
      </c>
      <c r="G272" s="2">
        <v>1</v>
      </c>
      <c r="H272" s="2" t="s">
        <v>23</v>
      </c>
      <c r="I272" s="1">
        <v>0</v>
      </c>
      <c r="J272" s="3" t="s">
        <v>207</v>
      </c>
      <c r="K272" s="2" t="str">
        <f>J272*655.00</f>
        <v>0</v>
      </c>
      <c r="L272" s="5"/>
    </row>
    <row r="273" spans="1:12" customHeight="1" ht="105" outlineLevel="5">
      <c r="A273" s="1"/>
      <c r="B273" s="1">
        <v>820039</v>
      </c>
      <c r="C273" s="1" t="s">
        <v>1014</v>
      </c>
      <c r="D273" s="1" t="s">
        <v>1015</v>
      </c>
      <c r="E273" s="2" t="s">
        <v>1016</v>
      </c>
      <c r="F273" s="2" t="s">
        <v>1017</v>
      </c>
      <c r="G273" s="2">
        <v>2</v>
      </c>
      <c r="H273" s="2" t="s">
        <v>90</v>
      </c>
      <c r="I273" s="1">
        <v>0</v>
      </c>
      <c r="J273" s="3" t="s">
        <v>207</v>
      </c>
      <c r="K273" s="2" t="str">
        <f>J273*1008.00</f>
        <v>0</v>
      </c>
      <c r="L273" s="5"/>
    </row>
    <row r="274" spans="1:12" customHeight="1" ht="105" outlineLevel="5">
      <c r="A274" s="1"/>
      <c r="B274" s="1">
        <v>820040</v>
      </c>
      <c r="C274" s="1" t="s">
        <v>1018</v>
      </c>
      <c r="D274" s="1" t="s">
        <v>1019</v>
      </c>
      <c r="E274" s="2" t="s">
        <v>1020</v>
      </c>
      <c r="F274" s="2" t="s">
        <v>1021</v>
      </c>
      <c r="G274" s="2">
        <v>0</v>
      </c>
      <c r="H274" s="2" t="s">
        <v>33</v>
      </c>
      <c r="I274" s="1">
        <v>0</v>
      </c>
      <c r="J274" s="3" t="s">
        <v>207</v>
      </c>
      <c r="K274" s="2" t="str">
        <f>J274*1198.00</f>
        <v>0</v>
      </c>
      <c r="L274" s="5"/>
    </row>
    <row r="275" spans="1:12" customHeight="1" ht="105" outlineLevel="5">
      <c r="A275" s="1"/>
      <c r="B275" s="1">
        <v>820041</v>
      </c>
      <c r="C275" s="1" t="s">
        <v>1022</v>
      </c>
      <c r="D275" s="1" t="s">
        <v>1023</v>
      </c>
      <c r="E275" s="2" t="s">
        <v>1024</v>
      </c>
      <c r="F275" s="2" t="s">
        <v>646</v>
      </c>
      <c r="G275" s="2">
        <v>0</v>
      </c>
      <c r="H275" s="2">
        <v>0</v>
      </c>
      <c r="I275" s="1">
        <v>0</v>
      </c>
      <c r="J275" s="3" t="s">
        <v>207</v>
      </c>
      <c r="K275" s="2" t="str">
        <f>J275*172.00</f>
        <v>0</v>
      </c>
      <c r="L275" s="5"/>
    </row>
    <row r="276" spans="1:12" customHeight="1" ht="105" outlineLevel="5">
      <c r="A276" s="1"/>
      <c r="B276" s="1">
        <v>820042</v>
      </c>
      <c r="C276" s="1" t="s">
        <v>1025</v>
      </c>
      <c r="D276" s="1" t="s">
        <v>1026</v>
      </c>
      <c r="E276" s="2" t="s">
        <v>1027</v>
      </c>
      <c r="F276" s="2" t="s">
        <v>1028</v>
      </c>
      <c r="G276" s="2" t="s">
        <v>90</v>
      </c>
      <c r="H276" s="2" t="s">
        <v>43</v>
      </c>
      <c r="I276" s="1">
        <v>0</v>
      </c>
      <c r="J276" s="3" t="s">
        <v>207</v>
      </c>
      <c r="K276" s="2" t="str">
        <f>J276*207.00</f>
        <v>0</v>
      </c>
      <c r="L276" s="5"/>
    </row>
    <row r="277" spans="1:12" customHeight="1" ht="105" outlineLevel="5">
      <c r="A277" s="1"/>
      <c r="B277" s="1">
        <v>820043</v>
      </c>
      <c r="C277" s="1" t="s">
        <v>1029</v>
      </c>
      <c r="D277" s="1" t="s">
        <v>1030</v>
      </c>
      <c r="E277" s="2" t="s">
        <v>1031</v>
      </c>
      <c r="F277" s="2" t="s">
        <v>1032</v>
      </c>
      <c r="G277" s="2" t="s">
        <v>33</v>
      </c>
      <c r="H277" s="2" t="s">
        <v>43</v>
      </c>
      <c r="I277" s="1">
        <v>0</v>
      </c>
      <c r="J277" s="3" t="s">
        <v>207</v>
      </c>
      <c r="K277" s="2" t="str">
        <f>J277*313.00</f>
        <v>0</v>
      </c>
      <c r="L277" s="5"/>
    </row>
    <row r="278" spans="1:12" customHeight="1" ht="105" outlineLevel="5">
      <c r="A278" s="1"/>
      <c r="B278" s="1">
        <v>820044</v>
      </c>
      <c r="C278" s="1" t="s">
        <v>1033</v>
      </c>
      <c r="D278" s="1" t="s">
        <v>1034</v>
      </c>
      <c r="E278" s="2" t="s">
        <v>1035</v>
      </c>
      <c r="F278" s="2" t="s">
        <v>1036</v>
      </c>
      <c r="G278" s="2" t="s">
        <v>33</v>
      </c>
      <c r="H278" s="2" t="s">
        <v>43</v>
      </c>
      <c r="I278" s="1">
        <v>0</v>
      </c>
      <c r="J278" s="3" t="s">
        <v>207</v>
      </c>
      <c r="K278" s="2" t="str">
        <f>J278*361.00</f>
        <v>0</v>
      </c>
      <c r="L278" s="5"/>
    </row>
    <row r="279" spans="1:12" customHeight="1" ht="105" outlineLevel="5">
      <c r="A279" s="1"/>
      <c r="B279" s="1">
        <v>820045</v>
      </c>
      <c r="C279" s="1" t="s">
        <v>1037</v>
      </c>
      <c r="D279" s="1" t="s">
        <v>1038</v>
      </c>
      <c r="E279" s="2" t="s">
        <v>1039</v>
      </c>
      <c r="F279" s="2" t="s">
        <v>1040</v>
      </c>
      <c r="G279" s="2" t="s">
        <v>90</v>
      </c>
      <c r="H279" s="2" t="s">
        <v>43</v>
      </c>
      <c r="I279" s="1">
        <v>0</v>
      </c>
      <c r="J279" s="3" t="s">
        <v>207</v>
      </c>
      <c r="K279" s="2" t="str">
        <f>J279*496.00</f>
        <v>0</v>
      </c>
      <c r="L279" s="5"/>
    </row>
    <row r="280" spans="1:12" customHeight="1" ht="105" outlineLevel="5">
      <c r="A280" s="1"/>
      <c r="B280" s="1">
        <v>820046</v>
      </c>
      <c r="C280" s="1" t="s">
        <v>1041</v>
      </c>
      <c r="D280" s="1" t="s">
        <v>1042</v>
      </c>
      <c r="E280" s="2" t="s">
        <v>1043</v>
      </c>
      <c r="F280" s="2" t="s">
        <v>1044</v>
      </c>
      <c r="G280" s="2">
        <v>0</v>
      </c>
      <c r="H280" s="2" t="s">
        <v>34</v>
      </c>
      <c r="I280" s="1">
        <v>0</v>
      </c>
      <c r="J280" s="3" t="s">
        <v>207</v>
      </c>
      <c r="K280" s="2" t="str">
        <f>J280*711.00</f>
        <v>0</v>
      </c>
      <c r="L280" s="5"/>
    </row>
    <row r="281" spans="1:12" customHeight="1" ht="105" outlineLevel="5">
      <c r="A281" s="1"/>
      <c r="B281" s="1">
        <v>820047</v>
      </c>
      <c r="C281" s="1" t="s">
        <v>1045</v>
      </c>
      <c r="D281" s="1" t="s">
        <v>1046</v>
      </c>
      <c r="E281" s="2" t="s">
        <v>1047</v>
      </c>
      <c r="F281" s="2" t="s">
        <v>1048</v>
      </c>
      <c r="G281" s="2">
        <v>0</v>
      </c>
      <c r="H281" s="2" t="s">
        <v>23</v>
      </c>
      <c r="I281" s="1">
        <v>0</v>
      </c>
      <c r="J281" s="3" t="s">
        <v>207</v>
      </c>
      <c r="K281" s="2" t="str">
        <f>J281*926.00</f>
        <v>0</v>
      </c>
      <c r="L281" s="5"/>
    </row>
    <row r="282" spans="1:12" customHeight="1" ht="105" outlineLevel="5">
      <c r="A282" s="1"/>
      <c r="B282" s="1">
        <v>820048</v>
      </c>
      <c r="C282" s="1" t="s">
        <v>1049</v>
      </c>
      <c r="D282" s="1" t="s">
        <v>1050</v>
      </c>
      <c r="E282" s="2" t="s">
        <v>1051</v>
      </c>
      <c r="F282" s="2" t="s">
        <v>1052</v>
      </c>
      <c r="G282" s="2">
        <v>0</v>
      </c>
      <c r="H282" s="2" t="s">
        <v>23</v>
      </c>
      <c r="I282" s="1">
        <v>0</v>
      </c>
      <c r="J282" s="3" t="s">
        <v>207</v>
      </c>
      <c r="K282" s="2" t="str">
        <f>J282*1374.00</f>
        <v>0</v>
      </c>
      <c r="L282" s="5"/>
    </row>
    <row r="283" spans="1:12" customHeight="1" ht="105" outlineLevel="5">
      <c r="A283" s="1"/>
      <c r="B283" s="1">
        <v>820049</v>
      </c>
      <c r="C283" s="1" t="s">
        <v>1053</v>
      </c>
      <c r="D283" s="1" t="s">
        <v>1054</v>
      </c>
      <c r="E283" s="2" t="s">
        <v>1055</v>
      </c>
      <c r="F283" s="2" t="s">
        <v>1056</v>
      </c>
      <c r="G283" s="2" t="s">
        <v>28</v>
      </c>
      <c r="H283" s="2" t="s">
        <v>23</v>
      </c>
      <c r="I283" s="1">
        <v>0</v>
      </c>
      <c r="J283" s="3" t="s">
        <v>207</v>
      </c>
      <c r="K283" s="2" t="str">
        <f>J283*426.00</f>
        <v>0</v>
      </c>
      <c r="L283" s="5"/>
    </row>
    <row r="284" spans="1:12" customHeight="1" ht="105" outlineLevel="5">
      <c r="A284" s="1"/>
      <c r="B284" s="1">
        <v>820050</v>
      </c>
      <c r="C284" s="1" t="s">
        <v>1057</v>
      </c>
      <c r="D284" s="1" t="s">
        <v>1058</v>
      </c>
      <c r="E284" s="2" t="s">
        <v>1059</v>
      </c>
      <c r="F284" s="2" t="s">
        <v>1060</v>
      </c>
      <c r="G284" s="2" t="s">
        <v>28</v>
      </c>
      <c r="H284" s="2" t="s">
        <v>23</v>
      </c>
      <c r="I284" s="1">
        <v>0</v>
      </c>
      <c r="J284" s="3" t="s">
        <v>207</v>
      </c>
      <c r="K284" s="2" t="str">
        <f>J284*518.00</f>
        <v>0</v>
      </c>
      <c r="L284" s="5"/>
    </row>
    <row r="285" spans="1:12" customHeight="1" ht="105" outlineLevel="5">
      <c r="A285" s="1"/>
      <c r="B285" s="1">
        <v>820051</v>
      </c>
      <c r="C285" s="1" t="s">
        <v>1061</v>
      </c>
      <c r="D285" s="1" t="s">
        <v>1062</v>
      </c>
      <c r="E285" s="2" t="s">
        <v>1063</v>
      </c>
      <c r="F285" s="2" t="s">
        <v>1064</v>
      </c>
      <c r="G285" s="2" t="s">
        <v>28</v>
      </c>
      <c r="H285" s="2" t="s">
        <v>33</v>
      </c>
      <c r="I285" s="1">
        <v>0</v>
      </c>
      <c r="J285" s="3" t="s">
        <v>207</v>
      </c>
      <c r="K285" s="2" t="str">
        <f>J285*660.00</f>
        <v>0</v>
      </c>
      <c r="L285" s="5"/>
    </row>
    <row r="286" spans="1:12" customHeight="1" ht="105" outlineLevel="5">
      <c r="A286" s="1"/>
      <c r="B286" s="1">
        <v>820052</v>
      </c>
      <c r="C286" s="1" t="s">
        <v>1065</v>
      </c>
      <c r="D286" s="1" t="s">
        <v>1066</v>
      </c>
      <c r="E286" s="2" t="s">
        <v>1067</v>
      </c>
      <c r="F286" s="2" t="s">
        <v>1068</v>
      </c>
      <c r="G286" s="2">
        <v>6</v>
      </c>
      <c r="H286" s="2" t="s">
        <v>23</v>
      </c>
      <c r="I286" s="1">
        <v>0</v>
      </c>
      <c r="J286" s="3" t="s">
        <v>207</v>
      </c>
      <c r="K286" s="2" t="str">
        <f>J286*511.00</f>
        <v>0</v>
      </c>
      <c r="L286" s="5"/>
    </row>
    <row r="287" spans="1:12" customHeight="1" ht="105" outlineLevel="5">
      <c r="A287" s="1"/>
      <c r="B287" s="1">
        <v>820053</v>
      </c>
      <c r="C287" s="1" t="s">
        <v>1069</v>
      </c>
      <c r="D287" s="1" t="s">
        <v>1070</v>
      </c>
      <c r="E287" s="2" t="s">
        <v>1071</v>
      </c>
      <c r="F287" s="2" t="s">
        <v>1072</v>
      </c>
      <c r="G287" s="2">
        <v>5</v>
      </c>
      <c r="H287" s="2" t="s">
        <v>23</v>
      </c>
      <c r="I287" s="1">
        <v>0</v>
      </c>
      <c r="J287" s="3" t="s">
        <v>207</v>
      </c>
      <c r="K287" s="2" t="str">
        <f>J287*634.00</f>
        <v>0</v>
      </c>
      <c r="L287" s="5"/>
    </row>
    <row r="288" spans="1:12" customHeight="1" ht="105" outlineLevel="5">
      <c r="A288" s="1"/>
      <c r="B288" s="1">
        <v>820054</v>
      </c>
      <c r="C288" s="1" t="s">
        <v>1073</v>
      </c>
      <c r="D288" s="1" t="s">
        <v>1074</v>
      </c>
      <c r="E288" s="2" t="s">
        <v>1075</v>
      </c>
      <c r="F288" s="2" t="s">
        <v>1076</v>
      </c>
      <c r="G288" s="2">
        <v>5</v>
      </c>
      <c r="H288" s="2" t="s">
        <v>23</v>
      </c>
      <c r="I288" s="1">
        <v>0</v>
      </c>
      <c r="J288" s="3" t="s">
        <v>207</v>
      </c>
      <c r="K288" s="2" t="str">
        <f>J288*766.00</f>
        <v>0</v>
      </c>
      <c r="L288" s="5"/>
    </row>
    <row r="289" spans="1:12" customHeight="1" ht="105" outlineLevel="5">
      <c r="A289" s="1"/>
      <c r="B289" s="1">
        <v>820055</v>
      </c>
      <c r="C289" s="1" t="s">
        <v>1077</v>
      </c>
      <c r="D289" s="1" t="s">
        <v>1078</v>
      </c>
      <c r="E289" s="2" t="s">
        <v>1079</v>
      </c>
      <c r="F289" s="2" t="s">
        <v>1080</v>
      </c>
      <c r="G289" s="2">
        <v>0</v>
      </c>
      <c r="H289" s="2" t="s">
        <v>90</v>
      </c>
      <c r="I289" s="1">
        <v>0</v>
      </c>
      <c r="J289" s="3" t="s">
        <v>207</v>
      </c>
      <c r="K289" s="2" t="str">
        <f>J289*1015.00</f>
        <v>0</v>
      </c>
      <c r="L289" s="5"/>
    </row>
    <row r="290" spans="1:12" customHeight="1" ht="105" outlineLevel="5">
      <c r="A290" s="1"/>
      <c r="B290" s="1">
        <v>820056</v>
      </c>
      <c r="C290" s="1" t="s">
        <v>1081</v>
      </c>
      <c r="D290" s="1" t="s">
        <v>1082</v>
      </c>
      <c r="E290" s="2" t="s">
        <v>1083</v>
      </c>
      <c r="F290" s="2" t="s">
        <v>1084</v>
      </c>
      <c r="G290" s="2">
        <v>8</v>
      </c>
      <c r="H290" s="2" t="s">
        <v>23</v>
      </c>
      <c r="I290" s="1">
        <v>0</v>
      </c>
      <c r="J290" s="3" t="s">
        <v>207</v>
      </c>
      <c r="K290" s="2" t="str">
        <f>J290*515.00</f>
        <v>0</v>
      </c>
      <c r="L290" s="5"/>
    </row>
    <row r="291" spans="1:12" customHeight="1" ht="105" outlineLevel="5">
      <c r="A291" s="1"/>
      <c r="B291" s="1">
        <v>820057</v>
      </c>
      <c r="C291" s="1" t="s">
        <v>1085</v>
      </c>
      <c r="D291" s="1" t="s">
        <v>1086</v>
      </c>
      <c r="E291" s="2" t="s">
        <v>1087</v>
      </c>
      <c r="F291" s="2" t="s">
        <v>1088</v>
      </c>
      <c r="G291" s="2">
        <v>7</v>
      </c>
      <c r="H291" s="2" t="s">
        <v>90</v>
      </c>
      <c r="I291" s="1">
        <v>0</v>
      </c>
      <c r="J291" s="3" t="s">
        <v>207</v>
      </c>
      <c r="K291" s="2" t="str">
        <f>J291*670.00</f>
        <v>0</v>
      </c>
      <c r="L291" s="5"/>
    </row>
    <row r="292" spans="1:12" customHeight="1" ht="105" outlineLevel="5">
      <c r="A292" s="1"/>
      <c r="B292" s="1">
        <v>820058</v>
      </c>
      <c r="C292" s="1" t="s">
        <v>1089</v>
      </c>
      <c r="D292" s="1" t="s">
        <v>1090</v>
      </c>
      <c r="E292" s="2" t="s">
        <v>1091</v>
      </c>
      <c r="F292" s="2" t="s">
        <v>1092</v>
      </c>
      <c r="G292" s="2" t="s">
        <v>28</v>
      </c>
      <c r="H292" s="2" t="s">
        <v>23</v>
      </c>
      <c r="I292" s="1">
        <v>0</v>
      </c>
      <c r="J292" s="3" t="s">
        <v>207</v>
      </c>
      <c r="K292" s="2" t="str">
        <f>J292*464.00</f>
        <v>0</v>
      </c>
      <c r="L292" s="5"/>
    </row>
    <row r="293" spans="1:12" customHeight="1" ht="105" outlineLevel="5">
      <c r="A293" s="1"/>
      <c r="B293" s="1">
        <v>820059</v>
      </c>
      <c r="C293" s="1" t="s">
        <v>1093</v>
      </c>
      <c r="D293" s="1" t="s">
        <v>1094</v>
      </c>
      <c r="E293" s="2" t="s">
        <v>1095</v>
      </c>
      <c r="F293" s="2" t="s">
        <v>1096</v>
      </c>
      <c r="G293" s="2">
        <v>7</v>
      </c>
      <c r="H293" s="2" t="s">
        <v>23</v>
      </c>
      <c r="I293" s="1">
        <v>0</v>
      </c>
      <c r="J293" s="3" t="s">
        <v>207</v>
      </c>
      <c r="K293" s="2" t="str">
        <f>J293*552.00</f>
        <v>0</v>
      </c>
      <c r="L293" s="5"/>
    </row>
    <row r="294" spans="1:12" customHeight="1" ht="105" outlineLevel="5">
      <c r="A294" s="1"/>
      <c r="B294" s="1">
        <v>820060</v>
      </c>
      <c r="C294" s="1" t="s">
        <v>1097</v>
      </c>
      <c r="D294" s="1" t="s">
        <v>1098</v>
      </c>
      <c r="E294" s="2" t="s">
        <v>1099</v>
      </c>
      <c r="F294" s="2" t="s">
        <v>1100</v>
      </c>
      <c r="G294" s="2">
        <v>0</v>
      </c>
      <c r="H294" s="2" t="s">
        <v>23</v>
      </c>
      <c r="I294" s="1">
        <v>0</v>
      </c>
      <c r="J294" s="3" t="s">
        <v>207</v>
      </c>
      <c r="K294" s="2" t="str">
        <f>J294*708.00</f>
        <v>0</v>
      </c>
      <c r="L294" s="5"/>
    </row>
    <row r="295" spans="1:12" customHeight="1" ht="105" outlineLevel="5">
      <c r="A295" s="1"/>
      <c r="B295" s="1">
        <v>820061</v>
      </c>
      <c r="C295" s="1" t="s">
        <v>1101</v>
      </c>
      <c r="D295" s="1" t="s">
        <v>1102</v>
      </c>
      <c r="E295" s="2" t="s">
        <v>1103</v>
      </c>
      <c r="F295" s="2" t="s">
        <v>1104</v>
      </c>
      <c r="G295" s="2">
        <v>5</v>
      </c>
      <c r="H295" s="2" t="s">
        <v>23</v>
      </c>
      <c r="I295" s="1">
        <v>0</v>
      </c>
      <c r="J295" s="3" t="s">
        <v>207</v>
      </c>
      <c r="K295" s="2" t="str">
        <f>J295*871.00</f>
        <v>0</v>
      </c>
      <c r="L295" s="5"/>
    </row>
    <row r="296" spans="1:12" customHeight="1" ht="105" outlineLevel="5">
      <c r="A296" s="1"/>
      <c r="B296" s="1">
        <v>820062</v>
      </c>
      <c r="C296" s="1" t="s">
        <v>1105</v>
      </c>
      <c r="D296" s="1" t="s">
        <v>1106</v>
      </c>
      <c r="E296" s="2" t="s">
        <v>1107</v>
      </c>
      <c r="F296" s="2" t="s">
        <v>1108</v>
      </c>
      <c r="G296" s="2">
        <v>0</v>
      </c>
      <c r="H296" s="2" t="s">
        <v>23</v>
      </c>
      <c r="I296" s="1">
        <v>0</v>
      </c>
      <c r="J296" s="3" t="s">
        <v>207</v>
      </c>
      <c r="K296" s="2" t="str">
        <f>J296*1086.00</f>
        <v>0</v>
      </c>
      <c r="L296" s="5"/>
    </row>
    <row r="297" spans="1:12" customHeight="1" ht="105" outlineLevel="5">
      <c r="A297" s="1"/>
      <c r="B297" s="1">
        <v>820063</v>
      </c>
      <c r="C297" s="1" t="s">
        <v>1109</v>
      </c>
      <c r="D297" s="1" t="s">
        <v>1110</v>
      </c>
      <c r="E297" s="2" t="s">
        <v>1111</v>
      </c>
      <c r="F297" s="2" t="s">
        <v>549</v>
      </c>
      <c r="G297" s="2">
        <v>0</v>
      </c>
      <c r="H297" s="2" t="s">
        <v>23</v>
      </c>
      <c r="I297" s="1">
        <v>0</v>
      </c>
      <c r="J297" s="3" t="s">
        <v>207</v>
      </c>
      <c r="K297" s="2" t="str">
        <f>J297*180.00</f>
        <v>0</v>
      </c>
      <c r="L297" s="5"/>
    </row>
    <row r="298" spans="1:12" customHeight="1" ht="105" outlineLevel="5">
      <c r="A298" s="1"/>
      <c r="B298" s="1">
        <v>820064</v>
      </c>
      <c r="C298" s="1" t="s">
        <v>1112</v>
      </c>
      <c r="D298" s="1" t="s">
        <v>1113</v>
      </c>
      <c r="E298" s="2" t="s">
        <v>1114</v>
      </c>
      <c r="F298" s="2" t="s">
        <v>1115</v>
      </c>
      <c r="G298" s="2">
        <v>9</v>
      </c>
      <c r="H298" s="2">
        <v>4</v>
      </c>
      <c r="I298" s="1">
        <v>0</v>
      </c>
      <c r="J298" s="3" t="s">
        <v>207</v>
      </c>
      <c r="K298" s="2" t="str">
        <f>J298*695.00</f>
        <v>0</v>
      </c>
      <c r="L298" s="5"/>
    </row>
    <row r="299" spans="1:12" customHeight="1" ht="105" outlineLevel="5">
      <c r="A299" s="1"/>
      <c r="B299" s="1">
        <v>820065</v>
      </c>
      <c r="C299" s="1" t="s">
        <v>1116</v>
      </c>
      <c r="D299" s="1" t="s">
        <v>1117</v>
      </c>
      <c r="E299" s="2" t="s">
        <v>1118</v>
      </c>
      <c r="F299" s="2" t="s">
        <v>1119</v>
      </c>
      <c r="G299" s="2">
        <v>6</v>
      </c>
      <c r="H299" s="2" t="s">
        <v>90</v>
      </c>
      <c r="I299" s="1">
        <v>0</v>
      </c>
      <c r="J299" s="3" t="s">
        <v>207</v>
      </c>
      <c r="K299" s="2" t="str">
        <f>J299*765.00</f>
        <v>0</v>
      </c>
      <c r="L299" s="5"/>
    </row>
    <row r="300" spans="1:12" customHeight="1" ht="105" outlineLevel="5">
      <c r="A300" s="1"/>
      <c r="B300" s="1">
        <v>820066</v>
      </c>
      <c r="C300" s="1" t="s">
        <v>1120</v>
      </c>
      <c r="D300" s="1" t="s">
        <v>1121</v>
      </c>
      <c r="E300" s="2" t="s">
        <v>1122</v>
      </c>
      <c r="F300" s="2" t="s">
        <v>1123</v>
      </c>
      <c r="G300" s="2">
        <v>5</v>
      </c>
      <c r="H300" s="2" t="s">
        <v>33</v>
      </c>
      <c r="I300" s="1">
        <v>0</v>
      </c>
      <c r="J300" s="3" t="s">
        <v>207</v>
      </c>
      <c r="K300" s="2" t="str">
        <f>J300*842.00</f>
        <v>0</v>
      </c>
      <c r="L300" s="5"/>
    </row>
    <row r="301" spans="1:12" customHeight="1" ht="105" outlineLevel="5">
      <c r="A301" s="1"/>
      <c r="B301" s="1">
        <v>820067</v>
      </c>
      <c r="C301" s="1" t="s">
        <v>1124</v>
      </c>
      <c r="D301" s="1" t="s">
        <v>1125</v>
      </c>
      <c r="E301" s="2" t="s">
        <v>1126</v>
      </c>
      <c r="F301" s="2" t="s">
        <v>1127</v>
      </c>
      <c r="G301" s="2">
        <v>10</v>
      </c>
      <c r="H301" s="2" t="s">
        <v>33</v>
      </c>
      <c r="I301" s="1">
        <v>0</v>
      </c>
      <c r="J301" s="3" t="s">
        <v>207</v>
      </c>
      <c r="K301" s="2" t="str">
        <f>J301*901.00</f>
        <v>0</v>
      </c>
      <c r="L301" s="5"/>
    </row>
    <row r="302" spans="1:12" customHeight="1" ht="105" outlineLevel="5">
      <c r="A302" s="1"/>
      <c r="B302" s="1">
        <v>820068</v>
      </c>
      <c r="C302" s="1" t="s">
        <v>1128</v>
      </c>
      <c r="D302" s="1" t="s">
        <v>1129</v>
      </c>
      <c r="E302" s="2" t="s">
        <v>1130</v>
      </c>
      <c r="F302" s="2" t="s">
        <v>820</v>
      </c>
      <c r="G302" s="2">
        <v>7</v>
      </c>
      <c r="H302" s="2" t="s">
        <v>23</v>
      </c>
      <c r="I302" s="1">
        <v>0</v>
      </c>
      <c r="J302" s="3" t="s">
        <v>207</v>
      </c>
      <c r="K302" s="2" t="str">
        <f>J302*503.00</f>
        <v>0</v>
      </c>
      <c r="L302" s="5"/>
    </row>
    <row r="303" spans="1:12" customHeight="1" ht="105" outlineLevel="5">
      <c r="A303" s="1"/>
      <c r="B303" s="1">
        <v>820069</v>
      </c>
      <c r="C303" s="1" t="s">
        <v>1131</v>
      </c>
      <c r="D303" s="1" t="s">
        <v>1132</v>
      </c>
      <c r="E303" s="2" t="s">
        <v>1133</v>
      </c>
      <c r="F303" s="2" t="s">
        <v>1134</v>
      </c>
      <c r="G303" s="2">
        <v>5</v>
      </c>
      <c r="H303" s="2" t="s">
        <v>23</v>
      </c>
      <c r="I303" s="1">
        <v>0</v>
      </c>
      <c r="J303" s="3" t="s">
        <v>207</v>
      </c>
      <c r="K303" s="2" t="str">
        <f>J303*602.00</f>
        <v>0</v>
      </c>
      <c r="L303" s="5"/>
    </row>
    <row r="304" spans="1:12" customHeight="1" ht="105" outlineLevel="5">
      <c r="A304" s="1"/>
      <c r="B304" s="1">
        <v>820070</v>
      </c>
      <c r="C304" s="1" t="s">
        <v>1135</v>
      </c>
      <c r="D304" s="1" t="s">
        <v>1136</v>
      </c>
      <c r="E304" s="2" t="s">
        <v>1137</v>
      </c>
      <c r="F304" s="2" t="s">
        <v>1138</v>
      </c>
      <c r="G304" s="2">
        <v>1</v>
      </c>
      <c r="H304" s="2" t="s">
        <v>90</v>
      </c>
      <c r="I304" s="1">
        <v>0</v>
      </c>
      <c r="J304" s="3" t="s">
        <v>207</v>
      </c>
      <c r="K304" s="2" t="str">
        <f>J304*852.00</f>
        <v>0</v>
      </c>
      <c r="L304" s="5"/>
    </row>
    <row r="305" spans="1:12" customHeight="1" ht="105" outlineLevel="5">
      <c r="A305" s="1"/>
      <c r="B305" s="1">
        <v>820071</v>
      </c>
      <c r="C305" s="1" t="s">
        <v>1139</v>
      </c>
      <c r="D305" s="1" t="s">
        <v>1140</v>
      </c>
      <c r="E305" s="2" t="s">
        <v>1141</v>
      </c>
      <c r="F305" s="2" t="s">
        <v>1142</v>
      </c>
      <c r="G305" s="2">
        <v>5</v>
      </c>
      <c r="H305" s="2" t="s">
        <v>34</v>
      </c>
      <c r="I305" s="1">
        <v>0</v>
      </c>
      <c r="J305" s="3" t="s">
        <v>207</v>
      </c>
      <c r="K305" s="2" t="str">
        <f>J305*475.00</f>
        <v>0</v>
      </c>
      <c r="L305" s="5"/>
    </row>
    <row r="306" spans="1:12" customHeight="1" ht="105" outlineLevel="5">
      <c r="A306" s="1"/>
      <c r="B306" s="1">
        <v>820072</v>
      </c>
      <c r="C306" s="1" t="s">
        <v>1143</v>
      </c>
      <c r="D306" s="1" t="s">
        <v>1144</v>
      </c>
      <c r="E306" s="2" t="s">
        <v>1145</v>
      </c>
      <c r="F306" s="2" t="s">
        <v>931</v>
      </c>
      <c r="G306" s="2">
        <v>6</v>
      </c>
      <c r="H306" s="2" t="s">
        <v>23</v>
      </c>
      <c r="I306" s="1">
        <v>0</v>
      </c>
      <c r="J306" s="3" t="s">
        <v>207</v>
      </c>
      <c r="K306" s="2" t="str">
        <f>J306*604.00</f>
        <v>0</v>
      </c>
      <c r="L306" s="5"/>
    </row>
    <row r="307" spans="1:12" customHeight="1" ht="105" outlineLevel="5">
      <c r="A307" s="1"/>
      <c r="B307" s="1">
        <v>820073</v>
      </c>
      <c r="C307" s="1" t="s">
        <v>1146</v>
      </c>
      <c r="D307" s="1" t="s">
        <v>1147</v>
      </c>
      <c r="E307" s="2" t="s">
        <v>1148</v>
      </c>
      <c r="F307" s="2" t="s">
        <v>1149</v>
      </c>
      <c r="G307" s="2">
        <v>2</v>
      </c>
      <c r="H307" s="2" t="s">
        <v>23</v>
      </c>
      <c r="I307" s="1">
        <v>0</v>
      </c>
      <c r="J307" s="3" t="s">
        <v>207</v>
      </c>
      <c r="K307" s="2" t="str">
        <f>J307*789.00</f>
        <v>0</v>
      </c>
      <c r="L307" s="5"/>
    </row>
    <row r="308" spans="1:12" customHeight="1" ht="105" outlineLevel="5">
      <c r="A308" s="1"/>
      <c r="B308" s="1">
        <v>820074</v>
      </c>
      <c r="C308" s="1" t="s">
        <v>1150</v>
      </c>
      <c r="D308" s="1" t="s">
        <v>1151</v>
      </c>
      <c r="E308" s="2" t="s">
        <v>1152</v>
      </c>
      <c r="F308" s="2" t="s">
        <v>1142</v>
      </c>
      <c r="G308" s="2">
        <v>7</v>
      </c>
      <c r="H308" s="2" t="s">
        <v>23</v>
      </c>
      <c r="I308" s="1">
        <v>0</v>
      </c>
      <c r="J308" s="3" t="s">
        <v>207</v>
      </c>
      <c r="K308" s="2" t="str">
        <f>J308*475.00</f>
        <v>0</v>
      </c>
      <c r="L308" s="5"/>
    </row>
    <row r="309" spans="1:12" customHeight="1" ht="105" outlineLevel="5">
      <c r="A309" s="1"/>
      <c r="B309" s="1">
        <v>820075</v>
      </c>
      <c r="C309" s="1" t="s">
        <v>1153</v>
      </c>
      <c r="D309" s="1" t="s">
        <v>1154</v>
      </c>
      <c r="E309" s="2" t="s">
        <v>1155</v>
      </c>
      <c r="F309" s="2" t="s">
        <v>1156</v>
      </c>
      <c r="G309" s="2">
        <v>8</v>
      </c>
      <c r="H309" s="2" t="s">
        <v>23</v>
      </c>
      <c r="I309" s="1">
        <v>0</v>
      </c>
      <c r="J309" s="3" t="s">
        <v>207</v>
      </c>
      <c r="K309" s="2" t="str">
        <f>J309*606.00</f>
        <v>0</v>
      </c>
      <c r="L309" s="5"/>
    </row>
    <row r="310" spans="1:12" customHeight="1" ht="105" outlineLevel="5">
      <c r="A310" s="1"/>
      <c r="B310" s="1">
        <v>820076</v>
      </c>
      <c r="C310" s="1" t="s">
        <v>1157</v>
      </c>
      <c r="D310" s="1" t="s">
        <v>1158</v>
      </c>
      <c r="E310" s="2" t="s">
        <v>1159</v>
      </c>
      <c r="F310" s="2" t="s">
        <v>1160</v>
      </c>
      <c r="G310" s="2">
        <v>6</v>
      </c>
      <c r="H310" s="2" t="s">
        <v>33</v>
      </c>
      <c r="I310" s="1">
        <v>0</v>
      </c>
      <c r="J310" s="3" t="s">
        <v>207</v>
      </c>
      <c r="K310" s="2" t="str">
        <f>J310*803.00</f>
        <v>0</v>
      </c>
      <c r="L310" s="5"/>
    </row>
    <row r="311" spans="1:12" customHeight="1" ht="105" outlineLevel="5">
      <c r="A311" s="1"/>
      <c r="B311" s="1">
        <v>820077</v>
      </c>
      <c r="C311" s="1" t="s">
        <v>1161</v>
      </c>
      <c r="D311" s="1" t="s">
        <v>1162</v>
      </c>
      <c r="E311" s="2" t="s">
        <v>1163</v>
      </c>
      <c r="F311" s="2" t="s">
        <v>1164</v>
      </c>
      <c r="G311" s="2" t="s">
        <v>33</v>
      </c>
      <c r="H311" s="2" t="s">
        <v>23</v>
      </c>
      <c r="I311" s="1">
        <v>0</v>
      </c>
      <c r="J311" s="3" t="s">
        <v>207</v>
      </c>
      <c r="K311" s="2" t="str">
        <f>J311*164.00</f>
        <v>0</v>
      </c>
      <c r="L311" s="5"/>
    </row>
    <row r="312" spans="1:12" customHeight="1" ht="105" outlineLevel="5">
      <c r="A312" s="1"/>
      <c r="B312" s="1">
        <v>820078</v>
      </c>
      <c r="C312" s="1" t="s">
        <v>1165</v>
      </c>
      <c r="D312" s="1" t="s">
        <v>1166</v>
      </c>
      <c r="E312" s="2" t="s">
        <v>1167</v>
      </c>
      <c r="F312" s="2" t="s">
        <v>1168</v>
      </c>
      <c r="G312" s="2" t="s">
        <v>28</v>
      </c>
      <c r="H312" s="2" t="s">
        <v>34</v>
      </c>
      <c r="I312" s="1">
        <v>0</v>
      </c>
      <c r="J312" s="3" t="s">
        <v>207</v>
      </c>
      <c r="K312" s="2" t="str">
        <f>J312*280.00</f>
        <v>0</v>
      </c>
      <c r="L312" s="5"/>
    </row>
    <row r="313" spans="1:12" customHeight="1" ht="105" outlineLevel="5">
      <c r="A313" s="1"/>
      <c r="B313" s="1">
        <v>820079</v>
      </c>
      <c r="C313" s="1" t="s">
        <v>1169</v>
      </c>
      <c r="D313" s="1" t="s">
        <v>1170</v>
      </c>
      <c r="E313" s="2" t="s">
        <v>1171</v>
      </c>
      <c r="F313" s="2" t="s">
        <v>1172</v>
      </c>
      <c r="G313" s="2" t="s">
        <v>33</v>
      </c>
      <c r="H313" s="2" t="s">
        <v>43</v>
      </c>
      <c r="I313" s="1">
        <v>0</v>
      </c>
      <c r="J313" s="3" t="s">
        <v>207</v>
      </c>
      <c r="K313" s="2" t="str">
        <f>J313*271.00</f>
        <v>0</v>
      </c>
      <c r="L313" s="5"/>
    </row>
    <row r="314" spans="1:12" customHeight="1" ht="105" outlineLevel="5">
      <c r="A314" s="1"/>
      <c r="B314" s="1">
        <v>820080</v>
      </c>
      <c r="C314" s="1" t="s">
        <v>1173</v>
      </c>
      <c r="D314" s="1" t="s">
        <v>1174</v>
      </c>
      <c r="E314" s="2" t="s">
        <v>1175</v>
      </c>
      <c r="F314" s="2" t="s">
        <v>1176</v>
      </c>
      <c r="G314" s="2" t="s">
        <v>28</v>
      </c>
      <c r="H314" s="2" t="s">
        <v>43</v>
      </c>
      <c r="I314" s="1">
        <v>0</v>
      </c>
      <c r="J314" s="3" t="s">
        <v>207</v>
      </c>
      <c r="K314" s="2" t="str">
        <f>J314*383.00</f>
        <v>0</v>
      </c>
      <c r="L314" s="5"/>
    </row>
    <row r="315" spans="1:12" customHeight="1" ht="105" outlineLevel="5">
      <c r="A315" s="1"/>
      <c r="B315" s="1">
        <v>820081</v>
      </c>
      <c r="C315" s="1" t="s">
        <v>1177</v>
      </c>
      <c r="D315" s="1" t="s">
        <v>1178</v>
      </c>
      <c r="E315" s="2" t="s">
        <v>1179</v>
      </c>
      <c r="F315" s="2" t="s">
        <v>1180</v>
      </c>
      <c r="G315" s="2">
        <v>2</v>
      </c>
      <c r="H315" s="2" t="s">
        <v>23</v>
      </c>
      <c r="I315" s="1">
        <v>0</v>
      </c>
      <c r="J315" s="3" t="s">
        <v>207</v>
      </c>
      <c r="K315" s="2" t="str">
        <f>J315*521.00</f>
        <v>0</v>
      </c>
      <c r="L315" s="5"/>
    </row>
    <row r="316" spans="1:12" customHeight="1" ht="105" outlineLevel="5">
      <c r="A316" s="1"/>
      <c r="B316" s="1">
        <v>820082</v>
      </c>
      <c r="C316" s="1" t="s">
        <v>1181</v>
      </c>
      <c r="D316" s="1" t="s">
        <v>1182</v>
      </c>
      <c r="E316" s="2" t="s">
        <v>1183</v>
      </c>
      <c r="F316" s="2" t="s">
        <v>1184</v>
      </c>
      <c r="G316" s="2">
        <v>0</v>
      </c>
      <c r="H316" s="2" t="s">
        <v>90</v>
      </c>
      <c r="I316" s="1">
        <v>0</v>
      </c>
      <c r="J316" s="3" t="s">
        <v>207</v>
      </c>
      <c r="K316" s="2" t="str">
        <f>J316*741.00</f>
        <v>0</v>
      </c>
      <c r="L316" s="5"/>
    </row>
    <row r="317" spans="1:12" customHeight="1" ht="105" outlineLevel="5">
      <c r="A317" s="1"/>
      <c r="B317" s="1">
        <v>820083</v>
      </c>
      <c r="C317" s="1" t="s">
        <v>1185</v>
      </c>
      <c r="D317" s="1" t="s">
        <v>1186</v>
      </c>
      <c r="E317" s="2" t="s">
        <v>1187</v>
      </c>
      <c r="F317" s="2" t="s">
        <v>1188</v>
      </c>
      <c r="G317" s="2">
        <v>0</v>
      </c>
      <c r="H317" s="2" t="s">
        <v>33</v>
      </c>
      <c r="I317" s="1">
        <v>0</v>
      </c>
      <c r="J317" s="3" t="s">
        <v>207</v>
      </c>
      <c r="K317" s="2" t="str">
        <f>J317*1195.00</f>
        <v>0</v>
      </c>
      <c r="L317" s="5"/>
    </row>
    <row r="318" spans="1:12" customHeight="1" ht="105" outlineLevel="5">
      <c r="A318" s="1"/>
      <c r="B318" s="1">
        <v>820084</v>
      </c>
      <c r="C318" s="1" t="s">
        <v>1189</v>
      </c>
      <c r="D318" s="1" t="s">
        <v>1190</v>
      </c>
      <c r="E318" s="2" t="s">
        <v>1191</v>
      </c>
      <c r="F318" s="2" t="s">
        <v>549</v>
      </c>
      <c r="G318" s="2">
        <v>0</v>
      </c>
      <c r="H318" s="2">
        <v>0</v>
      </c>
      <c r="I318" s="1">
        <v>0</v>
      </c>
      <c r="J318" s="3" t="s">
        <v>207</v>
      </c>
      <c r="K318" s="2" t="str">
        <f>J318*180.00</f>
        <v>0</v>
      </c>
      <c r="L318" s="5"/>
    </row>
    <row r="319" spans="1:12" customHeight="1" ht="105" outlineLevel="5">
      <c r="A319" s="1"/>
      <c r="B319" s="1">
        <v>820085</v>
      </c>
      <c r="C319" s="1" t="s">
        <v>1192</v>
      </c>
      <c r="D319" s="1" t="s">
        <v>1193</v>
      </c>
      <c r="E319" s="2" t="s">
        <v>1194</v>
      </c>
      <c r="F319" s="2" t="s">
        <v>1195</v>
      </c>
      <c r="G319" s="2" t="s">
        <v>33</v>
      </c>
      <c r="H319" s="2" t="s">
        <v>23</v>
      </c>
      <c r="I319" s="1">
        <v>0</v>
      </c>
      <c r="J319" s="3" t="s">
        <v>207</v>
      </c>
      <c r="K319" s="2" t="str">
        <f>J319*185.00</f>
        <v>0</v>
      </c>
      <c r="L319" s="5"/>
    </row>
    <row r="320" spans="1:12" customHeight="1" ht="105" outlineLevel="5">
      <c r="A320" s="1"/>
      <c r="B320" s="1">
        <v>820086</v>
      </c>
      <c r="C320" s="1" t="s">
        <v>1196</v>
      </c>
      <c r="D320" s="1" t="s">
        <v>1197</v>
      </c>
      <c r="E320" s="2" t="s">
        <v>1198</v>
      </c>
      <c r="F320" s="2" t="s">
        <v>1199</v>
      </c>
      <c r="G320" s="2" t="s">
        <v>28</v>
      </c>
      <c r="H320" s="2" t="s">
        <v>23</v>
      </c>
      <c r="I320" s="1">
        <v>0</v>
      </c>
      <c r="J320" s="3" t="s">
        <v>207</v>
      </c>
      <c r="K320" s="2" t="str">
        <f>J320*279.00</f>
        <v>0</v>
      </c>
      <c r="L320" s="5"/>
    </row>
    <row r="321" spans="1:12" customHeight="1" ht="105" outlineLevel="5">
      <c r="A321" s="1"/>
      <c r="B321" s="1">
        <v>820087</v>
      </c>
      <c r="C321" s="1" t="s">
        <v>1200</v>
      </c>
      <c r="D321" s="1" t="s">
        <v>1201</v>
      </c>
      <c r="E321" s="2" t="s">
        <v>1202</v>
      </c>
      <c r="F321" s="2" t="s">
        <v>1203</v>
      </c>
      <c r="G321" s="2" t="s">
        <v>33</v>
      </c>
      <c r="H321" s="2" t="s">
        <v>43</v>
      </c>
      <c r="I321" s="1">
        <v>0</v>
      </c>
      <c r="J321" s="3" t="s">
        <v>207</v>
      </c>
      <c r="K321" s="2" t="str">
        <f>J321*298.00</f>
        <v>0</v>
      </c>
      <c r="L321" s="5"/>
    </row>
    <row r="322" spans="1:12" customHeight="1" ht="105" outlineLevel="5">
      <c r="A322" s="1"/>
      <c r="B322" s="1">
        <v>820088</v>
      </c>
      <c r="C322" s="1" t="s">
        <v>1204</v>
      </c>
      <c r="D322" s="1" t="s">
        <v>1205</v>
      </c>
      <c r="E322" s="2" t="s">
        <v>1206</v>
      </c>
      <c r="F322" s="2" t="s">
        <v>1207</v>
      </c>
      <c r="G322" s="2" t="s">
        <v>33</v>
      </c>
      <c r="H322" s="2" t="s">
        <v>43</v>
      </c>
      <c r="I322" s="1">
        <v>0</v>
      </c>
      <c r="J322" s="3" t="s">
        <v>207</v>
      </c>
      <c r="K322" s="2" t="str">
        <f>J322*398.00</f>
        <v>0</v>
      </c>
      <c r="L322" s="5"/>
    </row>
    <row r="323" spans="1:12" customHeight="1" ht="105" outlineLevel="5">
      <c r="A323" s="1"/>
      <c r="B323" s="1">
        <v>820089</v>
      </c>
      <c r="C323" s="1" t="s">
        <v>1208</v>
      </c>
      <c r="D323" s="1" t="s">
        <v>1209</v>
      </c>
      <c r="E323" s="2" t="s">
        <v>1210</v>
      </c>
      <c r="F323" s="2" t="s">
        <v>190</v>
      </c>
      <c r="G323" s="2">
        <v>2</v>
      </c>
      <c r="H323" s="2" t="s">
        <v>23</v>
      </c>
      <c r="I323" s="1">
        <v>0</v>
      </c>
      <c r="J323" s="3" t="s">
        <v>207</v>
      </c>
      <c r="K323" s="2" t="str">
        <f>J323*555.00</f>
        <v>0</v>
      </c>
      <c r="L323" s="5"/>
    </row>
    <row r="324" spans="1:12" customHeight="1" ht="105" outlineLevel="5">
      <c r="A324" s="1"/>
      <c r="B324" s="1">
        <v>820090</v>
      </c>
      <c r="C324" s="1" t="s">
        <v>1211</v>
      </c>
      <c r="D324" s="1" t="s">
        <v>1212</v>
      </c>
      <c r="E324" s="2" t="s">
        <v>1213</v>
      </c>
      <c r="F324" s="2" t="s">
        <v>1214</v>
      </c>
      <c r="G324" s="2">
        <v>0</v>
      </c>
      <c r="H324" s="2" t="s">
        <v>90</v>
      </c>
      <c r="I324" s="1">
        <v>0</v>
      </c>
      <c r="J324" s="3" t="s">
        <v>207</v>
      </c>
      <c r="K324" s="2" t="str">
        <f>J324*788.00</f>
        <v>0</v>
      </c>
      <c r="L324" s="5"/>
    </row>
    <row r="325" spans="1:12" customHeight="1" ht="105" outlineLevel="5">
      <c r="A325" s="1"/>
      <c r="B325" s="1">
        <v>820091</v>
      </c>
      <c r="C325" s="1" t="s">
        <v>1215</v>
      </c>
      <c r="D325" s="1" t="s">
        <v>1216</v>
      </c>
      <c r="E325" s="2" t="s">
        <v>1217</v>
      </c>
      <c r="F325" s="2" t="s">
        <v>1218</v>
      </c>
      <c r="G325" s="2">
        <v>0</v>
      </c>
      <c r="H325" s="2" t="s">
        <v>90</v>
      </c>
      <c r="I325" s="1">
        <v>0</v>
      </c>
      <c r="J325" s="3" t="s">
        <v>207</v>
      </c>
      <c r="K325" s="2" t="str">
        <f>J325*1134.00</f>
        <v>0</v>
      </c>
      <c r="L325" s="5"/>
    </row>
    <row r="326" spans="1:12" customHeight="1" ht="105" outlineLevel="5">
      <c r="A326" s="1"/>
      <c r="B326" s="1">
        <v>820092</v>
      </c>
      <c r="C326" s="1" t="s">
        <v>1219</v>
      </c>
      <c r="D326" s="1" t="s">
        <v>1220</v>
      </c>
      <c r="E326" s="2" t="s">
        <v>1221</v>
      </c>
      <c r="F326" s="2" t="s">
        <v>1222</v>
      </c>
      <c r="G326" s="2" t="s">
        <v>28</v>
      </c>
      <c r="H326" s="2" t="s">
        <v>43</v>
      </c>
      <c r="I326" s="1">
        <v>0</v>
      </c>
      <c r="J326" s="3" t="s">
        <v>207</v>
      </c>
      <c r="K326" s="2" t="str">
        <f>J326*322.00</f>
        <v>0</v>
      </c>
      <c r="L326" s="5"/>
    </row>
    <row r="327" spans="1:12" customHeight="1" ht="105" outlineLevel="5">
      <c r="A327" s="1"/>
      <c r="B327" s="1">
        <v>820093</v>
      </c>
      <c r="C327" s="1" t="s">
        <v>1223</v>
      </c>
      <c r="D327" s="1" t="s">
        <v>1224</v>
      </c>
      <c r="E327" s="2" t="s">
        <v>1225</v>
      </c>
      <c r="F327" s="2" t="s">
        <v>1104</v>
      </c>
      <c r="G327" s="2" t="s">
        <v>28</v>
      </c>
      <c r="H327" s="2" t="s">
        <v>33</v>
      </c>
      <c r="I327" s="1">
        <v>0</v>
      </c>
      <c r="J327" s="3" t="s">
        <v>207</v>
      </c>
      <c r="K327" s="2" t="str">
        <f>J327*871.00</f>
        <v>0</v>
      </c>
      <c r="L327" s="5"/>
    </row>
    <row r="328" spans="1:12" customHeight="1" ht="105" outlineLevel="5">
      <c r="A328" s="1"/>
      <c r="B328" s="1">
        <v>820094</v>
      </c>
      <c r="C328" s="1" t="s">
        <v>1226</v>
      </c>
      <c r="D328" s="1" t="s">
        <v>1227</v>
      </c>
      <c r="E328" s="2" t="s">
        <v>1228</v>
      </c>
      <c r="F328" s="2" t="s">
        <v>1229</v>
      </c>
      <c r="G328" s="2">
        <v>4</v>
      </c>
      <c r="H328" s="2" t="s">
        <v>23</v>
      </c>
      <c r="I328" s="1">
        <v>0</v>
      </c>
      <c r="J328" s="3" t="s">
        <v>207</v>
      </c>
      <c r="K328" s="2" t="str">
        <f>J328*267.00</f>
        <v>0</v>
      </c>
      <c r="L328" s="5"/>
    </row>
    <row r="329" spans="1:12" customHeight="1" ht="105" outlineLevel="5">
      <c r="A329" s="1"/>
      <c r="B329" s="1">
        <v>820095</v>
      </c>
      <c r="C329" s="1" t="s">
        <v>1230</v>
      </c>
      <c r="D329" s="1" t="s">
        <v>1231</v>
      </c>
      <c r="E329" s="2" t="s">
        <v>1232</v>
      </c>
      <c r="F329" s="2" t="s">
        <v>920</v>
      </c>
      <c r="G329" s="2">
        <v>9</v>
      </c>
      <c r="H329" s="2" t="s">
        <v>90</v>
      </c>
      <c r="I329" s="1">
        <v>0</v>
      </c>
      <c r="J329" s="3" t="s">
        <v>207</v>
      </c>
      <c r="K329" s="2" t="str">
        <f>J329*484.00</f>
        <v>0</v>
      </c>
      <c r="L329" s="5"/>
    </row>
    <row r="330" spans="1:12" customHeight="1" ht="105" outlineLevel="5">
      <c r="A330" s="1"/>
      <c r="B330" s="1">
        <v>820096</v>
      </c>
      <c r="C330" s="1" t="s">
        <v>1233</v>
      </c>
      <c r="D330" s="1" t="s">
        <v>1234</v>
      </c>
      <c r="E330" s="2" t="s">
        <v>1235</v>
      </c>
      <c r="F330" s="2" t="s">
        <v>190</v>
      </c>
      <c r="G330" s="2">
        <v>5</v>
      </c>
      <c r="H330" s="2" t="s">
        <v>90</v>
      </c>
      <c r="I330" s="1">
        <v>0</v>
      </c>
      <c r="J330" s="3" t="s">
        <v>207</v>
      </c>
      <c r="K330" s="2" t="str">
        <f>J330*555.00</f>
        <v>0</v>
      </c>
      <c r="L330" s="5"/>
    </row>
    <row r="331" spans="1:12" customHeight="1" ht="105" outlineLevel="5">
      <c r="A331" s="1"/>
      <c r="B331" s="1">
        <v>820097</v>
      </c>
      <c r="C331" s="1" t="s">
        <v>1236</v>
      </c>
      <c r="D331" s="1" t="s">
        <v>1237</v>
      </c>
      <c r="E331" s="2" t="s">
        <v>1238</v>
      </c>
      <c r="F331" s="2" t="s">
        <v>1239</v>
      </c>
      <c r="G331" s="2">
        <v>0</v>
      </c>
      <c r="H331" s="2" t="s">
        <v>33</v>
      </c>
      <c r="I331" s="1">
        <v>0</v>
      </c>
      <c r="J331" s="3" t="s">
        <v>207</v>
      </c>
      <c r="K331" s="2" t="str">
        <f>J331*235.00</f>
        <v>0</v>
      </c>
      <c r="L331" s="5"/>
    </row>
    <row r="332" spans="1:12" customHeight="1" ht="105" outlineLevel="5">
      <c r="A332" s="1"/>
      <c r="B332" s="1">
        <v>820098</v>
      </c>
      <c r="C332" s="1" t="s">
        <v>1240</v>
      </c>
      <c r="D332" s="1" t="s">
        <v>1241</v>
      </c>
      <c r="E332" s="2" t="s">
        <v>1242</v>
      </c>
      <c r="F332" s="2" t="s">
        <v>1243</v>
      </c>
      <c r="G332" s="2">
        <v>10</v>
      </c>
      <c r="H332" s="2">
        <v>0</v>
      </c>
      <c r="I332" s="1">
        <v>0</v>
      </c>
      <c r="J332" s="3" t="s">
        <v>207</v>
      </c>
      <c r="K332" s="2" t="str">
        <f>J332*300.00</f>
        <v>0</v>
      </c>
      <c r="L332" s="5"/>
    </row>
    <row r="333" spans="1:12" customHeight="1" ht="105" outlineLevel="5">
      <c r="A333" s="1"/>
      <c r="B333" s="1">
        <v>820099</v>
      </c>
      <c r="C333" s="1" t="s">
        <v>1244</v>
      </c>
      <c r="D333" s="1" t="s">
        <v>1245</v>
      </c>
      <c r="E333" s="2" t="s">
        <v>1246</v>
      </c>
      <c r="F333" s="2" t="s">
        <v>1247</v>
      </c>
      <c r="G333" s="2">
        <v>10</v>
      </c>
      <c r="H333" s="2" t="s">
        <v>23</v>
      </c>
      <c r="I333" s="1">
        <v>0</v>
      </c>
      <c r="J333" s="3" t="s">
        <v>207</v>
      </c>
      <c r="K333" s="2" t="str">
        <f>J333*477.00</f>
        <v>0</v>
      </c>
      <c r="L333" s="5"/>
    </row>
    <row r="334" spans="1:12" customHeight="1" ht="105" outlineLevel="5">
      <c r="A334" s="1"/>
      <c r="B334" s="1">
        <v>820100</v>
      </c>
      <c r="C334" s="1" t="s">
        <v>1248</v>
      </c>
      <c r="D334" s="1" t="s">
        <v>1249</v>
      </c>
      <c r="E334" s="2" t="s">
        <v>1250</v>
      </c>
      <c r="F334" s="2" t="s">
        <v>1251</v>
      </c>
      <c r="G334" s="2">
        <v>2</v>
      </c>
      <c r="H334" s="2" t="s">
        <v>23</v>
      </c>
      <c r="I334" s="1">
        <v>0</v>
      </c>
      <c r="J334" s="3" t="s">
        <v>207</v>
      </c>
      <c r="K334" s="2" t="str">
        <f>J334*535.00</f>
        <v>0</v>
      </c>
      <c r="L334" s="5"/>
    </row>
    <row r="335" spans="1:12" customHeight="1" ht="105" outlineLevel="5">
      <c r="A335" s="1"/>
      <c r="B335" s="1">
        <v>820101</v>
      </c>
      <c r="C335" s="1" t="s">
        <v>1252</v>
      </c>
      <c r="D335" s="1" t="s">
        <v>1253</v>
      </c>
      <c r="E335" s="2" t="s">
        <v>1254</v>
      </c>
      <c r="F335" s="2" t="s">
        <v>1255</v>
      </c>
      <c r="G335" s="2">
        <v>0</v>
      </c>
      <c r="H335" s="2" t="s">
        <v>34</v>
      </c>
      <c r="I335" s="1">
        <v>0</v>
      </c>
      <c r="J335" s="3" t="s">
        <v>207</v>
      </c>
      <c r="K335" s="2" t="str">
        <f>J335*10.00</f>
        <v>0</v>
      </c>
      <c r="L335" s="5"/>
    </row>
    <row r="336" spans="1:12" customHeight="1" ht="105" outlineLevel="5">
      <c r="A336" s="1"/>
      <c r="B336" s="1">
        <v>820102</v>
      </c>
      <c r="C336" s="1" t="s">
        <v>1256</v>
      </c>
      <c r="D336" s="1" t="s">
        <v>1257</v>
      </c>
      <c r="E336" s="2" t="s">
        <v>1258</v>
      </c>
      <c r="F336" s="2" t="s">
        <v>1259</v>
      </c>
      <c r="G336" s="2" t="s">
        <v>33</v>
      </c>
      <c r="H336" s="2" t="s">
        <v>43</v>
      </c>
      <c r="I336" s="1">
        <v>0</v>
      </c>
      <c r="J336" s="3" t="s">
        <v>207</v>
      </c>
      <c r="K336" s="2" t="str">
        <f>J336*11.00</f>
        <v>0</v>
      </c>
      <c r="L336" s="5"/>
    </row>
    <row r="337" spans="1:12" customHeight="1" ht="105" outlineLevel="5">
      <c r="A337" s="1"/>
      <c r="B337" s="1">
        <v>820103</v>
      </c>
      <c r="C337" s="1" t="s">
        <v>1260</v>
      </c>
      <c r="D337" s="1" t="s">
        <v>1261</v>
      </c>
      <c r="E337" s="2" t="s">
        <v>1262</v>
      </c>
      <c r="F337" s="2" t="s">
        <v>1263</v>
      </c>
      <c r="G337" s="2" t="s">
        <v>90</v>
      </c>
      <c r="H337" s="2" t="s">
        <v>23</v>
      </c>
      <c r="I337" s="1">
        <v>0</v>
      </c>
      <c r="J337" s="3" t="s">
        <v>207</v>
      </c>
      <c r="K337" s="2" t="str">
        <f>J337*22.00</f>
        <v>0</v>
      </c>
      <c r="L337" s="5"/>
    </row>
    <row r="338" spans="1:12" customHeight="1" ht="105" outlineLevel="5">
      <c r="A338" s="1"/>
      <c r="B338" s="1">
        <v>820104</v>
      </c>
      <c r="C338" s="1" t="s">
        <v>1264</v>
      </c>
      <c r="D338" s="1" t="s">
        <v>1265</v>
      </c>
      <c r="E338" s="2" t="s">
        <v>1266</v>
      </c>
      <c r="F338" s="2" t="s">
        <v>1267</v>
      </c>
      <c r="G338" s="2" t="s">
        <v>33</v>
      </c>
      <c r="H338" s="2" t="s">
        <v>34</v>
      </c>
      <c r="I338" s="1">
        <v>0</v>
      </c>
      <c r="J338" s="3" t="s">
        <v>207</v>
      </c>
      <c r="K338" s="2" t="str">
        <f>J338*28.00</f>
        <v>0</v>
      </c>
      <c r="L338" s="5"/>
    </row>
    <row r="339" spans="1:12" customHeight="1" ht="105" outlineLevel="5">
      <c r="A339" s="1"/>
      <c r="B339" s="1">
        <v>820105</v>
      </c>
      <c r="C339" s="1" t="s">
        <v>1268</v>
      </c>
      <c r="D339" s="1" t="s">
        <v>1269</v>
      </c>
      <c r="E339" s="2" t="s">
        <v>1270</v>
      </c>
      <c r="F339" s="2" t="s">
        <v>1271</v>
      </c>
      <c r="G339" s="2">
        <v>0</v>
      </c>
      <c r="H339" s="2" t="s">
        <v>23</v>
      </c>
      <c r="I339" s="1">
        <v>0</v>
      </c>
      <c r="J339" s="3" t="s">
        <v>207</v>
      </c>
      <c r="K339" s="2" t="str">
        <f>J339*37.00</f>
        <v>0</v>
      </c>
      <c r="L339" s="5"/>
    </row>
    <row r="340" spans="1:12" customHeight="1" ht="105" outlineLevel="5">
      <c r="A340" s="1"/>
      <c r="B340" s="1">
        <v>825529</v>
      </c>
      <c r="C340" s="1" t="s">
        <v>1272</v>
      </c>
      <c r="D340" s="1" t="s">
        <v>1273</v>
      </c>
      <c r="E340" s="2" t="s">
        <v>1274</v>
      </c>
      <c r="F340" s="2" t="s">
        <v>1032</v>
      </c>
      <c r="G340" s="2" t="s">
        <v>28</v>
      </c>
      <c r="H340" s="2" t="s">
        <v>23</v>
      </c>
      <c r="I340" s="1">
        <v>0</v>
      </c>
      <c r="J340" s="3" t="s">
        <v>207</v>
      </c>
      <c r="K340" s="2" t="str">
        <f>J340*313.00</f>
        <v>0</v>
      </c>
      <c r="L340" s="5"/>
    </row>
    <row r="341" spans="1:12" customHeight="1" ht="105" outlineLevel="5">
      <c r="A341" s="1"/>
      <c r="B341" s="1">
        <v>825530</v>
      </c>
      <c r="C341" s="1" t="s">
        <v>1275</v>
      </c>
      <c r="D341" s="1" t="s">
        <v>1276</v>
      </c>
      <c r="E341" s="2" t="s">
        <v>1277</v>
      </c>
      <c r="F341" s="2" t="s">
        <v>1278</v>
      </c>
      <c r="G341" s="2" t="s">
        <v>33</v>
      </c>
      <c r="H341" s="2" t="s">
        <v>23</v>
      </c>
      <c r="I341" s="1">
        <v>0</v>
      </c>
      <c r="J341" s="3" t="s">
        <v>207</v>
      </c>
      <c r="K341" s="2" t="str">
        <f>J341*382.00</f>
        <v>0</v>
      </c>
      <c r="L341" s="5"/>
    </row>
    <row r="342" spans="1:12" customHeight="1" ht="105" outlineLevel="5">
      <c r="A342" s="1"/>
      <c r="B342" s="1">
        <v>825531</v>
      </c>
      <c r="C342" s="1" t="s">
        <v>1279</v>
      </c>
      <c r="D342" s="1" t="s">
        <v>1280</v>
      </c>
      <c r="E342" s="2" t="s">
        <v>1281</v>
      </c>
      <c r="F342" s="2" t="s">
        <v>1282</v>
      </c>
      <c r="G342" s="2" t="s">
        <v>28</v>
      </c>
      <c r="H342" s="2" t="s">
        <v>23</v>
      </c>
      <c r="I342" s="1">
        <v>0</v>
      </c>
      <c r="J342" s="3" t="s">
        <v>207</v>
      </c>
      <c r="K342" s="2" t="str">
        <f>J342*405.00</f>
        <v>0</v>
      </c>
      <c r="L342" s="5"/>
    </row>
    <row r="343" spans="1:12" customHeight="1" ht="105" outlineLevel="5">
      <c r="A343" s="1"/>
      <c r="B343" s="1">
        <v>825532</v>
      </c>
      <c r="C343" s="1" t="s">
        <v>1283</v>
      </c>
      <c r="D343" s="1" t="s">
        <v>1284</v>
      </c>
      <c r="E343" s="2" t="s">
        <v>1285</v>
      </c>
      <c r="F343" s="2" t="s">
        <v>1286</v>
      </c>
      <c r="G343" s="2" t="s">
        <v>28</v>
      </c>
      <c r="H343" s="2" t="s">
        <v>23</v>
      </c>
      <c r="I343" s="1">
        <v>0</v>
      </c>
      <c r="J343" s="3" t="s">
        <v>207</v>
      </c>
      <c r="K343" s="2" t="str">
        <f>J343*394.00</f>
        <v>0</v>
      </c>
      <c r="L343" s="5"/>
    </row>
    <row r="344" spans="1:12" customHeight="1" ht="105" outlineLevel="5">
      <c r="A344" s="1"/>
      <c r="B344" s="1">
        <v>825533</v>
      </c>
      <c r="C344" s="1" t="s">
        <v>1287</v>
      </c>
      <c r="D344" s="1" t="s">
        <v>1288</v>
      </c>
      <c r="E344" s="2" t="s">
        <v>1289</v>
      </c>
      <c r="F344" s="2" t="s">
        <v>1290</v>
      </c>
      <c r="G344" s="2" t="s">
        <v>28</v>
      </c>
      <c r="H344" s="2" t="s">
        <v>23</v>
      </c>
      <c r="I344" s="1">
        <v>0</v>
      </c>
      <c r="J344" s="3" t="s">
        <v>207</v>
      </c>
      <c r="K344" s="2" t="str">
        <f>J344*485.00</f>
        <v>0</v>
      </c>
      <c r="L344" s="5"/>
    </row>
    <row r="345" spans="1:12" customHeight="1" ht="105" outlineLevel="5">
      <c r="A345" s="1"/>
      <c r="B345" s="1">
        <v>825534</v>
      </c>
      <c r="C345" s="1" t="s">
        <v>1291</v>
      </c>
      <c r="D345" s="1" t="s">
        <v>1292</v>
      </c>
      <c r="E345" s="2" t="s">
        <v>1293</v>
      </c>
      <c r="F345" s="2" t="s">
        <v>885</v>
      </c>
      <c r="G345" s="2">
        <v>3</v>
      </c>
      <c r="H345" s="2" t="s">
        <v>23</v>
      </c>
      <c r="I345" s="1">
        <v>0</v>
      </c>
      <c r="J345" s="3" t="s">
        <v>207</v>
      </c>
      <c r="K345" s="2" t="str">
        <f>J345*544.00</f>
        <v>0</v>
      </c>
      <c r="L345" s="5"/>
    </row>
    <row r="346" spans="1:12" customHeight="1" ht="105" outlineLevel="5">
      <c r="A346" s="1"/>
      <c r="B346" s="1">
        <v>825535</v>
      </c>
      <c r="C346" s="1" t="s">
        <v>1294</v>
      </c>
      <c r="D346" s="1" t="s">
        <v>1295</v>
      </c>
      <c r="E346" s="2" t="s">
        <v>1296</v>
      </c>
      <c r="F346" s="2" t="s">
        <v>1076</v>
      </c>
      <c r="G346" s="2">
        <v>6</v>
      </c>
      <c r="H346" s="2" t="s">
        <v>23</v>
      </c>
      <c r="I346" s="1">
        <v>0</v>
      </c>
      <c r="J346" s="3" t="s">
        <v>207</v>
      </c>
      <c r="K346" s="2" t="str">
        <f>J346*766.00</f>
        <v>0</v>
      </c>
      <c r="L346" s="5"/>
    </row>
    <row r="347" spans="1:12" customHeight="1" ht="105" outlineLevel="5">
      <c r="A347" s="1"/>
      <c r="B347" s="1">
        <v>825536</v>
      </c>
      <c r="C347" s="1" t="s">
        <v>1297</v>
      </c>
      <c r="D347" s="1" t="s">
        <v>1298</v>
      </c>
      <c r="E347" s="2" t="s">
        <v>1299</v>
      </c>
      <c r="F347" s="2" t="s">
        <v>1300</v>
      </c>
      <c r="G347" s="2">
        <v>4</v>
      </c>
      <c r="H347" s="2" t="s">
        <v>90</v>
      </c>
      <c r="I347" s="1">
        <v>0</v>
      </c>
      <c r="J347" s="3" t="s">
        <v>207</v>
      </c>
      <c r="K347" s="2" t="str">
        <f>J347*979.00</f>
        <v>0</v>
      </c>
      <c r="L347" s="5"/>
    </row>
    <row r="348" spans="1:12" customHeight="1" ht="105" outlineLevel="5">
      <c r="A348" s="1"/>
      <c r="B348" s="1">
        <v>825537</v>
      </c>
      <c r="C348" s="1" t="s">
        <v>1301</v>
      </c>
      <c r="D348" s="1" t="s">
        <v>1302</v>
      </c>
      <c r="E348" s="2" t="s">
        <v>1303</v>
      </c>
      <c r="F348" s="2" t="s">
        <v>1304</v>
      </c>
      <c r="G348" s="2">
        <v>0</v>
      </c>
      <c r="H348" s="2">
        <v>0</v>
      </c>
      <c r="I348" s="1">
        <v>0</v>
      </c>
      <c r="J348" s="3" t="s">
        <v>207</v>
      </c>
      <c r="K348" s="2" t="str">
        <f>J348*1151.00</f>
        <v>0</v>
      </c>
      <c r="L348" s="5"/>
    </row>
    <row r="349" spans="1:12" customHeight="1" ht="105" outlineLevel="5">
      <c r="A349" s="1"/>
      <c r="B349" s="1">
        <v>825538</v>
      </c>
      <c r="C349" s="1" t="s">
        <v>1305</v>
      </c>
      <c r="D349" s="1" t="s">
        <v>1306</v>
      </c>
      <c r="E349" s="2" t="s">
        <v>1307</v>
      </c>
      <c r="F349" s="2" t="s">
        <v>1308</v>
      </c>
      <c r="G349" s="2">
        <v>0</v>
      </c>
      <c r="H349" s="2">
        <v>0</v>
      </c>
      <c r="I349" s="1">
        <v>0</v>
      </c>
      <c r="J349" s="3" t="s">
        <v>207</v>
      </c>
      <c r="K349" s="2" t="str">
        <f>J349*1993.00</f>
        <v>0</v>
      </c>
      <c r="L349" s="5"/>
    </row>
    <row r="350" spans="1:12" customHeight="1" ht="105" outlineLevel="5">
      <c r="A350" s="1"/>
      <c r="B350" s="1">
        <v>825539</v>
      </c>
      <c r="C350" s="1" t="s">
        <v>1309</v>
      </c>
      <c r="D350" s="1" t="s">
        <v>1310</v>
      </c>
      <c r="E350" s="2" t="s">
        <v>1311</v>
      </c>
      <c r="F350" s="2" t="s">
        <v>654</v>
      </c>
      <c r="G350" s="2" t="s">
        <v>28</v>
      </c>
      <c r="H350" s="2" t="s">
        <v>23</v>
      </c>
      <c r="I350" s="1">
        <v>0</v>
      </c>
      <c r="J350" s="3" t="s">
        <v>207</v>
      </c>
      <c r="K350" s="2" t="str">
        <f>J350*253.00</f>
        <v>0</v>
      </c>
      <c r="L350" s="5"/>
    </row>
    <row r="351" spans="1:12" customHeight="1" ht="105" outlineLevel="5">
      <c r="A351" s="1"/>
      <c r="B351" s="1">
        <v>825540</v>
      </c>
      <c r="C351" s="1" t="s">
        <v>1312</v>
      </c>
      <c r="D351" s="1" t="s">
        <v>1313</v>
      </c>
      <c r="E351" s="2" t="s">
        <v>1314</v>
      </c>
      <c r="F351" s="2" t="s">
        <v>1315</v>
      </c>
      <c r="G351" s="2" t="s">
        <v>28</v>
      </c>
      <c r="H351" s="2" t="s">
        <v>23</v>
      </c>
      <c r="I351" s="1">
        <v>0</v>
      </c>
      <c r="J351" s="3" t="s">
        <v>207</v>
      </c>
      <c r="K351" s="2" t="str">
        <f>J351*297.00</f>
        <v>0</v>
      </c>
      <c r="L351" s="5"/>
    </row>
    <row r="352" spans="1:12" customHeight="1" ht="105" outlineLevel="5">
      <c r="A352" s="1"/>
      <c r="B352" s="1">
        <v>825541</v>
      </c>
      <c r="C352" s="1" t="s">
        <v>1316</v>
      </c>
      <c r="D352" s="1" t="s">
        <v>1317</v>
      </c>
      <c r="E352" s="2" t="s">
        <v>1318</v>
      </c>
      <c r="F352" s="2" t="s">
        <v>1319</v>
      </c>
      <c r="G352" s="2">
        <v>10</v>
      </c>
      <c r="H352" s="2" t="s">
        <v>23</v>
      </c>
      <c r="I352" s="1">
        <v>0</v>
      </c>
      <c r="J352" s="3" t="s">
        <v>207</v>
      </c>
      <c r="K352" s="2" t="str">
        <f>J352*429.00</f>
        <v>0</v>
      </c>
      <c r="L352" s="5"/>
    </row>
    <row r="353" spans="1:12" customHeight="1" ht="105" outlineLevel="5">
      <c r="A353" s="1"/>
      <c r="B353" s="1">
        <v>825542</v>
      </c>
      <c r="C353" s="1" t="s">
        <v>1320</v>
      </c>
      <c r="D353" s="1" t="s">
        <v>1321</v>
      </c>
      <c r="E353" s="2" t="s">
        <v>1322</v>
      </c>
      <c r="F353" s="2" t="s">
        <v>1323</v>
      </c>
      <c r="G353" s="2">
        <v>4</v>
      </c>
      <c r="H353" s="2" t="s">
        <v>23</v>
      </c>
      <c r="I353" s="1">
        <v>0</v>
      </c>
      <c r="J353" s="3" t="s">
        <v>207</v>
      </c>
      <c r="K353" s="2" t="str">
        <f>J353*310.00</f>
        <v>0</v>
      </c>
      <c r="L353" s="5"/>
    </row>
    <row r="354" spans="1:12" customHeight="1" ht="105" outlineLevel="5">
      <c r="A354" s="1"/>
      <c r="B354" s="1">
        <v>825543</v>
      </c>
      <c r="C354" s="1" t="s">
        <v>1324</v>
      </c>
      <c r="D354" s="1" t="s">
        <v>1325</v>
      </c>
      <c r="E354" s="2" t="s">
        <v>1326</v>
      </c>
      <c r="F354" s="2" t="s">
        <v>762</v>
      </c>
      <c r="G354" s="2">
        <v>6</v>
      </c>
      <c r="H354" s="2" t="s">
        <v>23</v>
      </c>
      <c r="I354" s="1">
        <v>0</v>
      </c>
      <c r="J354" s="3" t="s">
        <v>207</v>
      </c>
      <c r="K354" s="2" t="str">
        <f>J354*438.00</f>
        <v>0</v>
      </c>
      <c r="L354" s="5"/>
    </row>
    <row r="355" spans="1:12" customHeight="1" ht="105" outlineLevel="5">
      <c r="A355" s="1"/>
      <c r="B355" s="1">
        <v>825544</v>
      </c>
      <c r="C355" s="1" t="s">
        <v>1327</v>
      </c>
      <c r="D355" s="1" t="s">
        <v>1328</v>
      </c>
      <c r="E355" s="2" t="s">
        <v>1329</v>
      </c>
      <c r="F355" s="2" t="s">
        <v>1330</v>
      </c>
      <c r="G355" s="2">
        <v>6</v>
      </c>
      <c r="H355" s="2" t="s">
        <v>90</v>
      </c>
      <c r="I355" s="1">
        <v>0</v>
      </c>
      <c r="J355" s="3" t="s">
        <v>207</v>
      </c>
      <c r="K355" s="2" t="str">
        <f>J355*501.00</f>
        <v>0</v>
      </c>
      <c r="L355" s="5"/>
    </row>
    <row r="356" spans="1:12" customHeight="1" ht="105" outlineLevel="5">
      <c r="A356" s="1"/>
      <c r="B356" s="1">
        <v>825545</v>
      </c>
      <c r="C356" s="1" t="s">
        <v>1331</v>
      </c>
      <c r="D356" s="1" t="s">
        <v>1332</v>
      </c>
      <c r="E356" s="2" t="s">
        <v>1333</v>
      </c>
      <c r="F356" s="2" t="s">
        <v>1334</v>
      </c>
      <c r="G356" s="2">
        <v>7</v>
      </c>
      <c r="H356" s="2" t="s">
        <v>23</v>
      </c>
      <c r="I356" s="1">
        <v>0</v>
      </c>
      <c r="J356" s="3" t="s">
        <v>207</v>
      </c>
      <c r="K356" s="2" t="str">
        <f>J356*776.00</f>
        <v>0</v>
      </c>
      <c r="L356" s="5"/>
    </row>
    <row r="357" spans="1:12" customHeight="1" ht="105" outlineLevel="5">
      <c r="A357" s="1"/>
      <c r="B357" s="1">
        <v>825546</v>
      </c>
      <c r="C357" s="1" t="s">
        <v>1335</v>
      </c>
      <c r="D357" s="1" t="s">
        <v>1336</v>
      </c>
      <c r="E357" s="2" t="s">
        <v>1337</v>
      </c>
      <c r="F357" s="2" t="s">
        <v>1338</v>
      </c>
      <c r="G357" s="2">
        <v>0</v>
      </c>
      <c r="H357" s="2">
        <v>0</v>
      </c>
      <c r="I357" s="1">
        <v>0</v>
      </c>
      <c r="J357" s="3" t="s">
        <v>207</v>
      </c>
      <c r="K357" s="2" t="str">
        <f>J357*849.00</f>
        <v>0</v>
      </c>
      <c r="L357" s="5"/>
    </row>
    <row r="358" spans="1:12" customHeight="1" ht="105" outlineLevel="5">
      <c r="A358" s="1"/>
      <c r="B358" s="1">
        <v>825547</v>
      </c>
      <c r="C358" s="1" t="s">
        <v>1339</v>
      </c>
      <c r="D358" s="1" t="s">
        <v>1340</v>
      </c>
      <c r="E358" s="2" t="s">
        <v>1341</v>
      </c>
      <c r="F358" s="2" t="s">
        <v>1342</v>
      </c>
      <c r="G358" s="2">
        <v>0</v>
      </c>
      <c r="H358" s="2">
        <v>0</v>
      </c>
      <c r="I358" s="1">
        <v>0</v>
      </c>
      <c r="J358" s="3" t="s">
        <v>207</v>
      </c>
      <c r="K358" s="2" t="str">
        <f>J358*1159.00</f>
        <v>0</v>
      </c>
      <c r="L358" s="5"/>
    </row>
    <row r="359" spans="1:12" customHeight="1" ht="105" outlineLevel="5">
      <c r="A359" s="1"/>
      <c r="B359" s="1">
        <v>825548</v>
      </c>
      <c r="C359" s="1" t="s">
        <v>1343</v>
      </c>
      <c r="D359" s="1" t="s">
        <v>1344</v>
      </c>
      <c r="E359" s="2" t="s">
        <v>1345</v>
      </c>
      <c r="F359" s="2" t="s">
        <v>1346</v>
      </c>
      <c r="G359" s="2">
        <v>0</v>
      </c>
      <c r="H359" s="2">
        <v>0</v>
      </c>
      <c r="I359" s="1">
        <v>0</v>
      </c>
      <c r="J359" s="3" t="s">
        <v>207</v>
      </c>
      <c r="K359" s="2" t="str">
        <f>J359*1542.00</f>
        <v>0</v>
      </c>
      <c r="L359" s="5"/>
    </row>
    <row r="360" spans="1:12" customHeight="1" ht="105" outlineLevel="5">
      <c r="A360" s="1"/>
      <c r="B360" s="1">
        <v>832356</v>
      </c>
      <c r="C360" s="1" t="s">
        <v>1347</v>
      </c>
      <c r="D360" s="1" t="s">
        <v>1348</v>
      </c>
      <c r="E360" s="2" t="s">
        <v>1349</v>
      </c>
      <c r="F360" s="2" t="s">
        <v>1350</v>
      </c>
      <c r="G360" s="2">
        <v>10</v>
      </c>
      <c r="H360" s="2" t="s">
        <v>90</v>
      </c>
      <c r="I360" s="1">
        <v>0</v>
      </c>
      <c r="J360" s="3" t="s">
        <v>207</v>
      </c>
      <c r="K360" s="2" t="str">
        <f>J360*461.00</f>
        <v>0</v>
      </c>
      <c r="L360" s="5"/>
    </row>
    <row r="361" spans="1:12" customHeight="1" ht="105" outlineLevel="5">
      <c r="A361" s="1"/>
      <c r="B361" s="1">
        <v>832357</v>
      </c>
      <c r="C361" s="1" t="s">
        <v>1351</v>
      </c>
      <c r="D361" s="1" t="s">
        <v>1352</v>
      </c>
      <c r="E361" s="2" t="s">
        <v>1353</v>
      </c>
      <c r="F361" s="2" t="s">
        <v>1354</v>
      </c>
      <c r="G361" s="2">
        <v>8</v>
      </c>
      <c r="H361" s="2" t="s">
        <v>23</v>
      </c>
      <c r="I361" s="1">
        <v>0</v>
      </c>
      <c r="J361" s="3" t="s">
        <v>207</v>
      </c>
      <c r="K361" s="2" t="str">
        <f>J361*658.00</f>
        <v>0</v>
      </c>
      <c r="L361" s="5"/>
    </row>
    <row r="362" spans="1:12" customHeight="1" ht="105" outlineLevel="5">
      <c r="A362" s="1"/>
      <c r="B362" s="1">
        <v>836303</v>
      </c>
      <c r="C362" s="1" t="s">
        <v>1355</v>
      </c>
      <c r="D362" s="1" t="s">
        <v>1356</v>
      </c>
      <c r="E362" s="2" t="s">
        <v>1357</v>
      </c>
      <c r="F362" s="2" t="s">
        <v>1358</v>
      </c>
      <c r="G362" s="2">
        <v>7</v>
      </c>
      <c r="H362" s="2" t="s">
        <v>23</v>
      </c>
      <c r="I362" s="1">
        <v>0</v>
      </c>
      <c r="J362" s="3" t="s">
        <v>207</v>
      </c>
      <c r="K362" s="2" t="str">
        <f>J362*433.00</f>
        <v>0</v>
      </c>
      <c r="L362" s="5"/>
    </row>
    <row r="363" spans="1:12" customHeight="1" ht="105" outlineLevel="5">
      <c r="A363" s="1"/>
      <c r="B363" s="1">
        <v>836304</v>
      </c>
      <c r="C363" s="1" t="s">
        <v>1359</v>
      </c>
      <c r="D363" s="1" t="s">
        <v>1360</v>
      </c>
      <c r="E363" s="2" t="s">
        <v>1361</v>
      </c>
      <c r="F363" s="2" t="s">
        <v>1013</v>
      </c>
      <c r="G363" s="2">
        <v>6</v>
      </c>
      <c r="H363" s="2" t="s">
        <v>33</v>
      </c>
      <c r="I363" s="1">
        <v>0</v>
      </c>
      <c r="J363" s="3" t="s">
        <v>207</v>
      </c>
      <c r="K363" s="2" t="str">
        <f>J363*655.00</f>
        <v>0</v>
      </c>
      <c r="L363" s="5"/>
    </row>
    <row r="364" spans="1:12" customHeight="1" ht="105" outlineLevel="5">
      <c r="A364" s="1"/>
      <c r="B364" s="1">
        <v>836305</v>
      </c>
      <c r="C364" s="1" t="s">
        <v>1362</v>
      </c>
      <c r="D364" s="1" t="s">
        <v>1363</v>
      </c>
      <c r="E364" s="2" t="s">
        <v>1364</v>
      </c>
      <c r="F364" s="2" t="s">
        <v>1365</v>
      </c>
      <c r="G364" s="2">
        <v>4</v>
      </c>
      <c r="H364" s="2" t="s">
        <v>23</v>
      </c>
      <c r="I364" s="1">
        <v>0</v>
      </c>
      <c r="J364" s="3" t="s">
        <v>207</v>
      </c>
      <c r="K364" s="2" t="str">
        <f>J364*730.00</f>
        <v>0</v>
      </c>
      <c r="L364" s="5"/>
    </row>
    <row r="365" spans="1:12" customHeight="1" ht="105" outlineLevel="5">
      <c r="A365" s="1"/>
      <c r="B365" s="1">
        <v>836306</v>
      </c>
      <c r="C365" s="1" t="s">
        <v>1366</v>
      </c>
      <c r="D365" s="1" t="s">
        <v>1367</v>
      </c>
      <c r="E365" s="2" t="s">
        <v>1368</v>
      </c>
      <c r="F365" s="2" t="s">
        <v>1369</v>
      </c>
      <c r="G365" s="2">
        <v>0</v>
      </c>
      <c r="H365" s="2" t="s">
        <v>23</v>
      </c>
      <c r="I365" s="1">
        <v>0</v>
      </c>
      <c r="J365" s="3" t="s">
        <v>207</v>
      </c>
      <c r="K365" s="2" t="str">
        <f>J365*1094.00</f>
        <v>0</v>
      </c>
      <c r="L365" s="5"/>
    </row>
    <row r="366" spans="1:12" customHeight="1" ht="105" outlineLevel="5">
      <c r="A366" s="1"/>
      <c r="B366" s="1">
        <v>836307</v>
      </c>
      <c r="C366" s="1" t="s">
        <v>1370</v>
      </c>
      <c r="D366" s="1" t="s">
        <v>1371</v>
      </c>
      <c r="E366" s="2" t="s">
        <v>1372</v>
      </c>
      <c r="F366" s="2" t="s">
        <v>1373</v>
      </c>
      <c r="G366" s="2">
        <v>0</v>
      </c>
      <c r="H366" s="2" t="s">
        <v>90</v>
      </c>
      <c r="I366" s="1">
        <v>0</v>
      </c>
      <c r="J366" s="3" t="s">
        <v>207</v>
      </c>
      <c r="K366" s="2" t="str">
        <f>J366*1245.00</f>
        <v>0</v>
      </c>
      <c r="L366" s="5"/>
    </row>
    <row r="367" spans="1:12" customHeight="1" ht="105" outlineLevel="5">
      <c r="A367" s="1"/>
      <c r="B367" s="1">
        <v>836308</v>
      </c>
      <c r="C367" s="1" t="s">
        <v>1374</v>
      </c>
      <c r="D367" s="1" t="s">
        <v>1375</v>
      </c>
      <c r="E367" s="2" t="s">
        <v>1376</v>
      </c>
      <c r="F367" s="2" t="s">
        <v>1377</v>
      </c>
      <c r="G367" s="2">
        <v>0</v>
      </c>
      <c r="H367" s="2" t="s">
        <v>90</v>
      </c>
      <c r="I367" s="1">
        <v>0</v>
      </c>
      <c r="J367" s="3" t="s">
        <v>207</v>
      </c>
      <c r="K367" s="2" t="str">
        <f>J367*1342.00</f>
        <v>0</v>
      </c>
      <c r="L367" s="5"/>
    </row>
    <row r="368" spans="1:12" customHeight="1" ht="105" outlineLevel="5">
      <c r="A368" s="1"/>
      <c r="B368" s="1">
        <v>836309</v>
      </c>
      <c r="C368" s="1" t="s">
        <v>1378</v>
      </c>
      <c r="D368" s="1" t="s">
        <v>1379</v>
      </c>
      <c r="E368" s="2" t="s">
        <v>1380</v>
      </c>
      <c r="F368" s="2" t="s">
        <v>1381</v>
      </c>
      <c r="G368" s="2">
        <v>0</v>
      </c>
      <c r="H368" s="2" t="s">
        <v>23</v>
      </c>
      <c r="I368" s="1">
        <v>0</v>
      </c>
      <c r="J368" s="3" t="s">
        <v>207</v>
      </c>
      <c r="K368" s="2" t="str">
        <f>J368*1545.00</f>
        <v>0</v>
      </c>
      <c r="L368" s="5"/>
    </row>
    <row r="369" spans="1:12" customHeight="1" ht="105" outlineLevel="5">
      <c r="A369" s="1"/>
      <c r="B369" s="1">
        <v>836310</v>
      </c>
      <c r="C369" s="1" t="s">
        <v>1382</v>
      </c>
      <c r="D369" s="1" t="s">
        <v>1383</v>
      </c>
      <c r="E369" s="2" t="s">
        <v>1384</v>
      </c>
      <c r="F369" s="2" t="s">
        <v>1385</v>
      </c>
      <c r="G369" s="2">
        <v>0</v>
      </c>
      <c r="H369" s="2" t="s">
        <v>33</v>
      </c>
      <c r="I369" s="1">
        <v>0</v>
      </c>
      <c r="J369" s="3" t="s">
        <v>207</v>
      </c>
      <c r="K369" s="2" t="str">
        <f>J369*1711.00</f>
        <v>0</v>
      </c>
      <c r="L369" s="5"/>
    </row>
    <row r="370" spans="1:12" customHeight="1" ht="105" outlineLevel="5">
      <c r="A370" s="1"/>
      <c r="B370" s="1">
        <v>836311</v>
      </c>
      <c r="C370" s="1" t="s">
        <v>1386</v>
      </c>
      <c r="D370" s="1" t="s">
        <v>1387</v>
      </c>
      <c r="E370" s="2" t="s">
        <v>1388</v>
      </c>
      <c r="F370" s="2" t="s">
        <v>1389</v>
      </c>
      <c r="G370" s="2">
        <v>0</v>
      </c>
      <c r="H370" s="2" t="s">
        <v>23</v>
      </c>
      <c r="I370" s="1">
        <v>0</v>
      </c>
      <c r="J370" s="3" t="s">
        <v>207</v>
      </c>
      <c r="K370" s="2" t="str">
        <f>J370*1538.00</f>
        <v>0</v>
      </c>
      <c r="L370" s="5"/>
    </row>
    <row r="371" spans="1:12" customHeight="1" ht="105" outlineLevel="5">
      <c r="A371" s="1"/>
      <c r="B371" s="1">
        <v>836312</v>
      </c>
      <c r="C371" s="1" t="s">
        <v>1390</v>
      </c>
      <c r="D371" s="1" t="s">
        <v>1391</v>
      </c>
      <c r="E371" s="2" t="s">
        <v>1392</v>
      </c>
      <c r="F371" s="2" t="s">
        <v>1393</v>
      </c>
      <c r="G371" s="2">
        <v>0</v>
      </c>
      <c r="H371" s="2" t="s">
        <v>23</v>
      </c>
      <c r="I371" s="1">
        <v>0</v>
      </c>
      <c r="J371" s="3" t="s">
        <v>207</v>
      </c>
      <c r="K371" s="2" t="str">
        <f>J371*2196.00</f>
        <v>0</v>
      </c>
      <c r="L371" s="5"/>
    </row>
    <row r="372" spans="1:12" customHeight="1" ht="105" outlineLevel="5">
      <c r="A372" s="1"/>
      <c r="B372" s="1">
        <v>836313</v>
      </c>
      <c r="C372" s="1" t="s">
        <v>1394</v>
      </c>
      <c r="D372" s="1" t="s">
        <v>1395</v>
      </c>
      <c r="E372" s="2" t="s">
        <v>1396</v>
      </c>
      <c r="F372" s="2" t="s">
        <v>1397</v>
      </c>
      <c r="G372" s="2">
        <v>0</v>
      </c>
      <c r="H372" s="2" t="s">
        <v>23</v>
      </c>
      <c r="I372" s="1">
        <v>0</v>
      </c>
      <c r="J372" s="3" t="s">
        <v>207</v>
      </c>
      <c r="K372" s="2" t="str">
        <f>J372*1725.00</f>
        <v>0</v>
      </c>
      <c r="L372" s="5"/>
    </row>
    <row r="373" spans="1:12" customHeight="1" ht="105" outlineLevel="5">
      <c r="A373" s="1"/>
      <c r="B373" s="1">
        <v>836314</v>
      </c>
      <c r="C373" s="1" t="s">
        <v>1398</v>
      </c>
      <c r="D373" s="1" t="s">
        <v>1399</v>
      </c>
      <c r="E373" s="2" t="s">
        <v>1400</v>
      </c>
      <c r="F373" s="2" t="s">
        <v>1401</v>
      </c>
      <c r="G373" s="2">
        <v>0</v>
      </c>
      <c r="H373" s="2" t="s">
        <v>23</v>
      </c>
      <c r="I373" s="1">
        <v>0</v>
      </c>
      <c r="J373" s="3" t="s">
        <v>207</v>
      </c>
      <c r="K373" s="2" t="str">
        <f>J373*1959.00</f>
        <v>0</v>
      </c>
      <c r="L373" s="5"/>
    </row>
    <row r="374" spans="1:12" customHeight="1" ht="105" outlineLevel="5">
      <c r="A374" s="1"/>
      <c r="B374" s="1">
        <v>836315</v>
      </c>
      <c r="C374" s="1" t="s">
        <v>1402</v>
      </c>
      <c r="D374" s="1" t="s">
        <v>1403</v>
      </c>
      <c r="E374" s="2" t="s">
        <v>1404</v>
      </c>
      <c r="F374" s="2" t="s">
        <v>1405</v>
      </c>
      <c r="G374" s="2">
        <v>8</v>
      </c>
      <c r="H374" s="2" t="s">
        <v>23</v>
      </c>
      <c r="I374" s="1">
        <v>0</v>
      </c>
      <c r="J374" s="3" t="s">
        <v>207</v>
      </c>
      <c r="K374" s="2" t="str">
        <f>J374*846.00</f>
        <v>0</v>
      </c>
      <c r="L374" s="5"/>
    </row>
    <row r="375" spans="1:12" customHeight="1" ht="105" outlineLevel="5">
      <c r="A375" s="1"/>
      <c r="B375" s="1">
        <v>836316</v>
      </c>
      <c r="C375" s="1" t="s">
        <v>1406</v>
      </c>
      <c r="D375" s="1" t="s">
        <v>1407</v>
      </c>
      <c r="E375" s="2" t="s">
        <v>1408</v>
      </c>
      <c r="F375" s="2" t="s">
        <v>1409</v>
      </c>
      <c r="G375" s="2">
        <v>8</v>
      </c>
      <c r="H375" s="2" t="s">
        <v>23</v>
      </c>
      <c r="I375" s="1">
        <v>0</v>
      </c>
      <c r="J375" s="3" t="s">
        <v>207</v>
      </c>
      <c r="K375" s="2" t="str">
        <f>J375*805.00</f>
        <v>0</v>
      </c>
      <c r="L375" s="5"/>
    </row>
    <row r="376" spans="1:12" customHeight="1" ht="105" outlineLevel="5">
      <c r="A376" s="1"/>
      <c r="B376" s="1">
        <v>836317</v>
      </c>
      <c r="C376" s="1" t="s">
        <v>1410</v>
      </c>
      <c r="D376" s="1" t="s">
        <v>1411</v>
      </c>
      <c r="E376" s="2" t="s">
        <v>1412</v>
      </c>
      <c r="F376" s="2" t="s">
        <v>1149</v>
      </c>
      <c r="G376" s="2">
        <v>5</v>
      </c>
      <c r="H376" s="2" t="s">
        <v>23</v>
      </c>
      <c r="I376" s="1">
        <v>0</v>
      </c>
      <c r="J376" s="3" t="s">
        <v>207</v>
      </c>
      <c r="K376" s="2" t="str">
        <f>J376*789.00</f>
        <v>0</v>
      </c>
      <c r="L376" s="5"/>
    </row>
    <row r="377" spans="1:12" customHeight="1" ht="105" outlineLevel="5">
      <c r="A377" s="1"/>
      <c r="B377" s="1">
        <v>836318</v>
      </c>
      <c r="C377" s="1" t="s">
        <v>1413</v>
      </c>
      <c r="D377" s="1" t="s">
        <v>1216</v>
      </c>
      <c r="E377" s="2" t="s">
        <v>1217</v>
      </c>
      <c r="F377" s="2" t="s">
        <v>1218</v>
      </c>
      <c r="G377" s="2">
        <v>0</v>
      </c>
      <c r="H377" s="2">
        <v>0</v>
      </c>
      <c r="I377" s="1">
        <v>0</v>
      </c>
      <c r="J377" s="3" t="s">
        <v>207</v>
      </c>
      <c r="K377" s="2" t="str">
        <f>J377*1134.00</f>
        <v>0</v>
      </c>
      <c r="L377" s="5"/>
    </row>
    <row r="378" spans="1:12" customHeight="1" ht="105" outlineLevel="5">
      <c r="A378" s="1"/>
      <c r="B378" s="1">
        <v>832358</v>
      </c>
      <c r="C378" s="1" t="s">
        <v>1414</v>
      </c>
      <c r="D378" s="1" t="s">
        <v>1415</v>
      </c>
      <c r="E378" s="2" t="s">
        <v>1416</v>
      </c>
      <c r="F378" s="2" t="s">
        <v>1417</v>
      </c>
      <c r="G378" s="2">
        <v>7</v>
      </c>
      <c r="H378" s="2" t="s">
        <v>23</v>
      </c>
      <c r="I378" s="1">
        <v>0</v>
      </c>
      <c r="J378" s="3" t="s">
        <v>207</v>
      </c>
      <c r="K378" s="2" t="str">
        <f>J378*169.00</f>
        <v>0</v>
      </c>
      <c r="L378" s="5"/>
    </row>
    <row r="379" spans="1:12" customHeight="1" ht="105" outlineLevel="5">
      <c r="A379" s="1"/>
      <c r="B379" s="1">
        <v>832359</v>
      </c>
      <c r="C379" s="1" t="s">
        <v>1418</v>
      </c>
      <c r="D379" s="1" t="s">
        <v>1419</v>
      </c>
      <c r="E379" s="2" t="s">
        <v>1420</v>
      </c>
      <c r="F379" s="2" t="s">
        <v>1421</v>
      </c>
      <c r="G379" s="2" t="s">
        <v>28</v>
      </c>
      <c r="H379" s="2" t="s">
        <v>33</v>
      </c>
      <c r="I379" s="1">
        <v>0</v>
      </c>
      <c r="J379" s="3" t="s">
        <v>207</v>
      </c>
      <c r="K379" s="2" t="str">
        <f>J379*191.00</f>
        <v>0</v>
      </c>
      <c r="L379" s="5"/>
    </row>
    <row r="380" spans="1:12" customHeight="1" ht="105" outlineLevel="5">
      <c r="A380" s="1"/>
      <c r="B380" s="1">
        <v>832360</v>
      </c>
      <c r="C380" s="1" t="s">
        <v>1422</v>
      </c>
      <c r="D380" s="1" t="s">
        <v>1423</v>
      </c>
      <c r="E380" s="2" t="s">
        <v>1424</v>
      </c>
      <c r="F380" s="2" t="s">
        <v>1425</v>
      </c>
      <c r="G380" s="2" t="s">
        <v>28</v>
      </c>
      <c r="H380" s="2" t="s">
        <v>23</v>
      </c>
      <c r="I380" s="1">
        <v>0</v>
      </c>
      <c r="J380" s="3" t="s">
        <v>207</v>
      </c>
      <c r="K380" s="2" t="str">
        <f>J380*254.00</f>
        <v>0</v>
      </c>
      <c r="L380" s="5"/>
    </row>
    <row r="381" spans="1:12" customHeight="1" ht="105" outlineLevel="5">
      <c r="A381" s="1"/>
      <c r="B381" s="1">
        <v>832361</v>
      </c>
      <c r="C381" s="1" t="s">
        <v>1426</v>
      </c>
      <c r="D381" s="1" t="s">
        <v>1427</v>
      </c>
      <c r="E381" s="2" t="s">
        <v>1428</v>
      </c>
      <c r="F381" s="2" t="s">
        <v>1429</v>
      </c>
      <c r="G381" s="2">
        <v>10</v>
      </c>
      <c r="H381" s="2" t="s">
        <v>23</v>
      </c>
      <c r="I381" s="1">
        <v>0</v>
      </c>
      <c r="J381" s="3" t="s">
        <v>207</v>
      </c>
      <c r="K381" s="2" t="str">
        <f>J381*328.00</f>
        <v>0</v>
      </c>
      <c r="L381" s="5"/>
    </row>
    <row r="382" spans="1:12" customHeight="1" ht="105" outlineLevel="5">
      <c r="A382" s="1"/>
      <c r="B382" s="1">
        <v>832362</v>
      </c>
      <c r="C382" s="1" t="s">
        <v>1430</v>
      </c>
      <c r="D382" s="1" t="s">
        <v>1431</v>
      </c>
      <c r="E382" s="2" t="s">
        <v>1432</v>
      </c>
      <c r="F382" s="2" t="s">
        <v>1290</v>
      </c>
      <c r="G382" s="2">
        <v>0</v>
      </c>
      <c r="H382" s="2" t="s">
        <v>90</v>
      </c>
      <c r="I382" s="1">
        <v>0</v>
      </c>
      <c r="J382" s="3" t="s">
        <v>207</v>
      </c>
      <c r="K382" s="2" t="str">
        <f>J382*485.00</f>
        <v>0</v>
      </c>
      <c r="L382" s="5"/>
    </row>
    <row r="383" spans="1:12" customHeight="1" ht="105" outlineLevel="5">
      <c r="A383" s="1"/>
      <c r="B383" s="1">
        <v>832363</v>
      </c>
      <c r="C383" s="1" t="s">
        <v>1433</v>
      </c>
      <c r="D383" s="1" t="s">
        <v>1434</v>
      </c>
      <c r="E383" s="2" t="s">
        <v>1435</v>
      </c>
      <c r="F383" s="2" t="s">
        <v>1436</v>
      </c>
      <c r="G383" s="2">
        <v>0</v>
      </c>
      <c r="H383" s="2" t="s">
        <v>90</v>
      </c>
      <c r="I383" s="1">
        <v>0</v>
      </c>
      <c r="J383" s="3" t="s">
        <v>207</v>
      </c>
      <c r="K383" s="2" t="str">
        <f>J383*486.00</f>
        <v>0</v>
      </c>
      <c r="L383" s="5"/>
    </row>
    <row r="384" spans="1:12" customHeight="1" ht="105" outlineLevel="5">
      <c r="A384" s="1"/>
      <c r="B384" s="1">
        <v>832364</v>
      </c>
      <c r="C384" s="1" t="s">
        <v>1437</v>
      </c>
      <c r="D384" s="1" t="s">
        <v>1438</v>
      </c>
      <c r="E384" s="2" t="s">
        <v>1439</v>
      </c>
      <c r="F384" s="2" t="s">
        <v>1013</v>
      </c>
      <c r="G384" s="2">
        <v>0</v>
      </c>
      <c r="H384" s="2" t="s">
        <v>90</v>
      </c>
      <c r="I384" s="1">
        <v>0</v>
      </c>
      <c r="J384" s="3" t="s">
        <v>207</v>
      </c>
      <c r="K384" s="2" t="str">
        <f>J384*655.00</f>
        <v>0</v>
      </c>
      <c r="L384" s="5"/>
    </row>
    <row r="385" spans="1:12" customHeight="1" ht="105" outlineLevel="5">
      <c r="A385" s="1"/>
      <c r="B385" s="1">
        <v>868508</v>
      </c>
      <c r="C385" s="1" t="s">
        <v>1440</v>
      </c>
      <c r="D385" s="1" t="s">
        <v>1441</v>
      </c>
      <c r="E385" s="2" t="s">
        <v>1442</v>
      </c>
      <c r="F385" s="2" t="s">
        <v>1443</v>
      </c>
      <c r="G385" s="2">
        <v>0</v>
      </c>
      <c r="H385" s="2" t="s">
        <v>90</v>
      </c>
      <c r="I385" s="1">
        <v>0</v>
      </c>
      <c r="J385" s="3" t="s">
        <v>207</v>
      </c>
      <c r="K385" s="2" t="str">
        <f>J385*510.00</f>
        <v>0</v>
      </c>
      <c r="L385" s="5"/>
    </row>
    <row r="386" spans="1:12" customHeight="1" ht="105" outlineLevel="5">
      <c r="A386" s="1"/>
      <c r="B386" s="1">
        <v>868509</v>
      </c>
      <c r="C386" s="1" t="s">
        <v>1444</v>
      </c>
      <c r="D386" s="1" t="s">
        <v>1445</v>
      </c>
      <c r="E386" s="2" t="s">
        <v>1446</v>
      </c>
      <c r="F386" s="2" t="s">
        <v>125</v>
      </c>
      <c r="G386" s="2">
        <v>0</v>
      </c>
      <c r="H386" s="2" t="s">
        <v>23</v>
      </c>
      <c r="I386" s="1">
        <v>0</v>
      </c>
      <c r="J386" s="3" t="s">
        <v>207</v>
      </c>
      <c r="K386" s="2" t="str">
        <f>J386*886.00</f>
        <v>0</v>
      </c>
      <c r="L386" s="5"/>
    </row>
    <row r="387" spans="1:12" customHeight="1" ht="105" outlineLevel="5">
      <c r="A387" s="1"/>
      <c r="B387" s="1">
        <v>889963</v>
      </c>
      <c r="C387" s="1" t="s">
        <v>1447</v>
      </c>
      <c r="D387" s="1" t="s">
        <v>1448</v>
      </c>
      <c r="E387" s="2" t="s">
        <v>1449</v>
      </c>
      <c r="F387" s="2" t="s">
        <v>1450</v>
      </c>
      <c r="G387" s="2">
        <v>8</v>
      </c>
      <c r="H387" s="2" t="s">
        <v>23</v>
      </c>
      <c r="I387" s="1">
        <v>0</v>
      </c>
      <c r="J387" s="3" t="s">
        <v>207</v>
      </c>
      <c r="K387" s="2" t="str">
        <f>J387*473.00</f>
        <v>0</v>
      </c>
      <c r="L387" s="5"/>
    </row>
    <row r="388" spans="1:12" customHeight="1" ht="105" outlineLevel="5">
      <c r="A388" s="1"/>
      <c r="B388" s="1">
        <v>889964</v>
      </c>
      <c r="C388" s="1" t="s">
        <v>1451</v>
      </c>
      <c r="D388" s="1" t="s">
        <v>1452</v>
      </c>
      <c r="E388" s="2" t="s">
        <v>1453</v>
      </c>
      <c r="F388" s="2" t="s">
        <v>1454</v>
      </c>
      <c r="G388" s="2">
        <v>8</v>
      </c>
      <c r="H388" s="2" t="s">
        <v>23</v>
      </c>
      <c r="I388" s="1">
        <v>0</v>
      </c>
      <c r="J388" s="3" t="s">
        <v>207</v>
      </c>
      <c r="K388" s="2" t="str">
        <f>J388*672.00</f>
        <v>0</v>
      </c>
      <c r="L388" s="5"/>
    </row>
    <row r="389" spans="1:12" customHeight="1" ht="105" outlineLevel="5">
      <c r="A389" s="1"/>
      <c r="B389" s="1">
        <v>889965</v>
      </c>
      <c r="C389" s="1" t="s">
        <v>1455</v>
      </c>
      <c r="D389" s="1" t="s">
        <v>1456</v>
      </c>
      <c r="E389" s="2" t="s">
        <v>1457</v>
      </c>
      <c r="F389" s="2" t="s">
        <v>1458</v>
      </c>
      <c r="G389" s="2">
        <v>7</v>
      </c>
      <c r="H389" s="2" t="s">
        <v>23</v>
      </c>
      <c r="I389" s="1">
        <v>0</v>
      </c>
      <c r="J389" s="3" t="s">
        <v>207</v>
      </c>
      <c r="K389" s="2" t="str">
        <f>J389*638.00</f>
        <v>0</v>
      </c>
      <c r="L389" s="5"/>
    </row>
    <row r="390" spans="1:12" customHeight="1" ht="105" outlineLevel="5">
      <c r="A390" s="1"/>
      <c r="B390" s="1">
        <v>889966</v>
      </c>
      <c r="C390" s="1" t="s">
        <v>1459</v>
      </c>
      <c r="D390" s="1" t="s">
        <v>1460</v>
      </c>
      <c r="E390" s="2" t="s">
        <v>1461</v>
      </c>
      <c r="F390" s="2" t="s">
        <v>1462</v>
      </c>
      <c r="G390" s="2">
        <v>9</v>
      </c>
      <c r="H390" s="2" t="s">
        <v>23</v>
      </c>
      <c r="I390" s="1">
        <v>0</v>
      </c>
      <c r="J390" s="3" t="s">
        <v>207</v>
      </c>
      <c r="K390" s="2" t="str">
        <f>J390*723.00</f>
        <v>0</v>
      </c>
      <c r="L390" s="5"/>
    </row>
    <row r="391" spans="1:12" customHeight="1" ht="105" outlineLevel="5">
      <c r="A391" s="1"/>
      <c r="B391" s="1">
        <v>889967</v>
      </c>
      <c r="C391" s="1" t="s">
        <v>1463</v>
      </c>
      <c r="D391" s="1" t="s">
        <v>1464</v>
      </c>
      <c r="E391" s="2" t="s">
        <v>1465</v>
      </c>
      <c r="F391" s="2" t="s">
        <v>970</v>
      </c>
      <c r="G391" s="2">
        <v>8</v>
      </c>
      <c r="H391" s="2" t="s">
        <v>23</v>
      </c>
      <c r="I391" s="1">
        <v>0</v>
      </c>
      <c r="J391" s="3" t="s">
        <v>207</v>
      </c>
      <c r="K391" s="2" t="str">
        <f>J391*650.00</f>
        <v>0</v>
      </c>
      <c r="L391" s="5"/>
    </row>
    <row r="392" spans="1:12" customHeight="1" ht="105" outlineLevel="5">
      <c r="A392" s="1"/>
      <c r="B392" s="1">
        <v>889968</v>
      </c>
      <c r="C392" s="1" t="s">
        <v>1466</v>
      </c>
      <c r="D392" s="1" t="s">
        <v>1467</v>
      </c>
      <c r="E392" s="2" t="s">
        <v>1468</v>
      </c>
      <c r="F392" s="2" t="s">
        <v>1119</v>
      </c>
      <c r="G392" s="2">
        <v>7</v>
      </c>
      <c r="H392" s="2" t="s">
        <v>23</v>
      </c>
      <c r="I392" s="1">
        <v>0</v>
      </c>
      <c r="J392" s="3" t="s">
        <v>207</v>
      </c>
      <c r="K392" s="2" t="str">
        <f>J392*765.00</f>
        <v>0</v>
      </c>
      <c r="L392" s="5"/>
    </row>
    <row r="393" spans="1:12" customHeight="1" ht="105" outlineLevel="5">
      <c r="A393" s="1"/>
      <c r="B393" s="1">
        <v>889969</v>
      </c>
      <c r="C393" s="1" t="s">
        <v>1469</v>
      </c>
      <c r="D393" s="1" t="s">
        <v>1470</v>
      </c>
      <c r="E393" s="2" t="s">
        <v>1471</v>
      </c>
      <c r="F393" s="2" t="s">
        <v>1472</v>
      </c>
      <c r="G393" s="2">
        <v>7</v>
      </c>
      <c r="H393" s="2" t="s">
        <v>23</v>
      </c>
      <c r="I393" s="1">
        <v>0</v>
      </c>
      <c r="J393" s="3" t="s">
        <v>207</v>
      </c>
      <c r="K393" s="2" t="str">
        <f>J393*903.00</f>
        <v>0</v>
      </c>
      <c r="L393" s="5"/>
    </row>
    <row r="394" spans="1:12" customHeight="1" ht="105" outlineLevel="5">
      <c r="A394" s="1"/>
      <c r="B394" s="1">
        <v>889970</v>
      </c>
      <c r="C394" s="1" t="s">
        <v>1473</v>
      </c>
      <c r="D394" s="1" t="s">
        <v>1474</v>
      </c>
      <c r="E394" s="2" t="s">
        <v>1475</v>
      </c>
      <c r="F394" s="2" t="s">
        <v>1476</v>
      </c>
      <c r="G394" s="2">
        <v>4</v>
      </c>
      <c r="H394" s="2" t="s">
        <v>34</v>
      </c>
      <c r="I394" s="1">
        <v>0</v>
      </c>
      <c r="J394" s="3" t="s">
        <v>207</v>
      </c>
      <c r="K394" s="2" t="str">
        <f>J394*799.00</f>
        <v>0</v>
      </c>
      <c r="L394" s="5"/>
    </row>
    <row r="395" spans="1:12" customHeight="1" ht="105" outlineLevel="5">
      <c r="A395" s="1"/>
      <c r="B395" s="1">
        <v>889640</v>
      </c>
      <c r="C395" s="1" t="s">
        <v>1477</v>
      </c>
      <c r="D395" s="1" t="s">
        <v>1478</v>
      </c>
      <c r="E395" s="2" t="s">
        <v>1479</v>
      </c>
      <c r="F395" s="2" t="s">
        <v>1480</v>
      </c>
      <c r="G395" s="2">
        <v>0</v>
      </c>
      <c r="H395" s="2" t="s">
        <v>23</v>
      </c>
      <c r="I395" s="1">
        <v>0</v>
      </c>
      <c r="J395" s="3" t="s">
        <v>207</v>
      </c>
      <c r="K395" s="2" t="str">
        <f>J395*1824.00</f>
        <v>0</v>
      </c>
      <c r="L395" s="5"/>
    </row>
    <row r="396" spans="1:12" customHeight="1" ht="105" outlineLevel="5">
      <c r="A396" s="1"/>
      <c r="B396" s="1">
        <v>889641</v>
      </c>
      <c r="C396" s="1" t="s">
        <v>1481</v>
      </c>
      <c r="D396" s="1" t="s">
        <v>1482</v>
      </c>
      <c r="E396" s="2" t="s">
        <v>1483</v>
      </c>
      <c r="F396" s="2" t="s">
        <v>1484</v>
      </c>
      <c r="G396" s="2">
        <v>0</v>
      </c>
      <c r="H396" s="2" t="s">
        <v>23</v>
      </c>
      <c r="I396" s="1">
        <v>0</v>
      </c>
      <c r="J396" s="3" t="s">
        <v>207</v>
      </c>
      <c r="K396" s="2" t="str">
        <f>J396*2183.00</f>
        <v>0</v>
      </c>
      <c r="L396" s="5"/>
    </row>
    <row r="397" spans="1:12" customHeight="1" ht="105" outlineLevel="5">
      <c r="A397" s="1"/>
      <c r="B397" s="1">
        <v>889642</v>
      </c>
      <c r="C397" s="1" t="s">
        <v>1485</v>
      </c>
      <c r="D397" s="1" t="s">
        <v>1486</v>
      </c>
      <c r="E397" s="2" t="s">
        <v>1487</v>
      </c>
      <c r="F397" s="2" t="s">
        <v>1488</v>
      </c>
      <c r="G397" s="2">
        <v>0</v>
      </c>
      <c r="H397" s="2" t="s">
        <v>90</v>
      </c>
      <c r="I397" s="1">
        <v>0</v>
      </c>
      <c r="J397" s="3" t="s">
        <v>207</v>
      </c>
      <c r="K397" s="2" t="str">
        <f>J397*1475.00</f>
        <v>0</v>
      </c>
      <c r="L397" s="5"/>
    </row>
    <row r="398" spans="1:12" customHeight="1" ht="105" outlineLevel="5">
      <c r="A398" s="1"/>
      <c r="B398" s="1">
        <v>889643</v>
      </c>
      <c r="C398" s="1" t="s">
        <v>1489</v>
      </c>
      <c r="D398" s="1" t="s">
        <v>1490</v>
      </c>
      <c r="E398" s="2" t="s">
        <v>1491</v>
      </c>
      <c r="F398" s="2" t="s">
        <v>1492</v>
      </c>
      <c r="G398" s="2">
        <v>0</v>
      </c>
      <c r="H398" s="2" t="s">
        <v>33</v>
      </c>
      <c r="I398" s="1">
        <v>0</v>
      </c>
      <c r="J398" s="3" t="s">
        <v>207</v>
      </c>
      <c r="K398" s="2" t="str">
        <f>J398*1903.00</f>
        <v>0</v>
      </c>
      <c r="L398" s="5"/>
    </row>
    <row r="399" spans="1:12" customHeight="1" ht="105" outlineLevel="5">
      <c r="A399" s="1"/>
      <c r="B399" s="1">
        <v>889644</v>
      </c>
      <c r="C399" s="1" t="s">
        <v>1493</v>
      </c>
      <c r="D399" s="1" t="s">
        <v>1494</v>
      </c>
      <c r="E399" s="2" t="s">
        <v>1495</v>
      </c>
      <c r="F399" s="2" t="s">
        <v>1496</v>
      </c>
      <c r="G399" s="2">
        <v>0</v>
      </c>
      <c r="H399" s="2" t="s">
        <v>28</v>
      </c>
      <c r="I399" s="1">
        <v>0</v>
      </c>
      <c r="J399" s="3" t="s">
        <v>207</v>
      </c>
      <c r="K399" s="2" t="str">
        <f>J399*2377.00</f>
        <v>0</v>
      </c>
      <c r="L399" s="5"/>
    </row>
    <row r="400" spans="1:12" customHeight="1" ht="105" outlineLevel="5">
      <c r="A400" s="1"/>
      <c r="B400" s="1">
        <v>889645</v>
      </c>
      <c r="C400" s="1" t="s">
        <v>1497</v>
      </c>
      <c r="D400" s="1" t="s">
        <v>1498</v>
      </c>
      <c r="E400" s="2" t="s">
        <v>1499</v>
      </c>
      <c r="F400" s="2" t="s">
        <v>1500</v>
      </c>
      <c r="G400" s="2">
        <v>0</v>
      </c>
      <c r="H400" s="2" t="s">
        <v>90</v>
      </c>
      <c r="I400" s="1">
        <v>0</v>
      </c>
      <c r="J400" s="3" t="s">
        <v>207</v>
      </c>
      <c r="K400" s="2" t="str">
        <f>J400*3274.00</f>
        <v>0</v>
      </c>
      <c r="L400" s="5"/>
    </row>
    <row r="401" spans="1:12" customHeight="1" ht="105" outlineLevel="5">
      <c r="A401" s="1"/>
      <c r="B401" s="1">
        <v>889646</v>
      </c>
      <c r="C401" s="1" t="s">
        <v>1501</v>
      </c>
      <c r="D401" s="1" t="s">
        <v>1502</v>
      </c>
      <c r="E401" s="2" t="s">
        <v>1503</v>
      </c>
      <c r="F401" s="2" t="s">
        <v>1504</v>
      </c>
      <c r="G401" s="2">
        <v>0</v>
      </c>
      <c r="H401" s="2" t="s">
        <v>33</v>
      </c>
      <c r="I401" s="1">
        <v>0</v>
      </c>
      <c r="J401" s="3" t="s">
        <v>207</v>
      </c>
      <c r="K401" s="2" t="str">
        <f>J401*4366.00</f>
        <v>0</v>
      </c>
      <c r="L401" s="5"/>
    </row>
    <row r="402" spans="1:12" customHeight="1" ht="105" outlineLevel="5">
      <c r="A402" s="1"/>
      <c r="B402" s="1">
        <v>889647</v>
      </c>
      <c r="C402" s="1" t="s">
        <v>1505</v>
      </c>
      <c r="D402" s="1" t="s">
        <v>1506</v>
      </c>
      <c r="E402" s="2" t="s">
        <v>1507</v>
      </c>
      <c r="F402" s="2" t="s">
        <v>1508</v>
      </c>
      <c r="G402" s="2">
        <v>0</v>
      </c>
      <c r="H402" s="2" t="s">
        <v>90</v>
      </c>
      <c r="I402" s="1">
        <v>0</v>
      </c>
      <c r="J402" s="3" t="s">
        <v>207</v>
      </c>
      <c r="K402" s="2" t="str">
        <f>J402*4006.00</f>
        <v>0</v>
      </c>
      <c r="L402" s="5"/>
    </row>
    <row r="403" spans="1:12" customHeight="1" ht="105" outlineLevel="5">
      <c r="A403" s="1"/>
      <c r="B403" s="1">
        <v>889648</v>
      </c>
      <c r="C403" s="1" t="s">
        <v>1509</v>
      </c>
      <c r="D403" s="1" t="s">
        <v>1510</v>
      </c>
      <c r="E403" s="2" t="s">
        <v>1511</v>
      </c>
      <c r="F403" s="2" t="s">
        <v>1512</v>
      </c>
      <c r="G403" s="2">
        <v>0</v>
      </c>
      <c r="H403" s="2">
        <v>10</v>
      </c>
      <c r="I403" s="1">
        <v>0</v>
      </c>
      <c r="J403" s="3" t="s">
        <v>207</v>
      </c>
      <c r="K403" s="2" t="str">
        <f>J403*5255.00</f>
        <v>0</v>
      </c>
      <c r="L403" s="5"/>
    </row>
    <row r="404" spans="1:12" customHeight="1" ht="105" outlineLevel="5">
      <c r="A404" s="1"/>
      <c r="B404" s="1">
        <v>889649</v>
      </c>
      <c r="C404" s="1" t="s">
        <v>1513</v>
      </c>
      <c r="D404" s="1" t="s">
        <v>1514</v>
      </c>
      <c r="E404" s="2" t="s">
        <v>1515</v>
      </c>
      <c r="F404" s="2" t="s">
        <v>1516</v>
      </c>
      <c r="G404" s="2">
        <v>0</v>
      </c>
      <c r="H404" s="2" t="s">
        <v>90</v>
      </c>
      <c r="I404" s="1">
        <v>0</v>
      </c>
      <c r="J404" s="3" t="s">
        <v>207</v>
      </c>
      <c r="K404" s="2" t="str">
        <f>J404*3389.00</f>
        <v>0</v>
      </c>
      <c r="L404" s="5"/>
    </row>
    <row r="405" spans="1:12" customHeight="1" ht="105" outlineLevel="5">
      <c r="A405" s="1"/>
      <c r="B405" s="1">
        <v>889650</v>
      </c>
      <c r="C405" s="1" t="s">
        <v>1517</v>
      </c>
      <c r="D405" s="1" t="s">
        <v>1518</v>
      </c>
      <c r="E405" s="2" t="s">
        <v>1519</v>
      </c>
      <c r="F405" s="2" t="s">
        <v>1504</v>
      </c>
      <c r="G405" s="2">
        <v>0</v>
      </c>
      <c r="H405" s="2" t="s">
        <v>33</v>
      </c>
      <c r="I405" s="1">
        <v>0</v>
      </c>
      <c r="J405" s="3" t="s">
        <v>207</v>
      </c>
      <c r="K405" s="2" t="str">
        <f>J405*4366.00</f>
        <v>0</v>
      </c>
      <c r="L405" s="5"/>
    </row>
    <row r="406" spans="1:12" customHeight="1" ht="105" outlineLevel="5">
      <c r="A406" s="1"/>
      <c r="B406" s="1">
        <v>889651</v>
      </c>
      <c r="C406" s="1" t="s">
        <v>1520</v>
      </c>
      <c r="D406" s="1" t="s">
        <v>1521</v>
      </c>
      <c r="E406" s="2" t="s">
        <v>1522</v>
      </c>
      <c r="F406" s="2" t="s">
        <v>1523</v>
      </c>
      <c r="G406" s="2">
        <v>0</v>
      </c>
      <c r="H406" s="2" t="s">
        <v>28</v>
      </c>
      <c r="I406" s="1">
        <v>0</v>
      </c>
      <c r="J406" s="3" t="s">
        <v>207</v>
      </c>
      <c r="K406" s="2" t="str">
        <f>J406*3537.00</f>
        <v>0</v>
      </c>
      <c r="L406" s="5"/>
    </row>
    <row r="407" spans="1:12" customHeight="1" ht="105" outlineLevel="5">
      <c r="A407" s="1"/>
      <c r="B407" s="1">
        <v>889652</v>
      </c>
      <c r="C407" s="1" t="s">
        <v>1524</v>
      </c>
      <c r="D407" s="1" t="s">
        <v>1525</v>
      </c>
      <c r="E407" s="2" t="s">
        <v>1526</v>
      </c>
      <c r="F407" s="2" t="s">
        <v>1527</v>
      </c>
      <c r="G407" s="2">
        <v>0</v>
      </c>
      <c r="H407" s="2">
        <v>9</v>
      </c>
      <c r="I407" s="1">
        <v>0</v>
      </c>
      <c r="J407" s="3" t="s">
        <v>207</v>
      </c>
      <c r="K407" s="2" t="str">
        <f>J407*4684.00</f>
        <v>0</v>
      </c>
      <c r="L407" s="5"/>
    </row>
    <row r="408" spans="1:12" customHeight="1" ht="105" outlineLevel="5">
      <c r="A408" s="1"/>
      <c r="B408" s="1">
        <v>889653</v>
      </c>
      <c r="C408" s="1" t="s">
        <v>1528</v>
      </c>
      <c r="D408" s="1" t="s">
        <v>1529</v>
      </c>
      <c r="E408" s="2" t="s">
        <v>1530</v>
      </c>
      <c r="F408" s="2" t="s">
        <v>1531</v>
      </c>
      <c r="G408" s="2">
        <v>0</v>
      </c>
      <c r="H408" s="2">
        <v>8</v>
      </c>
      <c r="I408" s="1">
        <v>0</v>
      </c>
      <c r="J408" s="3" t="s">
        <v>207</v>
      </c>
      <c r="K408" s="2" t="str">
        <f>J408*3160.00</f>
        <v>0</v>
      </c>
      <c r="L408" s="5"/>
    </row>
    <row r="409" spans="1:12" customHeight="1" ht="105" outlineLevel="5">
      <c r="A409" s="1"/>
      <c r="B409" s="1">
        <v>889654</v>
      </c>
      <c r="C409" s="1" t="s">
        <v>1532</v>
      </c>
      <c r="D409" s="1" t="s">
        <v>1533</v>
      </c>
      <c r="E409" s="2" t="s">
        <v>1534</v>
      </c>
      <c r="F409" s="2" t="s">
        <v>1535</v>
      </c>
      <c r="G409" s="2">
        <v>0</v>
      </c>
      <c r="H409" s="2" t="s">
        <v>28</v>
      </c>
      <c r="I409" s="1">
        <v>0</v>
      </c>
      <c r="J409" s="3" t="s">
        <v>207</v>
      </c>
      <c r="K409" s="2" t="str">
        <f>J409*4085.00</f>
        <v>0</v>
      </c>
      <c r="L409" s="5"/>
    </row>
    <row r="410" spans="1:12" customHeight="1" ht="105" outlineLevel="5">
      <c r="A410" s="1"/>
      <c r="B410" s="1">
        <v>889655</v>
      </c>
      <c r="C410" s="1" t="s">
        <v>1536</v>
      </c>
      <c r="D410" s="1" t="s">
        <v>1537</v>
      </c>
      <c r="E410" s="2" t="s">
        <v>1538</v>
      </c>
      <c r="F410" s="2" t="s">
        <v>1539</v>
      </c>
      <c r="G410" s="2">
        <v>0</v>
      </c>
      <c r="H410" s="2">
        <v>8</v>
      </c>
      <c r="I410" s="1">
        <v>0</v>
      </c>
      <c r="J410" s="3" t="s">
        <v>207</v>
      </c>
      <c r="K410" s="2" t="str">
        <f>J410*1957.00</f>
        <v>0</v>
      </c>
      <c r="L410" s="5"/>
    </row>
    <row r="411" spans="1:12" customHeight="1" ht="105" outlineLevel="5">
      <c r="A411" s="1"/>
      <c r="B411" s="1">
        <v>889656</v>
      </c>
      <c r="C411" s="1" t="s">
        <v>1540</v>
      </c>
      <c r="D411" s="1" t="s">
        <v>1541</v>
      </c>
      <c r="E411" s="2" t="s">
        <v>1542</v>
      </c>
      <c r="F411" s="2" t="s">
        <v>1543</v>
      </c>
      <c r="G411" s="2">
        <v>0</v>
      </c>
      <c r="H411" s="2" t="s">
        <v>28</v>
      </c>
      <c r="I411" s="1">
        <v>0</v>
      </c>
      <c r="J411" s="3" t="s">
        <v>207</v>
      </c>
      <c r="K411" s="2" t="str">
        <f>J411*2122.00</f>
        <v>0</v>
      </c>
      <c r="L411" s="5"/>
    </row>
    <row r="412" spans="1:12" customHeight="1" ht="105" outlineLevel="5">
      <c r="A412" s="1"/>
      <c r="B412" s="1">
        <v>889657</v>
      </c>
      <c r="C412" s="1" t="s">
        <v>1544</v>
      </c>
      <c r="D412" s="1" t="s">
        <v>1545</v>
      </c>
      <c r="E412" s="2" t="s">
        <v>1546</v>
      </c>
      <c r="F412" s="2" t="s">
        <v>1547</v>
      </c>
      <c r="G412" s="2">
        <v>0</v>
      </c>
      <c r="H412" s="2" t="s">
        <v>23</v>
      </c>
      <c r="I412" s="1">
        <v>0</v>
      </c>
      <c r="J412" s="3" t="s">
        <v>207</v>
      </c>
      <c r="K412" s="2" t="str">
        <f>J412*3824.00</f>
        <v>0</v>
      </c>
      <c r="L412" s="5"/>
    </row>
    <row r="413" spans="1:12" customHeight="1" ht="105" outlineLevel="5">
      <c r="A413" s="1"/>
      <c r="B413" s="1">
        <v>889658</v>
      </c>
      <c r="C413" s="1" t="s">
        <v>1548</v>
      </c>
      <c r="D413" s="1" t="s">
        <v>1549</v>
      </c>
      <c r="E413" s="2" t="s">
        <v>1550</v>
      </c>
      <c r="F413" s="2" t="s">
        <v>1551</v>
      </c>
      <c r="G413" s="2">
        <v>0</v>
      </c>
      <c r="H413" s="2" t="s">
        <v>33</v>
      </c>
      <c r="I413" s="1">
        <v>0</v>
      </c>
      <c r="J413" s="3" t="s">
        <v>207</v>
      </c>
      <c r="K413" s="2" t="str">
        <f>J413*6771.00</f>
        <v>0</v>
      </c>
      <c r="L413" s="5"/>
    </row>
    <row r="414" spans="1:12" customHeight="1" ht="105" outlineLevel="5">
      <c r="A414" s="1"/>
      <c r="B414" s="1">
        <v>889659</v>
      </c>
      <c r="C414" s="1" t="s">
        <v>1552</v>
      </c>
      <c r="D414" s="1" t="s">
        <v>1553</v>
      </c>
      <c r="E414" s="2" t="s">
        <v>1554</v>
      </c>
      <c r="F414" s="2" t="s">
        <v>1555</v>
      </c>
      <c r="G414" s="2">
        <v>0</v>
      </c>
      <c r="H414" s="2" t="s">
        <v>28</v>
      </c>
      <c r="I414" s="1">
        <v>0</v>
      </c>
      <c r="J414" s="3" t="s">
        <v>207</v>
      </c>
      <c r="K414" s="2" t="str">
        <f>J414*8382.00</f>
        <v>0</v>
      </c>
      <c r="L414" s="5"/>
    </row>
    <row r="415" spans="1:12" customHeight="1" ht="105" outlineLevel="5">
      <c r="A415" s="1"/>
      <c r="B415" s="1">
        <v>890206</v>
      </c>
      <c r="C415" s="1" t="s">
        <v>1556</v>
      </c>
      <c r="D415" s="1" t="s">
        <v>1557</v>
      </c>
      <c r="E415" s="2" t="s">
        <v>1558</v>
      </c>
      <c r="F415" s="2" t="s">
        <v>1429</v>
      </c>
      <c r="G415" s="2">
        <v>10</v>
      </c>
      <c r="H415" s="2" t="s">
        <v>23</v>
      </c>
      <c r="I415" s="1">
        <v>0</v>
      </c>
      <c r="J415" s="3" t="s">
        <v>207</v>
      </c>
      <c r="K415" s="2" t="str">
        <f>J415*328.00</f>
        <v>0</v>
      </c>
      <c r="L415" s="5"/>
    </row>
    <row r="416" spans="1:12" customHeight="1" ht="105" outlineLevel="5">
      <c r="A416" s="1"/>
      <c r="B416" s="1">
        <v>890207</v>
      </c>
      <c r="C416" s="1" t="s">
        <v>1559</v>
      </c>
      <c r="D416" s="1" t="s">
        <v>1560</v>
      </c>
      <c r="E416" s="2" t="s">
        <v>1561</v>
      </c>
      <c r="F416" s="2" t="s">
        <v>804</v>
      </c>
      <c r="G416" s="2">
        <v>10</v>
      </c>
      <c r="H416" s="2" t="s">
        <v>23</v>
      </c>
      <c r="I416" s="1">
        <v>0</v>
      </c>
      <c r="J416" s="3" t="s">
        <v>207</v>
      </c>
      <c r="K416" s="2" t="str">
        <f>J416*388.00</f>
        <v>0</v>
      </c>
      <c r="L416" s="5"/>
    </row>
    <row r="417" spans="1:12" customHeight="1" ht="105" outlineLevel="5">
      <c r="A417" s="1"/>
      <c r="B417" s="1">
        <v>890208</v>
      </c>
      <c r="C417" s="1" t="s">
        <v>1562</v>
      </c>
      <c r="D417" s="1" t="s">
        <v>1563</v>
      </c>
      <c r="E417" s="2" t="s">
        <v>1564</v>
      </c>
      <c r="F417" s="2" t="s">
        <v>866</v>
      </c>
      <c r="G417" s="2">
        <v>10</v>
      </c>
      <c r="H417" s="2" t="s">
        <v>23</v>
      </c>
      <c r="I417" s="1">
        <v>0</v>
      </c>
      <c r="J417" s="3" t="s">
        <v>207</v>
      </c>
      <c r="K417" s="2" t="str">
        <f>J417*469.00</f>
        <v>0</v>
      </c>
      <c r="L417" s="5"/>
    </row>
    <row r="418" spans="1:12" customHeight="1" ht="105" outlineLevel="5">
      <c r="A418" s="1"/>
      <c r="B418" s="1">
        <v>890209</v>
      </c>
      <c r="C418" s="1" t="s">
        <v>1565</v>
      </c>
      <c r="D418" s="1" t="s">
        <v>1566</v>
      </c>
      <c r="E418" s="2" t="s">
        <v>1567</v>
      </c>
      <c r="F418" s="2" t="s">
        <v>1568</v>
      </c>
      <c r="G418" s="2">
        <v>8</v>
      </c>
      <c r="H418" s="2" t="s">
        <v>90</v>
      </c>
      <c r="I418" s="1">
        <v>0</v>
      </c>
      <c r="J418" s="3" t="s">
        <v>207</v>
      </c>
      <c r="K418" s="2" t="str">
        <f>J418*431.00</f>
        <v>0</v>
      </c>
      <c r="L418" s="5"/>
    </row>
    <row r="419" spans="1:12" customHeight="1" ht="105" outlineLevel="5">
      <c r="A419" s="1"/>
      <c r="B419" s="1">
        <v>890210</v>
      </c>
      <c r="C419" s="1" t="s">
        <v>1569</v>
      </c>
      <c r="D419" s="1" t="s">
        <v>1570</v>
      </c>
      <c r="E419" s="2" t="s">
        <v>1571</v>
      </c>
      <c r="F419" s="2" t="s">
        <v>1436</v>
      </c>
      <c r="G419" s="2">
        <v>5</v>
      </c>
      <c r="H419" s="2" t="s">
        <v>90</v>
      </c>
      <c r="I419" s="1">
        <v>0</v>
      </c>
      <c r="J419" s="3" t="s">
        <v>207</v>
      </c>
      <c r="K419" s="2" t="str">
        <f>J419*486.00</f>
        <v>0</v>
      </c>
      <c r="L419" s="5"/>
    </row>
    <row r="420" spans="1:12" customHeight="1" ht="105" outlineLevel="5">
      <c r="A420" s="1"/>
      <c r="B420" s="1">
        <v>890211</v>
      </c>
      <c r="C420" s="1" t="s">
        <v>1572</v>
      </c>
      <c r="D420" s="1" t="s">
        <v>1573</v>
      </c>
      <c r="E420" s="2" t="s">
        <v>1574</v>
      </c>
      <c r="F420" s="2" t="s">
        <v>1575</v>
      </c>
      <c r="G420" s="2">
        <v>10</v>
      </c>
      <c r="H420" s="2" t="s">
        <v>33</v>
      </c>
      <c r="I420" s="1">
        <v>0</v>
      </c>
      <c r="J420" s="3" t="s">
        <v>207</v>
      </c>
      <c r="K420" s="2" t="str">
        <f>J420*759.00</f>
        <v>0</v>
      </c>
      <c r="L420" s="5"/>
    </row>
    <row r="421" spans="1:12" customHeight="1" ht="105" outlineLevel="5">
      <c r="A421" s="1"/>
      <c r="B421" s="1">
        <v>890212</v>
      </c>
      <c r="C421" s="1" t="s">
        <v>1576</v>
      </c>
      <c r="D421" s="1" t="s">
        <v>1577</v>
      </c>
      <c r="E421" s="2" t="s">
        <v>1578</v>
      </c>
      <c r="F421" s="2" t="s">
        <v>1579</v>
      </c>
      <c r="G421" s="2">
        <v>10</v>
      </c>
      <c r="H421" s="2" t="s">
        <v>90</v>
      </c>
      <c r="I421" s="1">
        <v>0</v>
      </c>
      <c r="J421" s="3" t="s">
        <v>207</v>
      </c>
      <c r="K421" s="2" t="str">
        <f>J421*858.00</f>
        <v>0</v>
      </c>
      <c r="L421" s="5"/>
    </row>
    <row r="422" spans="1:12" customHeight="1" ht="105" outlineLevel="5">
      <c r="A422" s="1"/>
      <c r="B422" s="1">
        <v>890213</v>
      </c>
      <c r="C422" s="1" t="s">
        <v>1580</v>
      </c>
      <c r="D422" s="1" t="s">
        <v>1581</v>
      </c>
      <c r="E422" s="2" t="s">
        <v>1582</v>
      </c>
      <c r="F422" s="2" t="s">
        <v>1583</v>
      </c>
      <c r="G422" s="2">
        <v>9</v>
      </c>
      <c r="H422" s="2" t="s">
        <v>90</v>
      </c>
      <c r="I422" s="1">
        <v>0</v>
      </c>
      <c r="J422" s="3" t="s">
        <v>207</v>
      </c>
      <c r="K422" s="2" t="str">
        <f>J422*336.00</f>
        <v>0</v>
      </c>
      <c r="L422" s="5"/>
    </row>
    <row r="423" spans="1:12" customHeight="1" ht="105" outlineLevel="5">
      <c r="A423" s="1"/>
      <c r="B423" s="1">
        <v>890214</v>
      </c>
      <c r="C423" s="1" t="s">
        <v>1584</v>
      </c>
      <c r="D423" s="1" t="s">
        <v>1585</v>
      </c>
      <c r="E423" s="2" t="s">
        <v>1586</v>
      </c>
      <c r="F423" s="2" t="s">
        <v>1587</v>
      </c>
      <c r="G423" s="2">
        <v>10</v>
      </c>
      <c r="H423" s="2" t="s">
        <v>23</v>
      </c>
      <c r="I423" s="1">
        <v>0</v>
      </c>
      <c r="J423" s="3" t="s">
        <v>207</v>
      </c>
      <c r="K423" s="2" t="str">
        <f>J423*402.00</f>
        <v>0</v>
      </c>
      <c r="L423" s="5"/>
    </row>
    <row r="424" spans="1:12" customHeight="1" ht="105" outlineLevel="5">
      <c r="A424" s="1"/>
      <c r="B424" s="1">
        <v>890215</v>
      </c>
      <c r="C424" s="1" t="s">
        <v>1588</v>
      </c>
      <c r="D424" s="1" t="s">
        <v>1589</v>
      </c>
      <c r="E424" s="2" t="s">
        <v>1590</v>
      </c>
      <c r="F424" s="2" t="s">
        <v>1450</v>
      </c>
      <c r="G424" s="2">
        <v>10</v>
      </c>
      <c r="H424" s="2" t="s">
        <v>23</v>
      </c>
      <c r="I424" s="1">
        <v>0</v>
      </c>
      <c r="J424" s="3" t="s">
        <v>207</v>
      </c>
      <c r="K424" s="2" t="str">
        <f>J424*473.00</f>
        <v>0</v>
      </c>
      <c r="L424" s="5"/>
    </row>
    <row r="425" spans="1:12" customHeight="1" ht="105" outlineLevel="5">
      <c r="A425" s="1"/>
      <c r="B425" s="1">
        <v>890216</v>
      </c>
      <c r="C425" s="1" t="s">
        <v>1591</v>
      </c>
      <c r="D425" s="1" t="s">
        <v>1592</v>
      </c>
      <c r="E425" s="2" t="s">
        <v>1593</v>
      </c>
      <c r="F425" s="2" t="s">
        <v>866</v>
      </c>
      <c r="G425" s="2">
        <v>7</v>
      </c>
      <c r="H425" s="2" t="s">
        <v>90</v>
      </c>
      <c r="I425" s="1">
        <v>0</v>
      </c>
      <c r="J425" s="3" t="s">
        <v>207</v>
      </c>
      <c r="K425" s="2" t="str">
        <f>J425*469.00</f>
        <v>0</v>
      </c>
      <c r="L425" s="5"/>
    </row>
    <row r="426" spans="1:12" customHeight="1" ht="105" outlineLevel="5">
      <c r="A426" s="1"/>
      <c r="B426" s="1">
        <v>890217</v>
      </c>
      <c r="C426" s="1" t="s">
        <v>1594</v>
      </c>
      <c r="D426" s="1" t="s">
        <v>1595</v>
      </c>
      <c r="E426" s="2" t="s">
        <v>1596</v>
      </c>
      <c r="F426" s="2" t="s">
        <v>1597</v>
      </c>
      <c r="G426" s="2">
        <v>10</v>
      </c>
      <c r="H426" s="2" t="s">
        <v>90</v>
      </c>
      <c r="I426" s="1">
        <v>0</v>
      </c>
      <c r="J426" s="3" t="s">
        <v>207</v>
      </c>
      <c r="K426" s="2" t="str">
        <f>J426*500.00</f>
        <v>0</v>
      </c>
      <c r="L426" s="5"/>
    </row>
    <row r="427" spans="1:12" customHeight="1" ht="105" outlineLevel="5">
      <c r="A427" s="1"/>
      <c r="B427" s="1">
        <v>890218</v>
      </c>
      <c r="C427" s="1" t="s">
        <v>1598</v>
      </c>
      <c r="D427" s="1" t="s">
        <v>1599</v>
      </c>
      <c r="E427" s="2" t="s">
        <v>1600</v>
      </c>
      <c r="F427" s="2" t="s">
        <v>1601</v>
      </c>
      <c r="G427" s="2">
        <v>7</v>
      </c>
      <c r="H427" s="2" t="s">
        <v>33</v>
      </c>
      <c r="I427" s="1">
        <v>0</v>
      </c>
      <c r="J427" s="3" t="s">
        <v>207</v>
      </c>
      <c r="K427" s="2" t="str">
        <f>J427*656.00</f>
        <v>0</v>
      </c>
      <c r="L427" s="5"/>
    </row>
    <row r="428" spans="1:12" customHeight="1" ht="105" outlineLevel="5">
      <c r="A428" s="1"/>
      <c r="B428" s="1">
        <v>890219</v>
      </c>
      <c r="C428" s="1" t="s">
        <v>1602</v>
      </c>
      <c r="D428" s="1" t="s">
        <v>1603</v>
      </c>
      <c r="E428" s="2" t="s">
        <v>1604</v>
      </c>
      <c r="F428" s="2" t="s">
        <v>1605</v>
      </c>
      <c r="G428" s="2">
        <v>10</v>
      </c>
      <c r="H428" s="2" t="s">
        <v>33</v>
      </c>
      <c r="I428" s="1">
        <v>0</v>
      </c>
      <c r="J428" s="3" t="s">
        <v>207</v>
      </c>
      <c r="K428" s="2" t="str">
        <f>J428*882.00</f>
        <v>0</v>
      </c>
      <c r="L428" s="5"/>
    </row>
    <row r="429" spans="1:12" customHeight="1" ht="105" outlineLevel="5">
      <c r="A429" s="1"/>
      <c r="B429" s="1">
        <v>956374</v>
      </c>
      <c r="C429" s="1" t="s">
        <v>1606</v>
      </c>
      <c r="D429" s="1" t="s">
        <v>1607</v>
      </c>
      <c r="E429" s="2" t="s">
        <v>1608</v>
      </c>
      <c r="F429" s="2" t="s">
        <v>1609</v>
      </c>
      <c r="G429" s="2">
        <v>0</v>
      </c>
      <c r="H429" s="2" t="s">
        <v>33</v>
      </c>
      <c r="I429" s="1">
        <v>0</v>
      </c>
      <c r="J429" s="3" t="s">
        <v>207</v>
      </c>
      <c r="K429" s="2" t="str">
        <f>J429*2854.00</f>
        <v>0</v>
      </c>
      <c r="L429" s="5"/>
    </row>
    <row r="430" spans="1:12" customHeight="1" ht="105" outlineLevel="5">
      <c r="A430" s="1"/>
      <c r="B430" s="1">
        <v>956375</v>
      </c>
      <c r="C430" s="1" t="s">
        <v>1610</v>
      </c>
      <c r="D430" s="1" t="s">
        <v>1611</v>
      </c>
      <c r="E430" s="2" t="s">
        <v>1612</v>
      </c>
      <c r="F430" s="2" t="s">
        <v>1613</v>
      </c>
      <c r="G430" s="2">
        <v>0</v>
      </c>
      <c r="H430" s="2" t="s">
        <v>28</v>
      </c>
      <c r="I430" s="1">
        <v>0</v>
      </c>
      <c r="J430" s="3" t="s">
        <v>207</v>
      </c>
      <c r="K430" s="2" t="str">
        <f>J430*3321.00</f>
        <v>0</v>
      </c>
      <c r="L430" s="5"/>
    </row>
    <row r="431" spans="1:12" customHeight="1" ht="105" outlineLevel="5">
      <c r="A431" s="1"/>
      <c r="B431" s="1">
        <v>956376</v>
      </c>
      <c r="C431" s="1" t="s">
        <v>1614</v>
      </c>
      <c r="D431" s="1" t="s">
        <v>1615</v>
      </c>
      <c r="E431" s="2" t="s">
        <v>1616</v>
      </c>
      <c r="F431" s="2" t="s">
        <v>1617</v>
      </c>
      <c r="G431" s="2">
        <v>0</v>
      </c>
      <c r="H431" s="2">
        <v>7</v>
      </c>
      <c r="I431" s="1">
        <v>0</v>
      </c>
      <c r="J431" s="3" t="s">
        <v>207</v>
      </c>
      <c r="K431" s="2" t="str">
        <f>J431*3514.00</f>
        <v>0</v>
      </c>
      <c r="L431" s="5"/>
    </row>
    <row r="432" spans="1:12" customHeight="1" ht="105" outlineLevel="5">
      <c r="A432" s="1"/>
      <c r="B432" s="1">
        <v>956377</v>
      </c>
      <c r="C432" s="1" t="s">
        <v>1618</v>
      </c>
      <c r="D432" s="1" t="s">
        <v>1619</v>
      </c>
      <c r="E432" s="2" t="s">
        <v>1620</v>
      </c>
      <c r="F432" s="2" t="s">
        <v>1621</v>
      </c>
      <c r="G432" s="2">
        <v>0</v>
      </c>
      <c r="H432" s="2" t="s">
        <v>28</v>
      </c>
      <c r="I432" s="1">
        <v>0</v>
      </c>
      <c r="J432" s="3" t="s">
        <v>207</v>
      </c>
      <c r="K432" s="2" t="str">
        <f>J432*3333.00</f>
        <v>0</v>
      </c>
      <c r="L432" s="5"/>
    </row>
    <row r="433" spans="1:12" customHeight="1" ht="105" outlineLevel="5">
      <c r="A433" s="1"/>
      <c r="B433" s="1">
        <v>956378</v>
      </c>
      <c r="C433" s="1" t="s">
        <v>1622</v>
      </c>
      <c r="D433" s="1" t="s">
        <v>1623</v>
      </c>
      <c r="E433" s="2" t="s">
        <v>1624</v>
      </c>
      <c r="F433" s="2" t="s">
        <v>1625</v>
      </c>
      <c r="G433" s="2">
        <v>0</v>
      </c>
      <c r="H433" s="2" t="s">
        <v>33</v>
      </c>
      <c r="I433" s="1">
        <v>0</v>
      </c>
      <c r="J433" s="3" t="s">
        <v>207</v>
      </c>
      <c r="K433" s="2" t="str">
        <f>J433*6638.00</f>
        <v>0</v>
      </c>
      <c r="L433" s="5"/>
    </row>
    <row r="434" spans="1:12" customHeight="1" ht="105" outlineLevel="5">
      <c r="A434" s="1"/>
      <c r="B434" s="1">
        <v>956379</v>
      </c>
      <c r="C434" s="1" t="s">
        <v>1626</v>
      </c>
      <c r="D434" s="1" t="s">
        <v>1627</v>
      </c>
      <c r="E434" s="2" t="s">
        <v>1628</v>
      </c>
      <c r="F434" s="2" t="s">
        <v>1629</v>
      </c>
      <c r="G434" s="2">
        <v>0</v>
      </c>
      <c r="H434" s="2">
        <v>10</v>
      </c>
      <c r="I434" s="1">
        <v>0</v>
      </c>
      <c r="J434" s="3" t="s">
        <v>207</v>
      </c>
      <c r="K434" s="2" t="str">
        <f>J434*5345.00</f>
        <v>0</v>
      </c>
      <c r="L434" s="5"/>
    </row>
    <row r="435" spans="1:12" customHeight="1" ht="105" outlineLevel="5">
      <c r="A435" s="1"/>
      <c r="B435" s="1">
        <v>956380</v>
      </c>
      <c r="C435" s="1" t="s">
        <v>1630</v>
      </c>
      <c r="D435" s="1" t="s">
        <v>1631</v>
      </c>
      <c r="E435" s="2" t="s">
        <v>1632</v>
      </c>
      <c r="F435" s="2" t="s">
        <v>1633</v>
      </c>
      <c r="G435" s="2">
        <v>0</v>
      </c>
      <c r="H435" s="2">
        <v>8</v>
      </c>
      <c r="I435" s="1">
        <v>0</v>
      </c>
      <c r="J435" s="3" t="s">
        <v>207</v>
      </c>
      <c r="K435" s="2" t="str">
        <f>J435*10035.00</f>
        <v>0</v>
      </c>
      <c r="L435" s="5"/>
    </row>
    <row r="436" spans="1:12" customHeight="1" ht="105" outlineLevel="5">
      <c r="A436" s="1"/>
      <c r="B436" s="1">
        <v>956381</v>
      </c>
      <c r="C436" s="1" t="s">
        <v>1634</v>
      </c>
      <c r="D436" s="1" t="s">
        <v>1635</v>
      </c>
      <c r="E436" s="2" t="s">
        <v>1636</v>
      </c>
      <c r="F436" s="2" t="s">
        <v>1637</v>
      </c>
      <c r="G436" s="2">
        <v>0</v>
      </c>
      <c r="H436" s="2" t="s">
        <v>23</v>
      </c>
      <c r="I436" s="1">
        <v>0</v>
      </c>
      <c r="J436" s="3" t="s">
        <v>18</v>
      </c>
      <c r="K436" s="2" t="str">
        <f>J436*5142.00</f>
        <v>0</v>
      </c>
      <c r="L436" s="5"/>
    </row>
    <row r="437" spans="1:12" customHeight="1" ht="105" outlineLevel="5">
      <c r="A437" s="1"/>
      <c r="B437" s="1">
        <v>956384</v>
      </c>
      <c r="C437" s="1" t="s">
        <v>1638</v>
      </c>
      <c r="D437" s="1" t="s">
        <v>1639</v>
      </c>
      <c r="E437" s="2" t="s">
        <v>1640</v>
      </c>
      <c r="F437" s="2" t="s">
        <v>1641</v>
      </c>
      <c r="G437" s="2">
        <v>0</v>
      </c>
      <c r="H437" s="2">
        <v>5</v>
      </c>
      <c r="I437" s="1">
        <v>0</v>
      </c>
      <c r="J437" s="3" t="s">
        <v>207</v>
      </c>
      <c r="K437" s="2" t="str">
        <f>J437*2952.00</f>
        <v>0</v>
      </c>
      <c r="L437" s="5"/>
    </row>
    <row r="438" spans="1:12" customHeight="1" ht="105" outlineLevel="5">
      <c r="A438" s="1"/>
      <c r="B438" s="1">
        <v>956385</v>
      </c>
      <c r="C438" s="1" t="s">
        <v>1642</v>
      </c>
      <c r="D438" s="1" t="s">
        <v>1643</v>
      </c>
      <c r="E438" s="2" t="s">
        <v>1644</v>
      </c>
      <c r="F438" s="2" t="s">
        <v>1645</v>
      </c>
      <c r="G438" s="2">
        <v>0</v>
      </c>
      <c r="H438" s="2" t="s">
        <v>28</v>
      </c>
      <c r="I438" s="1">
        <v>0</v>
      </c>
      <c r="J438" s="3" t="s">
        <v>207</v>
      </c>
      <c r="K438" s="2" t="str">
        <f>J438*3049.00</f>
        <v>0</v>
      </c>
      <c r="L438" s="5"/>
    </row>
    <row r="439" spans="1:12" customHeight="1" ht="105" outlineLevel="5">
      <c r="A439" s="1"/>
      <c r="B439" s="1">
        <v>956386</v>
      </c>
      <c r="C439" s="1" t="s">
        <v>1646</v>
      </c>
      <c r="D439" s="1" t="s">
        <v>1647</v>
      </c>
      <c r="E439" s="2" t="s">
        <v>1648</v>
      </c>
      <c r="F439" s="2" t="s">
        <v>1649</v>
      </c>
      <c r="G439" s="2">
        <v>0</v>
      </c>
      <c r="H439" s="2" t="s">
        <v>28</v>
      </c>
      <c r="I439" s="1">
        <v>0</v>
      </c>
      <c r="J439" s="3" t="s">
        <v>207</v>
      </c>
      <c r="K439" s="2" t="str">
        <f>J439*3733.00</f>
        <v>0</v>
      </c>
      <c r="L439" s="5"/>
    </row>
    <row r="440" spans="1:12" customHeight="1" ht="105" outlineLevel="5">
      <c r="A440" s="1"/>
      <c r="B440" s="1">
        <v>956387</v>
      </c>
      <c r="C440" s="1" t="s">
        <v>1650</v>
      </c>
      <c r="D440" s="1" t="s">
        <v>1651</v>
      </c>
      <c r="E440" s="2" t="s">
        <v>1652</v>
      </c>
      <c r="F440" s="2" t="s">
        <v>1653</v>
      </c>
      <c r="G440" s="2">
        <v>0</v>
      </c>
      <c r="H440" s="2">
        <v>8</v>
      </c>
      <c r="I440" s="1">
        <v>0</v>
      </c>
      <c r="J440" s="3" t="s">
        <v>207</v>
      </c>
      <c r="K440" s="2" t="str">
        <f>J440*3490.00</f>
        <v>0</v>
      </c>
      <c r="L440" s="5"/>
    </row>
    <row r="441" spans="1:12" outlineLevel="5">
      <c r="A441" s="1"/>
      <c r="B441" s="1">
        <v>956772</v>
      </c>
      <c r="C441" s="1" t="s">
        <v>1654</v>
      </c>
      <c r="D441" s="1" t="s">
        <v>1655</v>
      </c>
      <c r="E441" s="2" t="s">
        <v>1656</v>
      </c>
      <c r="F441" s="2" t="s">
        <v>1028</v>
      </c>
      <c r="G441" s="2">
        <v>0</v>
      </c>
      <c r="H441" s="2" t="s">
        <v>23</v>
      </c>
      <c r="I441" s="1">
        <v>0</v>
      </c>
      <c r="J441" s="3" t="s">
        <v>207</v>
      </c>
      <c r="K441" s="2" t="str">
        <f>J441*207.00</f>
        <v>0</v>
      </c>
      <c r="L441" s="5"/>
    </row>
    <row r="442" spans="1:12" outlineLevel="5">
      <c r="A442" s="1"/>
      <c r="B442" s="1">
        <v>956773</v>
      </c>
      <c r="C442" s="1" t="s">
        <v>1657</v>
      </c>
      <c r="D442" s="1" t="s">
        <v>1658</v>
      </c>
      <c r="E442" s="2" t="s">
        <v>1659</v>
      </c>
      <c r="F442" s="2" t="s">
        <v>113</v>
      </c>
      <c r="G442" s="2">
        <v>0</v>
      </c>
      <c r="H442" s="2" t="s">
        <v>23</v>
      </c>
      <c r="I442" s="1">
        <v>0</v>
      </c>
      <c r="J442" s="3" t="s">
        <v>207</v>
      </c>
      <c r="K442" s="2" t="str">
        <f>J442*278.00</f>
        <v>0</v>
      </c>
      <c r="L442" s="5"/>
    </row>
    <row r="443" spans="1:12" outlineLevel="5">
      <c r="A443" s="1"/>
      <c r="B443" s="1">
        <v>956774</v>
      </c>
      <c r="C443" s="1" t="s">
        <v>1660</v>
      </c>
      <c r="D443" s="1" t="s">
        <v>1661</v>
      </c>
      <c r="E443" s="2" t="s">
        <v>1662</v>
      </c>
      <c r="F443" s="2" t="s">
        <v>1663</v>
      </c>
      <c r="G443" s="2">
        <v>0</v>
      </c>
      <c r="H443" s="2" t="s">
        <v>34</v>
      </c>
      <c r="I443" s="1">
        <v>0</v>
      </c>
      <c r="J443" s="3" t="s">
        <v>207</v>
      </c>
      <c r="K443" s="2" t="str">
        <f>J443*289.00</f>
        <v>0</v>
      </c>
      <c r="L443" s="5"/>
    </row>
    <row r="444" spans="1:12" outlineLevel="5">
      <c r="A444" s="1"/>
      <c r="B444" s="1">
        <v>956775</v>
      </c>
      <c r="C444" s="1" t="s">
        <v>1664</v>
      </c>
      <c r="D444" s="1" t="s">
        <v>1665</v>
      </c>
      <c r="E444" s="2" t="s">
        <v>1666</v>
      </c>
      <c r="F444" s="2" t="s">
        <v>766</v>
      </c>
      <c r="G444" s="2">
        <v>0</v>
      </c>
      <c r="H444" s="2" t="s">
        <v>23</v>
      </c>
      <c r="I444" s="1">
        <v>0</v>
      </c>
      <c r="J444" s="3" t="s">
        <v>207</v>
      </c>
      <c r="K444" s="2" t="str">
        <f>J444*362.00</f>
        <v>0</v>
      </c>
      <c r="L444" s="5"/>
    </row>
    <row r="445" spans="1:12" outlineLevel="5">
      <c r="A445" s="1"/>
      <c r="B445" s="1">
        <v>956776</v>
      </c>
      <c r="C445" s="1" t="s">
        <v>1667</v>
      </c>
      <c r="D445" s="1" t="s">
        <v>1668</v>
      </c>
      <c r="E445" s="2" t="s">
        <v>1669</v>
      </c>
      <c r="F445" s="2" t="s">
        <v>1670</v>
      </c>
      <c r="G445" s="2">
        <v>0</v>
      </c>
      <c r="H445" s="2" t="s">
        <v>23</v>
      </c>
      <c r="I445" s="1">
        <v>0</v>
      </c>
      <c r="J445" s="3" t="s">
        <v>207</v>
      </c>
      <c r="K445" s="2" t="str">
        <f>J445*509.00</f>
        <v>0</v>
      </c>
      <c r="L445" s="5"/>
    </row>
    <row r="446" spans="1:12" outlineLevel="5">
      <c r="A446" s="1"/>
      <c r="B446" s="1">
        <v>956777</v>
      </c>
      <c r="C446" s="1" t="s">
        <v>1671</v>
      </c>
      <c r="D446" s="1" t="s">
        <v>1672</v>
      </c>
      <c r="E446" s="2" t="s">
        <v>1673</v>
      </c>
      <c r="F446" s="2" t="s">
        <v>1674</v>
      </c>
      <c r="G446" s="2">
        <v>0</v>
      </c>
      <c r="H446" s="2" t="s">
        <v>28</v>
      </c>
      <c r="I446" s="1">
        <v>0</v>
      </c>
      <c r="J446" s="3" t="s">
        <v>207</v>
      </c>
      <c r="K446" s="2" t="str">
        <f>J446*5219.00</f>
        <v>0</v>
      </c>
      <c r="L446" s="5"/>
    </row>
    <row r="447" spans="1:12" outlineLevel="5">
      <c r="A447" s="1"/>
      <c r="B447" s="1">
        <v>956778</v>
      </c>
      <c r="C447" s="1" t="s">
        <v>1675</v>
      </c>
      <c r="D447" s="1" t="s">
        <v>1676</v>
      </c>
      <c r="E447" s="2" t="s">
        <v>1677</v>
      </c>
      <c r="F447" s="2" t="s">
        <v>1678</v>
      </c>
      <c r="G447" s="2">
        <v>0</v>
      </c>
      <c r="H447" s="2">
        <v>4</v>
      </c>
      <c r="I447" s="1">
        <v>0</v>
      </c>
      <c r="J447" s="3" t="s">
        <v>207</v>
      </c>
      <c r="K447" s="2" t="str">
        <f>J447*2901.00</f>
        <v>0</v>
      </c>
      <c r="L447" s="5"/>
    </row>
    <row r="448" spans="1:12" customHeight="1" ht="105" outlineLevel="5">
      <c r="A448" s="1"/>
      <c r="B448" s="1">
        <v>834781</v>
      </c>
      <c r="C448" s="1" t="s">
        <v>1679</v>
      </c>
      <c r="D448" s="1" t="s">
        <v>1680</v>
      </c>
      <c r="E448" s="2" t="s">
        <v>1681</v>
      </c>
      <c r="F448" s="2" t="s">
        <v>1682</v>
      </c>
      <c r="G448" s="2">
        <v>5</v>
      </c>
      <c r="H448" s="2" t="s">
        <v>23</v>
      </c>
      <c r="I448" s="1">
        <v>0</v>
      </c>
      <c r="J448" s="3" t="s">
        <v>207</v>
      </c>
      <c r="K448" s="2" t="str">
        <f>J448*600.00</f>
        <v>0</v>
      </c>
      <c r="L448" s="5"/>
    </row>
    <row r="449" spans="1:12" customHeight="1" ht="105" outlineLevel="5">
      <c r="A449" s="1"/>
      <c r="B449" s="1">
        <v>834782</v>
      </c>
      <c r="C449" s="1" t="s">
        <v>1683</v>
      </c>
      <c r="D449" s="1" t="s">
        <v>1684</v>
      </c>
      <c r="E449" s="2" t="s">
        <v>1685</v>
      </c>
      <c r="F449" s="2" t="s">
        <v>1686</v>
      </c>
      <c r="G449" s="2">
        <v>5</v>
      </c>
      <c r="H449" s="2">
        <v>0</v>
      </c>
      <c r="I449" s="1">
        <v>0</v>
      </c>
      <c r="J449" s="3" t="s">
        <v>207</v>
      </c>
      <c r="K449" s="2" t="str">
        <f>J449*576.00</f>
        <v>0</v>
      </c>
      <c r="L449" s="5"/>
    </row>
    <row r="450" spans="1:12" customHeight="1" ht="105" outlineLevel="5">
      <c r="A450" s="1"/>
      <c r="B450" s="1">
        <v>834783</v>
      </c>
      <c r="C450" s="1" t="s">
        <v>1687</v>
      </c>
      <c r="D450" s="1" t="s">
        <v>1688</v>
      </c>
      <c r="E450" s="2" t="s">
        <v>1689</v>
      </c>
      <c r="F450" s="2" t="s">
        <v>1690</v>
      </c>
      <c r="G450" s="2" t="s">
        <v>28</v>
      </c>
      <c r="H450" s="2" t="s">
        <v>23</v>
      </c>
      <c r="I450" s="1">
        <v>0</v>
      </c>
      <c r="J450" s="3" t="s">
        <v>207</v>
      </c>
      <c r="K450" s="2" t="str">
        <f>J450*400.00</f>
        <v>0</v>
      </c>
      <c r="L450" s="5"/>
    </row>
    <row r="451" spans="1:12" customHeight="1" ht="105" outlineLevel="5">
      <c r="A451" s="1"/>
      <c r="B451" s="1">
        <v>834784</v>
      </c>
      <c r="C451" s="1" t="s">
        <v>1691</v>
      </c>
      <c r="D451" s="1" t="s">
        <v>1692</v>
      </c>
      <c r="E451" s="2" t="s">
        <v>1693</v>
      </c>
      <c r="F451" s="2" t="s">
        <v>1694</v>
      </c>
      <c r="G451" s="2">
        <v>5</v>
      </c>
      <c r="H451" s="2" t="s">
        <v>23</v>
      </c>
      <c r="I451" s="1">
        <v>0</v>
      </c>
      <c r="J451" s="3" t="s">
        <v>207</v>
      </c>
      <c r="K451" s="2" t="str">
        <f>J451*585.00</f>
        <v>0</v>
      </c>
      <c r="L451" s="5"/>
    </row>
    <row r="452" spans="1:12" customHeight="1" ht="105" outlineLevel="5">
      <c r="A452" s="1"/>
      <c r="B452" s="1">
        <v>834785</v>
      </c>
      <c r="C452" s="1" t="s">
        <v>1695</v>
      </c>
      <c r="D452" s="1" t="s">
        <v>1696</v>
      </c>
      <c r="E452" s="2" t="s">
        <v>1697</v>
      </c>
      <c r="F452" s="2" t="s">
        <v>1072</v>
      </c>
      <c r="G452" s="2">
        <v>8</v>
      </c>
      <c r="H452" s="2" t="s">
        <v>23</v>
      </c>
      <c r="I452" s="1">
        <v>0</v>
      </c>
      <c r="J452" s="3" t="s">
        <v>207</v>
      </c>
      <c r="K452" s="2" t="str">
        <f>J452*634.00</f>
        <v>0</v>
      </c>
      <c r="L452" s="5"/>
    </row>
    <row r="453" spans="1:12" customHeight="1" ht="105" outlineLevel="5">
      <c r="A453" s="1"/>
      <c r="B453" s="1">
        <v>834786</v>
      </c>
      <c r="C453" s="1" t="s">
        <v>1698</v>
      </c>
      <c r="D453" s="1" t="s">
        <v>1699</v>
      </c>
      <c r="E453" s="2" t="s">
        <v>1700</v>
      </c>
      <c r="F453" s="2" t="s">
        <v>1701</v>
      </c>
      <c r="G453" s="2">
        <v>0</v>
      </c>
      <c r="H453" s="2" t="s">
        <v>23</v>
      </c>
      <c r="I453" s="1">
        <v>0</v>
      </c>
      <c r="J453" s="3" t="s">
        <v>207</v>
      </c>
      <c r="K453" s="2" t="str">
        <f>J453*1389.00</f>
        <v>0</v>
      </c>
      <c r="L453" s="5"/>
    </row>
    <row r="454" spans="1:12" customHeight="1" ht="105" outlineLevel="5">
      <c r="A454" s="1"/>
      <c r="B454" s="1">
        <v>834787</v>
      </c>
      <c r="C454" s="1" t="s">
        <v>1702</v>
      </c>
      <c r="D454" s="1" t="s">
        <v>1703</v>
      </c>
      <c r="E454" s="2" t="s">
        <v>1704</v>
      </c>
      <c r="F454" s="2" t="s">
        <v>1705</v>
      </c>
      <c r="G454" s="2">
        <v>0</v>
      </c>
      <c r="H454" s="2" t="s">
        <v>23</v>
      </c>
      <c r="I454" s="1">
        <v>0</v>
      </c>
      <c r="J454" s="3" t="s">
        <v>207</v>
      </c>
      <c r="K454" s="2" t="str">
        <f>J454*1604.00</f>
        <v>0</v>
      </c>
      <c r="L454" s="5"/>
    </row>
    <row r="455" spans="1:12" customHeight="1" ht="105" outlineLevel="5">
      <c r="A455" s="1"/>
      <c r="B455" s="1">
        <v>834788</v>
      </c>
      <c r="C455" s="1" t="s">
        <v>1706</v>
      </c>
      <c r="D455" s="1" t="s">
        <v>1707</v>
      </c>
      <c r="E455" s="2" t="s">
        <v>1708</v>
      </c>
      <c r="F455" s="2" t="s">
        <v>1709</v>
      </c>
      <c r="G455" s="2" t="s">
        <v>28</v>
      </c>
      <c r="H455" s="2" t="s">
        <v>23</v>
      </c>
      <c r="I455" s="1">
        <v>0</v>
      </c>
      <c r="J455" s="3" t="s">
        <v>207</v>
      </c>
      <c r="K455" s="2" t="str">
        <f>J455*1002.00</f>
        <v>0</v>
      </c>
      <c r="L455" s="5"/>
    </row>
    <row r="456" spans="1:12" customHeight="1" ht="105" outlineLevel="5">
      <c r="A456" s="1"/>
      <c r="B456" s="1">
        <v>834789</v>
      </c>
      <c r="C456" s="1" t="s">
        <v>1710</v>
      </c>
      <c r="D456" s="1" t="s">
        <v>1711</v>
      </c>
      <c r="E456" s="2" t="s">
        <v>1712</v>
      </c>
      <c r="F456" s="2" t="s">
        <v>1713</v>
      </c>
      <c r="G456" s="2">
        <v>7</v>
      </c>
      <c r="H456" s="2" t="s">
        <v>23</v>
      </c>
      <c r="I456" s="1">
        <v>0</v>
      </c>
      <c r="J456" s="3" t="s">
        <v>207</v>
      </c>
      <c r="K456" s="2" t="str">
        <f>J456*703.00</f>
        <v>0</v>
      </c>
      <c r="L456" s="5"/>
    </row>
    <row r="457" spans="1:12" customHeight="1" ht="105" outlineLevel="5">
      <c r="A457" s="1"/>
      <c r="B457" s="1">
        <v>834790</v>
      </c>
      <c r="C457" s="1" t="s">
        <v>1714</v>
      </c>
      <c r="D457" s="1" t="s">
        <v>1715</v>
      </c>
      <c r="E457" s="2" t="s">
        <v>1716</v>
      </c>
      <c r="F457" s="2" t="s">
        <v>1717</v>
      </c>
      <c r="G457" s="2" t="s">
        <v>33</v>
      </c>
      <c r="H457" s="2" t="s">
        <v>23</v>
      </c>
      <c r="I457" s="1">
        <v>0</v>
      </c>
      <c r="J457" s="3" t="s">
        <v>207</v>
      </c>
      <c r="K457" s="2" t="str">
        <f>J457*19.00</f>
        <v>0</v>
      </c>
      <c r="L457" s="5"/>
    </row>
    <row r="458" spans="1:12" customHeight="1" ht="105" outlineLevel="5">
      <c r="A458" s="1"/>
      <c r="B458" s="1">
        <v>834791</v>
      </c>
      <c r="C458" s="1" t="s">
        <v>1718</v>
      </c>
      <c r="D458" s="1" t="s">
        <v>1719</v>
      </c>
      <c r="E458" s="2" t="s">
        <v>1720</v>
      </c>
      <c r="F458" s="2" t="s">
        <v>1721</v>
      </c>
      <c r="G458" s="2">
        <v>0</v>
      </c>
      <c r="H458" s="2" t="s">
        <v>23</v>
      </c>
      <c r="I458" s="1">
        <v>0</v>
      </c>
      <c r="J458" s="3" t="s">
        <v>207</v>
      </c>
      <c r="K458" s="2" t="str">
        <f>J458*44.00</f>
        <v>0</v>
      </c>
      <c r="L458" s="5"/>
    </row>
    <row r="459" spans="1:12" customHeight="1" ht="105" outlineLevel="5">
      <c r="A459" s="1"/>
      <c r="B459" s="1">
        <v>834792</v>
      </c>
      <c r="C459" s="1" t="s">
        <v>1722</v>
      </c>
      <c r="D459" s="1" t="s">
        <v>1723</v>
      </c>
      <c r="E459" s="2" t="s">
        <v>1724</v>
      </c>
      <c r="F459" s="2" t="s">
        <v>1725</v>
      </c>
      <c r="G459" s="2">
        <v>0</v>
      </c>
      <c r="H459" s="2" t="s">
        <v>23</v>
      </c>
      <c r="I459" s="1">
        <v>0</v>
      </c>
      <c r="J459" s="3" t="s">
        <v>207</v>
      </c>
      <c r="K459" s="2" t="str">
        <f>J459*50.00</f>
        <v>0</v>
      </c>
      <c r="L459" s="5"/>
    </row>
    <row r="460" spans="1:12" outlineLevel="3">
      <c r="A460" s="9" t="s">
        <v>1726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5"/>
    </row>
    <row r="461" spans="1:12" customHeight="1" ht="105" outlineLevel="5">
      <c r="A461" s="1"/>
      <c r="B461" s="1">
        <v>829167</v>
      </c>
      <c r="C461" s="1" t="s">
        <v>1727</v>
      </c>
      <c r="D461" s="1" t="s">
        <v>1728</v>
      </c>
      <c r="E461" s="2" t="s">
        <v>1729</v>
      </c>
      <c r="F461" s="2" t="s">
        <v>1730</v>
      </c>
      <c r="G461" s="2" t="s">
        <v>90</v>
      </c>
      <c r="H461" s="2">
        <v>0</v>
      </c>
      <c r="I461" s="1">
        <v>0</v>
      </c>
      <c r="J461" s="3" t="s">
        <v>207</v>
      </c>
      <c r="K461" s="2" t="str">
        <f>J461*183.75</f>
        <v>0</v>
      </c>
      <c r="L461" s="5"/>
    </row>
    <row r="462" spans="1:12" customHeight="1" ht="105" outlineLevel="5">
      <c r="A462" s="1"/>
      <c r="B462" s="1">
        <v>829168</v>
      </c>
      <c r="C462" s="1" t="s">
        <v>1731</v>
      </c>
      <c r="D462" s="1" t="s">
        <v>1732</v>
      </c>
      <c r="E462" s="2" t="s">
        <v>1733</v>
      </c>
      <c r="F462" s="2" t="s">
        <v>1734</v>
      </c>
      <c r="G462" s="2" t="s">
        <v>33</v>
      </c>
      <c r="H462" s="2">
        <v>0</v>
      </c>
      <c r="I462" s="1">
        <v>0</v>
      </c>
      <c r="J462" s="3" t="s">
        <v>207</v>
      </c>
      <c r="K462" s="2" t="str">
        <f>J462*214.62</f>
        <v>0</v>
      </c>
      <c r="L462" s="5"/>
    </row>
    <row r="463" spans="1:12" customHeight="1" ht="105" outlineLevel="5">
      <c r="A463" s="1"/>
      <c r="B463" s="1">
        <v>829169</v>
      </c>
      <c r="C463" s="1" t="s">
        <v>1735</v>
      </c>
      <c r="D463" s="1" t="s">
        <v>1736</v>
      </c>
      <c r="E463" s="2" t="s">
        <v>1737</v>
      </c>
      <c r="F463" s="2" t="s">
        <v>1738</v>
      </c>
      <c r="G463" s="2" t="s">
        <v>90</v>
      </c>
      <c r="H463" s="2">
        <v>0</v>
      </c>
      <c r="I463" s="1">
        <v>0</v>
      </c>
      <c r="J463" s="3" t="s">
        <v>207</v>
      </c>
      <c r="K463" s="2" t="str">
        <f>J463*254.31</f>
        <v>0</v>
      </c>
      <c r="L463" s="5"/>
    </row>
    <row r="464" spans="1:12" customHeight="1" ht="105" outlineLevel="5">
      <c r="A464" s="1"/>
      <c r="B464" s="1">
        <v>829170</v>
      </c>
      <c r="C464" s="1" t="s">
        <v>1739</v>
      </c>
      <c r="D464" s="1" t="s">
        <v>1740</v>
      </c>
      <c r="E464" s="2" t="s">
        <v>1741</v>
      </c>
      <c r="F464" s="2" t="s">
        <v>1742</v>
      </c>
      <c r="G464" s="2">
        <v>5</v>
      </c>
      <c r="H464" s="2">
        <v>0</v>
      </c>
      <c r="I464" s="1">
        <v>0</v>
      </c>
      <c r="J464" s="3" t="s">
        <v>207</v>
      </c>
      <c r="K464" s="2" t="str">
        <f>J464*318.99</f>
        <v>0</v>
      </c>
      <c r="L464" s="5"/>
    </row>
    <row r="465" spans="1:12" customHeight="1" ht="105" outlineLevel="5">
      <c r="A465" s="1"/>
      <c r="B465" s="1">
        <v>829171</v>
      </c>
      <c r="C465" s="1" t="s">
        <v>1743</v>
      </c>
      <c r="D465" s="1" t="s">
        <v>1744</v>
      </c>
      <c r="E465" s="2" t="s">
        <v>1745</v>
      </c>
      <c r="F465" s="2" t="s">
        <v>1746</v>
      </c>
      <c r="G465" s="2" t="s">
        <v>28</v>
      </c>
      <c r="H465" s="2">
        <v>0</v>
      </c>
      <c r="I465" s="1">
        <v>0</v>
      </c>
      <c r="J465" s="3" t="s">
        <v>207</v>
      </c>
      <c r="K465" s="2" t="str">
        <f>J465*357.21</f>
        <v>0</v>
      </c>
      <c r="L465" s="5"/>
    </row>
    <row r="466" spans="1:12" customHeight="1" ht="105" outlineLevel="5">
      <c r="A466" s="1"/>
      <c r="B466" s="1">
        <v>829172</v>
      </c>
      <c r="C466" s="1" t="s">
        <v>1747</v>
      </c>
      <c r="D466" s="1" t="s">
        <v>1748</v>
      </c>
      <c r="E466" s="2" t="s">
        <v>1749</v>
      </c>
      <c r="F466" s="2" t="s">
        <v>1750</v>
      </c>
      <c r="G466" s="2" t="s">
        <v>28</v>
      </c>
      <c r="H466" s="2">
        <v>0</v>
      </c>
      <c r="I466" s="1">
        <v>0</v>
      </c>
      <c r="J466" s="3" t="s">
        <v>207</v>
      </c>
      <c r="K466" s="2" t="str">
        <f>J466*482.16</f>
        <v>0</v>
      </c>
      <c r="L466" s="5"/>
    </row>
    <row r="467" spans="1:12" customHeight="1" ht="105" outlineLevel="5">
      <c r="A467" s="1"/>
      <c r="B467" s="1">
        <v>829173</v>
      </c>
      <c r="C467" s="1" t="s">
        <v>1751</v>
      </c>
      <c r="D467" s="1" t="s">
        <v>1752</v>
      </c>
      <c r="E467" s="2" t="s">
        <v>1753</v>
      </c>
      <c r="F467" s="2" t="s">
        <v>1754</v>
      </c>
      <c r="G467" s="2">
        <v>10</v>
      </c>
      <c r="H467" s="2">
        <v>0</v>
      </c>
      <c r="I467" s="1">
        <v>0</v>
      </c>
      <c r="J467" s="3" t="s">
        <v>207</v>
      </c>
      <c r="K467" s="2" t="str">
        <f>J467*511.56</f>
        <v>0</v>
      </c>
      <c r="L467" s="5"/>
    </row>
    <row r="468" spans="1:12" customHeight="1" ht="105" outlineLevel="5">
      <c r="A468" s="1"/>
      <c r="B468" s="1">
        <v>829174</v>
      </c>
      <c r="C468" s="1" t="s">
        <v>1755</v>
      </c>
      <c r="D468" s="1" t="s">
        <v>1756</v>
      </c>
      <c r="E468" s="2" t="s">
        <v>1757</v>
      </c>
      <c r="F468" s="2" t="s">
        <v>1730</v>
      </c>
      <c r="G468" s="2">
        <v>-23</v>
      </c>
      <c r="H468" s="2">
        <v>0</v>
      </c>
      <c r="I468" s="1">
        <v>0</v>
      </c>
      <c r="J468" s="3" t="s">
        <v>207</v>
      </c>
      <c r="K468" s="2" t="str">
        <f>J468*183.75</f>
        <v>0</v>
      </c>
      <c r="L468" s="5"/>
    </row>
    <row r="469" spans="1:12" customHeight="1" ht="105" outlineLevel="5">
      <c r="A469" s="1"/>
      <c r="B469" s="1">
        <v>829175</v>
      </c>
      <c r="C469" s="1" t="s">
        <v>1758</v>
      </c>
      <c r="D469" s="1" t="s">
        <v>1759</v>
      </c>
      <c r="E469" s="2" t="s">
        <v>1760</v>
      </c>
      <c r="F469" s="2" t="s">
        <v>1734</v>
      </c>
      <c r="G469" s="2" t="s">
        <v>33</v>
      </c>
      <c r="H469" s="2">
        <v>0</v>
      </c>
      <c r="I469" s="1">
        <v>0</v>
      </c>
      <c r="J469" s="3" t="s">
        <v>207</v>
      </c>
      <c r="K469" s="2" t="str">
        <f>J469*214.62</f>
        <v>0</v>
      </c>
      <c r="L469" s="5"/>
    </row>
    <row r="470" spans="1:12" customHeight="1" ht="105" outlineLevel="5">
      <c r="A470" s="1"/>
      <c r="B470" s="1">
        <v>829176</v>
      </c>
      <c r="C470" s="1" t="s">
        <v>1761</v>
      </c>
      <c r="D470" s="1" t="s">
        <v>1762</v>
      </c>
      <c r="E470" s="2" t="s">
        <v>1763</v>
      </c>
      <c r="F470" s="2" t="s">
        <v>1738</v>
      </c>
      <c r="G470" s="2" t="s">
        <v>23</v>
      </c>
      <c r="H470" s="2">
        <v>0</v>
      </c>
      <c r="I470" s="1">
        <v>0</v>
      </c>
      <c r="J470" s="3" t="s">
        <v>207</v>
      </c>
      <c r="K470" s="2" t="str">
        <f>J470*254.31</f>
        <v>0</v>
      </c>
      <c r="L470" s="5"/>
    </row>
    <row r="471" spans="1:12" customHeight="1" ht="105" outlineLevel="5">
      <c r="A471" s="1"/>
      <c r="B471" s="1">
        <v>829177</v>
      </c>
      <c r="C471" s="1" t="s">
        <v>1764</v>
      </c>
      <c r="D471" s="1" t="s">
        <v>1765</v>
      </c>
      <c r="E471" s="2" t="s">
        <v>1766</v>
      </c>
      <c r="F471" s="2" t="s">
        <v>1742</v>
      </c>
      <c r="G471" s="2" t="s">
        <v>33</v>
      </c>
      <c r="H471" s="2">
        <v>0</v>
      </c>
      <c r="I471" s="1">
        <v>0</v>
      </c>
      <c r="J471" s="3" t="s">
        <v>207</v>
      </c>
      <c r="K471" s="2" t="str">
        <f>J471*318.99</f>
        <v>0</v>
      </c>
      <c r="L471" s="5"/>
    </row>
    <row r="472" spans="1:12" customHeight="1" ht="105" outlineLevel="5">
      <c r="A472" s="1"/>
      <c r="B472" s="1">
        <v>829178</v>
      </c>
      <c r="C472" s="1" t="s">
        <v>1767</v>
      </c>
      <c r="D472" s="1" t="s">
        <v>1768</v>
      </c>
      <c r="E472" s="2" t="s">
        <v>1769</v>
      </c>
      <c r="F472" s="2" t="s">
        <v>1770</v>
      </c>
      <c r="G472" s="2" t="s">
        <v>90</v>
      </c>
      <c r="H472" s="2">
        <v>0</v>
      </c>
      <c r="I472" s="1">
        <v>0</v>
      </c>
      <c r="J472" s="3" t="s">
        <v>207</v>
      </c>
      <c r="K472" s="2" t="str">
        <f>J472*358.68</f>
        <v>0</v>
      </c>
      <c r="L472" s="5"/>
    </row>
    <row r="473" spans="1:12" customHeight="1" ht="105" outlineLevel="5">
      <c r="A473" s="1"/>
      <c r="B473" s="1">
        <v>829179</v>
      </c>
      <c r="C473" s="1" t="s">
        <v>1771</v>
      </c>
      <c r="D473" s="1" t="s">
        <v>1772</v>
      </c>
      <c r="E473" s="2" t="s">
        <v>1773</v>
      </c>
      <c r="F473" s="2" t="s">
        <v>1774</v>
      </c>
      <c r="G473" s="2" t="s">
        <v>28</v>
      </c>
      <c r="H473" s="2">
        <v>0</v>
      </c>
      <c r="I473" s="1">
        <v>0</v>
      </c>
      <c r="J473" s="3" t="s">
        <v>207</v>
      </c>
      <c r="K473" s="2" t="str">
        <f>J473*446.88</f>
        <v>0</v>
      </c>
      <c r="L473" s="5"/>
    </row>
    <row r="474" spans="1:12" customHeight="1" ht="105" outlineLevel="5">
      <c r="A474" s="1"/>
      <c r="B474" s="1">
        <v>829180</v>
      </c>
      <c r="C474" s="1" t="s">
        <v>1775</v>
      </c>
      <c r="D474" s="1" t="s">
        <v>1776</v>
      </c>
      <c r="E474" s="2" t="s">
        <v>1777</v>
      </c>
      <c r="F474" s="2" t="s">
        <v>1778</v>
      </c>
      <c r="G474" s="2">
        <v>7</v>
      </c>
      <c r="H474" s="2">
        <v>0</v>
      </c>
      <c r="I474" s="1">
        <v>0</v>
      </c>
      <c r="J474" s="3" t="s">
        <v>207</v>
      </c>
      <c r="K474" s="2" t="str">
        <f>J474*539.49</f>
        <v>0</v>
      </c>
      <c r="L474" s="5"/>
    </row>
    <row r="475" spans="1:12" customHeight="1" ht="105" outlineLevel="5">
      <c r="A475" s="1"/>
      <c r="B475" s="1">
        <v>829181</v>
      </c>
      <c r="C475" s="1" t="s">
        <v>1779</v>
      </c>
      <c r="D475" s="1" t="s">
        <v>1780</v>
      </c>
      <c r="E475" s="2" t="s">
        <v>1781</v>
      </c>
      <c r="F475" s="2" t="s">
        <v>1782</v>
      </c>
      <c r="G475" s="2" t="s">
        <v>90</v>
      </c>
      <c r="H475" s="2">
        <v>0</v>
      </c>
      <c r="I475" s="1">
        <v>0</v>
      </c>
      <c r="J475" s="3" t="s">
        <v>207</v>
      </c>
      <c r="K475" s="2" t="str">
        <f>J475*77.91</f>
        <v>0</v>
      </c>
      <c r="L475" s="5"/>
    </row>
    <row r="476" spans="1:12" customHeight="1" ht="105" outlineLevel="5">
      <c r="A476" s="1"/>
      <c r="B476" s="1">
        <v>829182</v>
      </c>
      <c r="C476" s="1" t="s">
        <v>1783</v>
      </c>
      <c r="D476" s="1" t="s">
        <v>1784</v>
      </c>
      <c r="E476" s="2" t="s">
        <v>1785</v>
      </c>
      <c r="F476" s="2" t="s">
        <v>1786</v>
      </c>
      <c r="G476" s="2" t="s">
        <v>28</v>
      </c>
      <c r="H476" s="2">
        <v>0</v>
      </c>
      <c r="I476" s="1">
        <v>0</v>
      </c>
      <c r="J476" s="3" t="s">
        <v>207</v>
      </c>
      <c r="K476" s="2" t="str">
        <f>J476*126.42</f>
        <v>0</v>
      </c>
      <c r="L476" s="5"/>
    </row>
    <row r="477" spans="1:12" customHeight="1" ht="105" outlineLevel="5">
      <c r="A477" s="1"/>
      <c r="B477" s="1">
        <v>829183</v>
      </c>
      <c r="C477" s="1" t="s">
        <v>1787</v>
      </c>
      <c r="D477" s="1" t="s">
        <v>1788</v>
      </c>
      <c r="E477" s="2" t="s">
        <v>1789</v>
      </c>
      <c r="F477" s="2" t="s">
        <v>1790</v>
      </c>
      <c r="G477" s="2" t="s">
        <v>28</v>
      </c>
      <c r="H477" s="2">
        <v>0</v>
      </c>
      <c r="I477" s="1">
        <v>0</v>
      </c>
      <c r="J477" s="3" t="s">
        <v>207</v>
      </c>
      <c r="K477" s="2" t="str">
        <f>J477*163.17</f>
        <v>0</v>
      </c>
      <c r="L477" s="5"/>
    </row>
    <row r="478" spans="1:12" customHeight="1" ht="105" outlineLevel="5">
      <c r="A478" s="1"/>
      <c r="B478" s="1">
        <v>829184</v>
      </c>
      <c r="C478" s="1" t="s">
        <v>1791</v>
      </c>
      <c r="D478" s="1" t="s">
        <v>1792</v>
      </c>
      <c r="E478" s="2" t="s">
        <v>1793</v>
      </c>
      <c r="F478" s="2" t="s">
        <v>1794</v>
      </c>
      <c r="G478" s="2">
        <v>10</v>
      </c>
      <c r="H478" s="2">
        <v>0</v>
      </c>
      <c r="I478" s="1">
        <v>0</v>
      </c>
      <c r="J478" s="3" t="s">
        <v>207</v>
      </c>
      <c r="K478" s="2" t="str">
        <f>J478*219.03</f>
        <v>0</v>
      </c>
      <c r="L478" s="5"/>
    </row>
    <row r="479" spans="1:12" customHeight="1" ht="105" outlineLevel="5">
      <c r="A479" s="1"/>
      <c r="B479" s="1">
        <v>829185</v>
      </c>
      <c r="C479" s="1" t="s">
        <v>1795</v>
      </c>
      <c r="D479" s="1" t="s">
        <v>1796</v>
      </c>
      <c r="E479" s="2" t="s">
        <v>1797</v>
      </c>
      <c r="F479" s="2" t="s">
        <v>1798</v>
      </c>
      <c r="G479" s="2" t="s">
        <v>28</v>
      </c>
      <c r="H479" s="2">
        <v>0</v>
      </c>
      <c r="I479" s="1">
        <v>0</v>
      </c>
      <c r="J479" s="3" t="s">
        <v>207</v>
      </c>
      <c r="K479" s="2" t="str">
        <f>J479*174.93</f>
        <v>0</v>
      </c>
      <c r="L479" s="5"/>
    </row>
    <row r="480" spans="1:12" customHeight="1" ht="105" outlineLevel="5">
      <c r="A480" s="1"/>
      <c r="B480" s="1">
        <v>829186</v>
      </c>
      <c r="C480" s="1" t="s">
        <v>1799</v>
      </c>
      <c r="D480" s="1" t="s">
        <v>1800</v>
      </c>
      <c r="E480" s="2" t="s">
        <v>1801</v>
      </c>
      <c r="F480" s="2" t="s">
        <v>1802</v>
      </c>
      <c r="G480" s="2">
        <v>10</v>
      </c>
      <c r="H480" s="2">
        <v>0</v>
      </c>
      <c r="I480" s="1">
        <v>0</v>
      </c>
      <c r="J480" s="3" t="s">
        <v>207</v>
      </c>
      <c r="K480" s="2" t="str">
        <f>J480*177.87</f>
        <v>0</v>
      </c>
      <c r="L480" s="5"/>
    </row>
    <row r="481" spans="1:12" customHeight="1" ht="105" outlineLevel="5">
      <c r="A481" s="1"/>
      <c r="B481" s="1">
        <v>829187</v>
      </c>
      <c r="C481" s="1" t="s">
        <v>1803</v>
      </c>
      <c r="D481" s="1" t="s">
        <v>1804</v>
      </c>
      <c r="E481" s="2" t="s">
        <v>1805</v>
      </c>
      <c r="F481" s="2" t="s">
        <v>1806</v>
      </c>
      <c r="G481" s="2" t="s">
        <v>28</v>
      </c>
      <c r="H481" s="2">
        <v>0</v>
      </c>
      <c r="I481" s="1">
        <v>0</v>
      </c>
      <c r="J481" s="3" t="s">
        <v>207</v>
      </c>
      <c r="K481" s="2" t="str">
        <f>J481*216.09</f>
        <v>0</v>
      </c>
      <c r="L481" s="5"/>
    </row>
    <row r="482" spans="1:12" customHeight="1" ht="105" outlineLevel="5">
      <c r="A482" s="1"/>
      <c r="B482" s="1">
        <v>829188</v>
      </c>
      <c r="C482" s="1" t="s">
        <v>1807</v>
      </c>
      <c r="D482" s="1" t="s">
        <v>1808</v>
      </c>
      <c r="E482" s="2" t="s">
        <v>1809</v>
      </c>
      <c r="F482" s="2" t="s">
        <v>1810</v>
      </c>
      <c r="G482" s="2" t="s">
        <v>28</v>
      </c>
      <c r="H482" s="2">
        <v>0</v>
      </c>
      <c r="I482" s="1">
        <v>0</v>
      </c>
      <c r="J482" s="3" t="s">
        <v>207</v>
      </c>
      <c r="K482" s="2" t="str">
        <f>J482*241.08</f>
        <v>0</v>
      </c>
      <c r="L482" s="5"/>
    </row>
    <row r="483" spans="1:12" customHeight="1" ht="105" outlineLevel="5">
      <c r="A483" s="1"/>
      <c r="B483" s="1">
        <v>829189</v>
      </c>
      <c r="C483" s="1" t="s">
        <v>1811</v>
      </c>
      <c r="D483" s="1" t="s">
        <v>1812</v>
      </c>
      <c r="E483" s="2" t="s">
        <v>1813</v>
      </c>
      <c r="F483" s="2" t="s">
        <v>1738</v>
      </c>
      <c r="G483" s="2" t="s">
        <v>33</v>
      </c>
      <c r="H483" s="2">
        <v>0</v>
      </c>
      <c r="I483" s="1">
        <v>0</v>
      </c>
      <c r="J483" s="3" t="s">
        <v>207</v>
      </c>
      <c r="K483" s="2" t="str">
        <f>J483*254.31</f>
        <v>0</v>
      </c>
      <c r="L483" s="5"/>
    </row>
    <row r="484" spans="1:12" customHeight="1" ht="105" outlineLevel="5">
      <c r="A484" s="1"/>
      <c r="B484" s="1">
        <v>829190</v>
      </c>
      <c r="C484" s="1" t="s">
        <v>1814</v>
      </c>
      <c r="D484" s="1" t="s">
        <v>1815</v>
      </c>
      <c r="E484" s="2" t="s">
        <v>1816</v>
      </c>
      <c r="F484" s="2" t="s">
        <v>1817</v>
      </c>
      <c r="G484" s="2" t="s">
        <v>33</v>
      </c>
      <c r="H484" s="2">
        <v>0</v>
      </c>
      <c r="I484" s="1">
        <v>0</v>
      </c>
      <c r="J484" s="3" t="s">
        <v>207</v>
      </c>
      <c r="K484" s="2" t="str">
        <f>J484*345.45</f>
        <v>0</v>
      </c>
      <c r="L484" s="5"/>
    </row>
    <row r="485" spans="1:12" customHeight="1" ht="105" outlineLevel="5">
      <c r="A485" s="1"/>
      <c r="B485" s="1">
        <v>829191</v>
      </c>
      <c r="C485" s="1" t="s">
        <v>1818</v>
      </c>
      <c r="D485" s="1" t="s">
        <v>1819</v>
      </c>
      <c r="E485" s="2" t="s">
        <v>1820</v>
      </c>
      <c r="F485" s="2" t="s">
        <v>1821</v>
      </c>
      <c r="G485" s="2">
        <v>6</v>
      </c>
      <c r="H485" s="2">
        <v>0</v>
      </c>
      <c r="I485" s="1">
        <v>0</v>
      </c>
      <c r="J485" s="3" t="s">
        <v>207</v>
      </c>
      <c r="K485" s="2" t="str">
        <f>J485*485.10</f>
        <v>0</v>
      </c>
      <c r="L485" s="5"/>
    </row>
    <row r="486" spans="1:12" customHeight="1" ht="105" outlineLevel="5">
      <c r="A486" s="1"/>
      <c r="B486" s="1">
        <v>829192</v>
      </c>
      <c r="C486" s="1" t="s">
        <v>1822</v>
      </c>
      <c r="D486" s="1" t="s">
        <v>1823</v>
      </c>
      <c r="E486" s="2" t="s">
        <v>1824</v>
      </c>
      <c r="F486" s="2" t="s">
        <v>1825</v>
      </c>
      <c r="G486" s="2" t="s">
        <v>28</v>
      </c>
      <c r="H486" s="2">
        <v>0</v>
      </c>
      <c r="I486" s="1">
        <v>0</v>
      </c>
      <c r="J486" s="3" t="s">
        <v>207</v>
      </c>
      <c r="K486" s="2" t="str">
        <f>J486*580.65</f>
        <v>0</v>
      </c>
      <c r="L486" s="5"/>
    </row>
    <row r="487" spans="1:12" customHeight="1" ht="105" outlineLevel="5">
      <c r="A487" s="1"/>
      <c r="B487" s="1">
        <v>829193</v>
      </c>
      <c r="C487" s="1" t="s">
        <v>1826</v>
      </c>
      <c r="D487" s="1" t="s">
        <v>1827</v>
      </c>
      <c r="E487" s="2" t="s">
        <v>1828</v>
      </c>
      <c r="F487" s="2" t="s">
        <v>1829</v>
      </c>
      <c r="G487" s="2">
        <v>5</v>
      </c>
      <c r="H487" s="2">
        <v>0</v>
      </c>
      <c r="I487" s="1">
        <v>0</v>
      </c>
      <c r="J487" s="3" t="s">
        <v>207</v>
      </c>
      <c r="K487" s="2" t="str">
        <f>J487*274.89</f>
        <v>0</v>
      </c>
      <c r="L487" s="5"/>
    </row>
    <row r="488" spans="1:12" customHeight="1" ht="105" outlineLevel="5">
      <c r="A488" s="1"/>
      <c r="B488" s="1">
        <v>829194</v>
      </c>
      <c r="C488" s="1" t="s">
        <v>1830</v>
      </c>
      <c r="D488" s="1" t="s">
        <v>1831</v>
      </c>
      <c r="E488" s="2" t="s">
        <v>1832</v>
      </c>
      <c r="F488" s="2" t="s">
        <v>1833</v>
      </c>
      <c r="G488" s="2">
        <v>0</v>
      </c>
      <c r="H488" s="2">
        <v>0</v>
      </c>
      <c r="I488" s="1">
        <v>0</v>
      </c>
      <c r="J488" s="3" t="s">
        <v>207</v>
      </c>
      <c r="K488" s="2" t="str">
        <f>J488*421.89</f>
        <v>0</v>
      </c>
      <c r="L488" s="5"/>
    </row>
    <row r="489" spans="1:12" customHeight="1" ht="105" outlineLevel="5">
      <c r="A489" s="1"/>
      <c r="B489" s="1">
        <v>829195</v>
      </c>
      <c r="C489" s="1" t="s">
        <v>1834</v>
      </c>
      <c r="D489" s="1" t="s">
        <v>1835</v>
      </c>
      <c r="E489" s="2" t="s">
        <v>1836</v>
      </c>
      <c r="F489" s="2" t="s">
        <v>1833</v>
      </c>
      <c r="G489" s="2">
        <v>0</v>
      </c>
      <c r="H489" s="2">
        <v>0</v>
      </c>
      <c r="I489" s="1">
        <v>0</v>
      </c>
      <c r="J489" s="3" t="s">
        <v>207</v>
      </c>
      <c r="K489" s="2" t="str">
        <f>J489*421.89</f>
        <v>0</v>
      </c>
      <c r="L489" s="5"/>
    </row>
    <row r="490" spans="1:12" customHeight="1" ht="105" outlineLevel="5">
      <c r="A490" s="1"/>
      <c r="B490" s="1">
        <v>829196</v>
      </c>
      <c r="C490" s="1" t="s">
        <v>1837</v>
      </c>
      <c r="D490" s="1" t="s">
        <v>1838</v>
      </c>
      <c r="E490" s="2" t="s">
        <v>1839</v>
      </c>
      <c r="F490" s="2" t="s">
        <v>1840</v>
      </c>
      <c r="G490" s="2">
        <v>2</v>
      </c>
      <c r="H490" s="2">
        <v>0</v>
      </c>
      <c r="I490" s="1">
        <v>0</v>
      </c>
      <c r="J490" s="3" t="s">
        <v>207</v>
      </c>
      <c r="K490" s="2" t="str">
        <f>J490*410.13</f>
        <v>0</v>
      </c>
      <c r="L490" s="5"/>
    </row>
    <row r="491" spans="1:12" customHeight="1" ht="105" outlineLevel="5">
      <c r="A491" s="1"/>
      <c r="B491" s="1">
        <v>829197</v>
      </c>
      <c r="C491" s="1" t="s">
        <v>1841</v>
      </c>
      <c r="D491" s="1" t="s">
        <v>1842</v>
      </c>
      <c r="E491" s="2" t="s">
        <v>1843</v>
      </c>
      <c r="F491" s="2" t="s">
        <v>1844</v>
      </c>
      <c r="G491" s="2">
        <v>0</v>
      </c>
      <c r="H491" s="2">
        <v>0</v>
      </c>
      <c r="I491" s="1">
        <v>0</v>
      </c>
      <c r="J491" s="3" t="s">
        <v>207</v>
      </c>
      <c r="K491" s="2" t="str">
        <f>J491*0.00</f>
        <v>0</v>
      </c>
      <c r="L491" s="5"/>
    </row>
    <row r="492" spans="1:12" customHeight="1" ht="105" outlineLevel="5">
      <c r="A492" s="1"/>
      <c r="B492" s="1">
        <v>829198</v>
      </c>
      <c r="C492" s="1" t="s">
        <v>1845</v>
      </c>
      <c r="D492" s="1" t="s">
        <v>1846</v>
      </c>
      <c r="E492" s="2" t="s">
        <v>1847</v>
      </c>
      <c r="F492" s="2" t="s">
        <v>1844</v>
      </c>
      <c r="G492" s="2">
        <v>0</v>
      </c>
      <c r="H492" s="2">
        <v>0</v>
      </c>
      <c r="I492" s="1">
        <v>0</v>
      </c>
      <c r="J492" s="3" t="s">
        <v>207</v>
      </c>
      <c r="K492" s="2" t="str">
        <f>J492*0.00</f>
        <v>0</v>
      </c>
      <c r="L492" s="5"/>
    </row>
    <row r="493" spans="1:12" customHeight="1" ht="105" outlineLevel="5">
      <c r="A493" s="1"/>
      <c r="B493" s="1">
        <v>829199</v>
      </c>
      <c r="C493" s="1" t="s">
        <v>1848</v>
      </c>
      <c r="D493" s="1" t="s">
        <v>1849</v>
      </c>
      <c r="E493" s="2" t="s">
        <v>1850</v>
      </c>
      <c r="F493" s="2" t="s">
        <v>289</v>
      </c>
      <c r="G493" s="2">
        <v>6</v>
      </c>
      <c r="H493" s="2">
        <v>0</v>
      </c>
      <c r="I493" s="1">
        <v>0</v>
      </c>
      <c r="J493" s="3" t="s">
        <v>207</v>
      </c>
      <c r="K493" s="2" t="str">
        <f>J493*266.07</f>
        <v>0</v>
      </c>
      <c r="L493" s="5"/>
    </row>
    <row r="494" spans="1:12" customHeight="1" ht="105" outlineLevel="5">
      <c r="A494" s="1"/>
      <c r="B494" s="1">
        <v>829200</v>
      </c>
      <c r="C494" s="1" t="s">
        <v>1851</v>
      </c>
      <c r="D494" s="1" t="s">
        <v>1852</v>
      </c>
      <c r="E494" s="2" t="s">
        <v>1853</v>
      </c>
      <c r="F494" s="2" t="s">
        <v>1854</v>
      </c>
      <c r="G494" s="2">
        <v>6</v>
      </c>
      <c r="H494" s="2">
        <v>0</v>
      </c>
      <c r="I494" s="1">
        <v>0</v>
      </c>
      <c r="J494" s="3" t="s">
        <v>207</v>
      </c>
      <c r="K494" s="2" t="str">
        <f>J494*371.91</f>
        <v>0</v>
      </c>
      <c r="L494" s="5"/>
    </row>
    <row r="495" spans="1:12" customHeight="1" ht="105" outlineLevel="5">
      <c r="A495" s="1"/>
      <c r="B495" s="1">
        <v>829201</v>
      </c>
      <c r="C495" s="1" t="s">
        <v>1855</v>
      </c>
      <c r="D495" s="1" t="s">
        <v>1856</v>
      </c>
      <c r="E495" s="2" t="s">
        <v>1857</v>
      </c>
      <c r="F495" s="2" t="s">
        <v>1858</v>
      </c>
      <c r="G495" s="2">
        <v>0</v>
      </c>
      <c r="H495" s="2">
        <v>0</v>
      </c>
      <c r="I495" s="1">
        <v>0</v>
      </c>
      <c r="J495" s="3" t="s">
        <v>207</v>
      </c>
      <c r="K495" s="2" t="str">
        <f>J495*399.84</f>
        <v>0</v>
      </c>
      <c r="L495" s="5"/>
    </row>
    <row r="496" spans="1:12" customHeight="1" ht="105" outlineLevel="5">
      <c r="A496" s="1"/>
      <c r="B496" s="1">
        <v>829202</v>
      </c>
      <c r="C496" s="1" t="s">
        <v>1859</v>
      </c>
      <c r="D496" s="1" t="s">
        <v>1860</v>
      </c>
      <c r="E496" s="2" t="s">
        <v>1861</v>
      </c>
      <c r="F496" s="2" t="s">
        <v>1833</v>
      </c>
      <c r="G496" s="2" t="s">
        <v>28</v>
      </c>
      <c r="H496" s="2">
        <v>0</v>
      </c>
      <c r="I496" s="1">
        <v>0</v>
      </c>
      <c r="J496" s="3" t="s">
        <v>207</v>
      </c>
      <c r="K496" s="2" t="str">
        <f>J496*421.89</f>
        <v>0</v>
      </c>
      <c r="L496" s="5"/>
    </row>
    <row r="497" spans="1:12" customHeight="1" ht="105" outlineLevel="5">
      <c r="A497" s="1"/>
      <c r="B497" s="1">
        <v>829203</v>
      </c>
      <c r="C497" s="1" t="s">
        <v>1862</v>
      </c>
      <c r="D497" s="1" t="s">
        <v>1863</v>
      </c>
      <c r="E497" s="2" t="s">
        <v>1864</v>
      </c>
      <c r="F497" s="2" t="s">
        <v>293</v>
      </c>
      <c r="G497" s="2">
        <v>4</v>
      </c>
      <c r="H497" s="2">
        <v>0</v>
      </c>
      <c r="I497" s="1">
        <v>0</v>
      </c>
      <c r="J497" s="3" t="s">
        <v>207</v>
      </c>
      <c r="K497" s="2" t="str">
        <f>J497*496.86</f>
        <v>0</v>
      </c>
      <c r="L497" s="5"/>
    </row>
    <row r="498" spans="1:12" customHeight="1" ht="105" outlineLevel="5">
      <c r="A498" s="1"/>
      <c r="B498" s="1">
        <v>829204</v>
      </c>
      <c r="C498" s="1" t="s">
        <v>1865</v>
      </c>
      <c r="D498" s="1" t="s">
        <v>1866</v>
      </c>
      <c r="E498" s="2" t="s">
        <v>1867</v>
      </c>
      <c r="F498" s="2" t="s">
        <v>1868</v>
      </c>
      <c r="G498" s="2">
        <v>7</v>
      </c>
      <c r="H498" s="2">
        <v>0</v>
      </c>
      <c r="I498" s="1">
        <v>0</v>
      </c>
      <c r="J498" s="3" t="s">
        <v>207</v>
      </c>
      <c r="K498" s="2" t="str">
        <f>J498*523.32</f>
        <v>0</v>
      </c>
      <c r="L498" s="5"/>
    </row>
    <row r="499" spans="1:12" customHeight="1" ht="105" outlineLevel="5">
      <c r="A499" s="1"/>
      <c r="B499" s="1">
        <v>829205</v>
      </c>
      <c r="C499" s="1" t="s">
        <v>1869</v>
      </c>
      <c r="D499" s="1" t="s">
        <v>1870</v>
      </c>
      <c r="E499" s="2" t="s">
        <v>1871</v>
      </c>
      <c r="F499" s="2" t="s">
        <v>1872</v>
      </c>
      <c r="G499" s="2" t="s">
        <v>33</v>
      </c>
      <c r="H499" s="2">
        <v>0</v>
      </c>
      <c r="I499" s="1">
        <v>0</v>
      </c>
      <c r="J499" s="3" t="s">
        <v>207</v>
      </c>
      <c r="K499" s="2" t="str">
        <f>J499*179.34</f>
        <v>0</v>
      </c>
      <c r="L499" s="5"/>
    </row>
    <row r="500" spans="1:12" customHeight="1" ht="105" outlineLevel="5">
      <c r="A500" s="1"/>
      <c r="B500" s="1">
        <v>829206</v>
      </c>
      <c r="C500" s="1" t="s">
        <v>1873</v>
      </c>
      <c r="D500" s="1" t="s">
        <v>1874</v>
      </c>
      <c r="E500" s="2" t="s">
        <v>1875</v>
      </c>
      <c r="F500" s="2" t="s">
        <v>1810</v>
      </c>
      <c r="G500" s="2">
        <v>9</v>
      </c>
      <c r="H500" s="2">
        <v>0</v>
      </c>
      <c r="I500" s="1">
        <v>0</v>
      </c>
      <c r="J500" s="3" t="s">
        <v>207</v>
      </c>
      <c r="K500" s="2" t="str">
        <f>J500*241.08</f>
        <v>0</v>
      </c>
      <c r="L500" s="5"/>
    </row>
    <row r="501" spans="1:12" customHeight="1" ht="105" outlineLevel="5">
      <c r="A501" s="1"/>
      <c r="B501" s="1">
        <v>829207</v>
      </c>
      <c r="C501" s="1" t="s">
        <v>1876</v>
      </c>
      <c r="D501" s="1" t="s">
        <v>1877</v>
      </c>
      <c r="E501" s="2" t="s">
        <v>1878</v>
      </c>
      <c r="F501" s="2" t="s">
        <v>1879</v>
      </c>
      <c r="G501" s="2" t="s">
        <v>33</v>
      </c>
      <c r="H501" s="2">
        <v>0</v>
      </c>
      <c r="I501" s="1">
        <v>0</v>
      </c>
      <c r="J501" s="3" t="s">
        <v>207</v>
      </c>
      <c r="K501" s="2" t="str">
        <f>J501*307.23</f>
        <v>0</v>
      </c>
      <c r="L501" s="5"/>
    </row>
    <row r="502" spans="1:12" customHeight="1" ht="105" outlineLevel="5">
      <c r="A502" s="1"/>
      <c r="B502" s="1">
        <v>829208</v>
      </c>
      <c r="C502" s="1" t="s">
        <v>1880</v>
      </c>
      <c r="D502" s="1" t="s">
        <v>1881</v>
      </c>
      <c r="E502" s="2" t="s">
        <v>1882</v>
      </c>
      <c r="F502" s="2" t="s">
        <v>1883</v>
      </c>
      <c r="G502" s="2">
        <v>-3</v>
      </c>
      <c r="H502" s="2">
        <v>0</v>
      </c>
      <c r="I502" s="1">
        <v>0</v>
      </c>
      <c r="J502" s="3" t="s">
        <v>207</v>
      </c>
      <c r="K502" s="2" t="str">
        <f>J502*235.20</f>
        <v>0</v>
      </c>
      <c r="L502" s="5"/>
    </row>
    <row r="503" spans="1:12" customHeight="1" ht="105" outlineLevel="5">
      <c r="A503" s="1"/>
      <c r="B503" s="1">
        <v>829209</v>
      </c>
      <c r="C503" s="1" t="s">
        <v>1884</v>
      </c>
      <c r="D503" s="1" t="s">
        <v>1885</v>
      </c>
      <c r="E503" s="2" t="s">
        <v>1886</v>
      </c>
      <c r="F503" s="2" t="s">
        <v>1887</v>
      </c>
      <c r="G503" s="2">
        <v>4</v>
      </c>
      <c r="H503" s="2">
        <v>0</v>
      </c>
      <c r="I503" s="1">
        <v>0</v>
      </c>
      <c r="J503" s="3" t="s">
        <v>207</v>
      </c>
      <c r="K503" s="2" t="str">
        <f>J503*310.17</f>
        <v>0</v>
      </c>
      <c r="L503" s="5"/>
    </row>
    <row r="504" spans="1:12" customHeight="1" ht="105" outlineLevel="5">
      <c r="A504" s="1"/>
      <c r="B504" s="1">
        <v>829210</v>
      </c>
      <c r="C504" s="1" t="s">
        <v>1888</v>
      </c>
      <c r="D504" s="1" t="s">
        <v>1889</v>
      </c>
      <c r="E504" s="2" t="s">
        <v>1890</v>
      </c>
      <c r="F504" s="2" t="s">
        <v>1891</v>
      </c>
      <c r="G504" s="2">
        <v>5</v>
      </c>
      <c r="H504" s="2">
        <v>0</v>
      </c>
      <c r="I504" s="1">
        <v>0</v>
      </c>
      <c r="J504" s="3" t="s">
        <v>207</v>
      </c>
      <c r="K504" s="2" t="str">
        <f>J504*305.76</f>
        <v>0</v>
      </c>
      <c r="L504" s="5"/>
    </row>
    <row r="505" spans="1:12" customHeight="1" ht="105" outlineLevel="5">
      <c r="A505" s="1"/>
      <c r="B505" s="1">
        <v>829211</v>
      </c>
      <c r="C505" s="1" t="s">
        <v>1892</v>
      </c>
      <c r="D505" s="1" t="s">
        <v>1893</v>
      </c>
      <c r="E505" s="2" t="s">
        <v>1894</v>
      </c>
      <c r="F505" s="2" t="s">
        <v>1895</v>
      </c>
      <c r="G505" s="2">
        <v>4</v>
      </c>
      <c r="H505" s="2">
        <v>0</v>
      </c>
      <c r="I505" s="1">
        <v>0</v>
      </c>
      <c r="J505" s="3" t="s">
        <v>207</v>
      </c>
      <c r="K505" s="2" t="str">
        <f>J505*465.99</f>
        <v>0</v>
      </c>
      <c r="L505" s="5"/>
    </row>
    <row r="506" spans="1:12" customHeight="1" ht="105" outlineLevel="5">
      <c r="A506" s="1"/>
      <c r="B506" s="1">
        <v>829212</v>
      </c>
      <c r="C506" s="1" t="s">
        <v>1896</v>
      </c>
      <c r="D506" s="1" t="s">
        <v>1897</v>
      </c>
      <c r="E506" s="2" t="s">
        <v>1898</v>
      </c>
      <c r="F506" s="2" t="s">
        <v>1899</v>
      </c>
      <c r="G506" s="2" t="s">
        <v>23</v>
      </c>
      <c r="H506" s="2">
        <v>0</v>
      </c>
      <c r="I506" s="1">
        <v>0</v>
      </c>
      <c r="J506" s="3" t="s">
        <v>207</v>
      </c>
      <c r="K506" s="2" t="str">
        <f>J506*107.31</f>
        <v>0</v>
      </c>
      <c r="L506" s="5"/>
    </row>
    <row r="507" spans="1:12" customHeight="1" ht="105" outlineLevel="5">
      <c r="A507" s="1"/>
      <c r="B507" s="1">
        <v>829213</v>
      </c>
      <c r="C507" s="1" t="s">
        <v>1900</v>
      </c>
      <c r="D507" s="1" t="s">
        <v>1901</v>
      </c>
      <c r="E507" s="2" t="s">
        <v>1902</v>
      </c>
      <c r="F507" s="2" t="s">
        <v>1903</v>
      </c>
      <c r="G507" s="2" t="s">
        <v>34</v>
      </c>
      <c r="H507" s="2">
        <v>0</v>
      </c>
      <c r="I507" s="1">
        <v>0</v>
      </c>
      <c r="J507" s="3" t="s">
        <v>207</v>
      </c>
      <c r="K507" s="2" t="str">
        <f>J507*188.16</f>
        <v>0</v>
      </c>
      <c r="L507" s="5"/>
    </row>
    <row r="508" spans="1:12" customHeight="1" ht="105" outlineLevel="5">
      <c r="A508" s="1"/>
      <c r="B508" s="1">
        <v>829214</v>
      </c>
      <c r="C508" s="1" t="s">
        <v>1904</v>
      </c>
      <c r="D508" s="1" t="s">
        <v>1905</v>
      </c>
      <c r="E508" s="2" t="s">
        <v>1906</v>
      </c>
      <c r="F508" s="2" t="s">
        <v>1907</v>
      </c>
      <c r="G508" s="2" t="s">
        <v>23</v>
      </c>
      <c r="H508" s="2">
        <v>0</v>
      </c>
      <c r="I508" s="1">
        <v>0</v>
      </c>
      <c r="J508" s="3" t="s">
        <v>207</v>
      </c>
      <c r="K508" s="2" t="str">
        <f>J508*258.72</f>
        <v>0</v>
      </c>
      <c r="L508" s="5"/>
    </row>
    <row r="509" spans="1:12" customHeight="1" ht="105" outlineLevel="5">
      <c r="A509" s="1"/>
      <c r="B509" s="1">
        <v>829215</v>
      </c>
      <c r="C509" s="1" t="s">
        <v>1908</v>
      </c>
      <c r="D509" s="1" t="s">
        <v>1909</v>
      </c>
      <c r="E509" s="2" t="s">
        <v>1910</v>
      </c>
      <c r="F509" s="2" t="s">
        <v>1911</v>
      </c>
      <c r="G509" s="2" t="s">
        <v>28</v>
      </c>
      <c r="H509" s="2">
        <v>0</v>
      </c>
      <c r="I509" s="1">
        <v>0</v>
      </c>
      <c r="J509" s="3" t="s">
        <v>207</v>
      </c>
      <c r="K509" s="2" t="str">
        <f>J509*295.47</f>
        <v>0</v>
      </c>
      <c r="L509" s="5"/>
    </row>
    <row r="510" spans="1:12" customHeight="1" ht="105" outlineLevel="5">
      <c r="A510" s="1"/>
      <c r="B510" s="1">
        <v>829216</v>
      </c>
      <c r="C510" s="1" t="s">
        <v>1912</v>
      </c>
      <c r="D510" s="1" t="s">
        <v>1913</v>
      </c>
      <c r="E510" s="2" t="s">
        <v>1914</v>
      </c>
      <c r="F510" s="2" t="s">
        <v>1915</v>
      </c>
      <c r="G510" s="2" t="s">
        <v>90</v>
      </c>
      <c r="H510" s="2">
        <v>0</v>
      </c>
      <c r="I510" s="1">
        <v>0</v>
      </c>
      <c r="J510" s="3" t="s">
        <v>207</v>
      </c>
      <c r="K510" s="2" t="str">
        <f>J510*123.48</f>
        <v>0</v>
      </c>
      <c r="L510" s="5"/>
    </row>
    <row r="511" spans="1:12" customHeight="1" ht="105" outlineLevel="5">
      <c r="A511" s="1"/>
      <c r="B511" s="1">
        <v>829217</v>
      </c>
      <c r="C511" s="1" t="s">
        <v>1916</v>
      </c>
      <c r="D511" s="1" t="s">
        <v>1917</v>
      </c>
      <c r="E511" s="2" t="s">
        <v>1918</v>
      </c>
      <c r="F511" s="2" t="s">
        <v>1919</v>
      </c>
      <c r="G511" s="2" t="s">
        <v>23</v>
      </c>
      <c r="H511" s="2">
        <v>0</v>
      </c>
      <c r="I511" s="1">
        <v>0</v>
      </c>
      <c r="J511" s="3" t="s">
        <v>207</v>
      </c>
      <c r="K511" s="2" t="str">
        <f>J511*204.33</f>
        <v>0</v>
      </c>
      <c r="L511" s="5"/>
    </row>
    <row r="512" spans="1:12" customHeight="1" ht="105" outlineLevel="5">
      <c r="A512" s="1"/>
      <c r="B512" s="1">
        <v>829218</v>
      </c>
      <c r="C512" s="1" t="s">
        <v>1920</v>
      </c>
      <c r="D512" s="1" t="s">
        <v>1921</v>
      </c>
      <c r="E512" s="2" t="s">
        <v>1922</v>
      </c>
      <c r="F512" s="2" t="s">
        <v>289</v>
      </c>
      <c r="G512" s="2" t="s">
        <v>23</v>
      </c>
      <c r="H512" s="2">
        <v>0</v>
      </c>
      <c r="I512" s="1">
        <v>0</v>
      </c>
      <c r="J512" s="3" t="s">
        <v>207</v>
      </c>
      <c r="K512" s="2" t="str">
        <f>J512*266.07</f>
        <v>0</v>
      </c>
      <c r="L512" s="5"/>
    </row>
    <row r="513" spans="1:12" customHeight="1" ht="105" outlineLevel="5">
      <c r="A513" s="1"/>
      <c r="B513" s="1">
        <v>829219</v>
      </c>
      <c r="C513" s="1" t="s">
        <v>1923</v>
      </c>
      <c r="D513" s="1" t="s">
        <v>1924</v>
      </c>
      <c r="E513" s="2" t="s">
        <v>1925</v>
      </c>
      <c r="F513" s="2" t="s">
        <v>1926</v>
      </c>
      <c r="G513" s="2" t="s">
        <v>33</v>
      </c>
      <c r="H513" s="2">
        <v>0</v>
      </c>
      <c r="I513" s="1">
        <v>0</v>
      </c>
      <c r="J513" s="3" t="s">
        <v>207</v>
      </c>
      <c r="K513" s="2" t="str">
        <f>J513*338.10</f>
        <v>0</v>
      </c>
      <c r="L513" s="5"/>
    </row>
    <row r="514" spans="1:12" customHeight="1" ht="105" outlineLevel="5">
      <c r="A514" s="1"/>
      <c r="B514" s="1">
        <v>829220</v>
      </c>
      <c r="C514" s="1" t="s">
        <v>1927</v>
      </c>
      <c r="D514" s="1" t="s">
        <v>1928</v>
      </c>
      <c r="E514" s="2" t="s">
        <v>1929</v>
      </c>
      <c r="F514" s="2" t="s">
        <v>1899</v>
      </c>
      <c r="G514" s="2" t="s">
        <v>23</v>
      </c>
      <c r="H514" s="2">
        <v>0</v>
      </c>
      <c r="I514" s="1">
        <v>0</v>
      </c>
      <c r="J514" s="3" t="s">
        <v>207</v>
      </c>
      <c r="K514" s="2" t="str">
        <f>J514*107.31</f>
        <v>0</v>
      </c>
      <c r="L514" s="5"/>
    </row>
    <row r="515" spans="1:12" customHeight="1" ht="105" outlineLevel="5">
      <c r="A515" s="1"/>
      <c r="B515" s="1">
        <v>829221</v>
      </c>
      <c r="C515" s="1" t="s">
        <v>1930</v>
      </c>
      <c r="D515" s="1" t="s">
        <v>1931</v>
      </c>
      <c r="E515" s="2" t="s">
        <v>1932</v>
      </c>
      <c r="F515" s="2" t="s">
        <v>1933</v>
      </c>
      <c r="G515" s="2" t="s">
        <v>43</v>
      </c>
      <c r="H515" s="2">
        <v>0</v>
      </c>
      <c r="I515" s="1">
        <v>0</v>
      </c>
      <c r="J515" s="3" t="s">
        <v>207</v>
      </c>
      <c r="K515" s="2" t="str">
        <f>J515*189.63</f>
        <v>0</v>
      </c>
      <c r="L515" s="5"/>
    </row>
    <row r="516" spans="1:12" customHeight="1" ht="105" outlineLevel="5">
      <c r="A516" s="1"/>
      <c r="B516" s="1">
        <v>829222</v>
      </c>
      <c r="C516" s="1" t="s">
        <v>1934</v>
      </c>
      <c r="D516" s="1" t="s">
        <v>1935</v>
      </c>
      <c r="E516" s="2" t="s">
        <v>1936</v>
      </c>
      <c r="F516" s="2" t="s">
        <v>1937</v>
      </c>
      <c r="G516" s="2" t="s">
        <v>90</v>
      </c>
      <c r="H516" s="2">
        <v>0</v>
      </c>
      <c r="I516" s="1">
        <v>0</v>
      </c>
      <c r="J516" s="3" t="s">
        <v>207</v>
      </c>
      <c r="K516" s="2" t="str">
        <f>J516*261.66</f>
        <v>0</v>
      </c>
      <c r="L516" s="5"/>
    </row>
    <row r="517" spans="1:12" customHeight="1" ht="105" outlineLevel="5">
      <c r="A517" s="1"/>
      <c r="B517" s="1">
        <v>829223</v>
      </c>
      <c r="C517" s="1" t="s">
        <v>1938</v>
      </c>
      <c r="D517" s="1" t="s">
        <v>1939</v>
      </c>
      <c r="E517" s="2" t="s">
        <v>1940</v>
      </c>
      <c r="F517" s="2" t="s">
        <v>281</v>
      </c>
      <c r="G517" s="2" t="s">
        <v>28</v>
      </c>
      <c r="H517" s="2">
        <v>0</v>
      </c>
      <c r="I517" s="1">
        <v>0</v>
      </c>
      <c r="J517" s="3" t="s">
        <v>207</v>
      </c>
      <c r="K517" s="2" t="str">
        <f>J517*360.15</f>
        <v>0</v>
      </c>
      <c r="L517" s="5"/>
    </row>
    <row r="518" spans="1:12" customHeight="1" ht="105" outlineLevel="5">
      <c r="A518" s="1"/>
      <c r="B518" s="1">
        <v>829224</v>
      </c>
      <c r="C518" s="1" t="s">
        <v>1941</v>
      </c>
      <c r="D518" s="1" t="s">
        <v>1942</v>
      </c>
      <c r="E518" s="2" t="s">
        <v>1943</v>
      </c>
      <c r="F518" s="2" t="s">
        <v>1944</v>
      </c>
      <c r="G518" s="2" t="s">
        <v>23</v>
      </c>
      <c r="H518" s="2">
        <v>0</v>
      </c>
      <c r="I518" s="1">
        <v>0</v>
      </c>
      <c r="J518" s="3" t="s">
        <v>207</v>
      </c>
      <c r="K518" s="2" t="str">
        <f>J518*124.95</f>
        <v>0</v>
      </c>
      <c r="L518" s="5"/>
    </row>
    <row r="519" spans="1:12" customHeight="1" ht="105" outlineLevel="5">
      <c r="A519" s="1"/>
      <c r="B519" s="1">
        <v>829225</v>
      </c>
      <c r="C519" s="1" t="s">
        <v>1945</v>
      </c>
      <c r="D519" s="1" t="s">
        <v>1946</v>
      </c>
      <c r="E519" s="2" t="s">
        <v>1947</v>
      </c>
      <c r="F519" s="2" t="s">
        <v>1948</v>
      </c>
      <c r="G519" s="2" t="s">
        <v>90</v>
      </c>
      <c r="H519" s="2">
        <v>0</v>
      </c>
      <c r="I519" s="1">
        <v>0</v>
      </c>
      <c r="J519" s="3" t="s">
        <v>207</v>
      </c>
      <c r="K519" s="2" t="str">
        <f>J519*205.80</f>
        <v>0</v>
      </c>
      <c r="L519" s="5"/>
    </row>
    <row r="520" spans="1:12" customHeight="1" ht="105" outlineLevel="5">
      <c r="A520" s="1"/>
      <c r="B520" s="1">
        <v>829226</v>
      </c>
      <c r="C520" s="1" t="s">
        <v>1949</v>
      </c>
      <c r="D520" s="1" t="s">
        <v>1950</v>
      </c>
      <c r="E520" s="2" t="s">
        <v>1951</v>
      </c>
      <c r="F520" s="2" t="s">
        <v>392</v>
      </c>
      <c r="G520" s="2" t="s">
        <v>23</v>
      </c>
      <c r="H520" s="2">
        <v>0</v>
      </c>
      <c r="I520" s="1">
        <v>0</v>
      </c>
      <c r="J520" s="3" t="s">
        <v>207</v>
      </c>
      <c r="K520" s="2" t="str">
        <f>J520*267.54</f>
        <v>0</v>
      </c>
      <c r="L520" s="5"/>
    </row>
    <row r="521" spans="1:12" customHeight="1" ht="105" outlineLevel="5">
      <c r="A521" s="1"/>
      <c r="B521" s="1">
        <v>829227</v>
      </c>
      <c r="C521" s="1" t="s">
        <v>1952</v>
      </c>
      <c r="D521" s="1" t="s">
        <v>1953</v>
      </c>
      <c r="E521" s="2" t="s">
        <v>1954</v>
      </c>
      <c r="F521" s="2" t="s">
        <v>1955</v>
      </c>
      <c r="G521" s="2" t="s">
        <v>28</v>
      </c>
      <c r="H521" s="2">
        <v>0</v>
      </c>
      <c r="I521" s="1">
        <v>0</v>
      </c>
      <c r="J521" s="3" t="s">
        <v>207</v>
      </c>
      <c r="K521" s="2" t="str">
        <f>J521*396.90</f>
        <v>0</v>
      </c>
      <c r="L521" s="5"/>
    </row>
    <row r="522" spans="1:12" customHeight="1" ht="105" outlineLevel="5">
      <c r="A522" s="1"/>
      <c r="B522" s="1">
        <v>829228</v>
      </c>
      <c r="C522" s="1" t="s">
        <v>1956</v>
      </c>
      <c r="D522" s="1" t="s">
        <v>1957</v>
      </c>
      <c r="E522" s="2" t="s">
        <v>1958</v>
      </c>
      <c r="F522" s="2" t="s">
        <v>1959</v>
      </c>
      <c r="G522" s="2">
        <v>8</v>
      </c>
      <c r="H522" s="2">
        <v>0</v>
      </c>
      <c r="I522" s="1">
        <v>0</v>
      </c>
      <c r="J522" s="3" t="s">
        <v>207</v>
      </c>
      <c r="K522" s="2" t="str">
        <f>J522*327.81</f>
        <v>0</v>
      </c>
      <c r="L522" s="5"/>
    </row>
    <row r="523" spans="1:12" customHeight="1" ht="105" outlineLevel="5">
      <c r="A523" s="1"/>
      <c r="B523" s="1">
        <v>829229</v>
      </c>
      <c r="C523" s="1" t="s">
        <v>1960</v>
      </c>
      <c r="D523" s="1" t="s">
        <v>1961</v>
      </c>
      <c r="E523" s="2" t="s">
        <v>1962</v>
      </c>
      <c r="F523" s="2" t="s">
        <v>1963</v>
      </c>
      <c r="G523" s="2">
        <v>0</v>
      </c>
      <c r="H523" s="2">
        <v>0</v>
      </c>
      <c r="I523" s="1">
        <v>0</v>
      </c>
      <c r="J523" s="3" t="s">
        <v>207</v>
      </c>
      <c r="K523" s="2" t="str">
        <f>J523*382.20</f>
        <v>0</v>
      </c>
      <c r="L523" s="5"/>
    </row>
    <row r="524" spans="1:12" customHeight="1" ht="105" outlineLevel="5">
      <c r="A524" s="1"/>
      <c r="B524" s="1">
        <v>829230</v>
      </c>
      <c r="C524" s="1" t="s">
        <v>1964</v>
      </c>
      <c r="D524" s="1" t="s">
        <v>1965</v>
      </c>
      <c r="E524" s="2" t="s">
        <v>1966</v>
      </c>
      <c r="F524" s="2" t="s">
        <v>1774</v>
      </c>
      <c r="G524" s="2">
        <v>5</v>
      </c>
      <c r="H524" s="2">
        <v>0</v>
      </c>
      <c r="I524" s="1">
        <v>0</v>
      </c>
      <c r="J524" s="3" t="s">
        <v>207</v>
      </c>
      <c r="K524" s="2" t="str">
        <f>J524*446.88</f>
        <v>0</v>
      </c>
      <c r="L524" s="5"/>
    </row>
    <row r="525" spans="1:12" customHeight="1" ht="105" outlineLevel="5">
      <c r="A525" s="1"/>
      <c r="B525" s="1">
        <v>829231</v>
      </c>
      <c r="C525" s="1" t="s">
        <v>1967</v>
      </c>
      <c r="D525" s="1" t="s">
        <v>1968</v>
      </c>
      <c r="E525" s="2" t="s">
        <v>1969</v>
      </c>
      <c r="F525" s="2" t="s">
        <v>1970</v>
      </c>
      <c r="G525" s="2" t="s">
        <v>28</v>
      </c>
      <c r="H525" s="2">
        <v>0</v>
      </c>
      <c r="I525" s="1">
        <v>0</v>
      </c>
      <c r="J525" s="3" t="s">
        <v>207</v>
      </c>
      <c r="K525" s="2" t="str">
        <f>J525*805.56</f>
        <v>0</v>
      </c>
      <c r="L525" s="5"/>
    </row>
    <row r="526" spans="1:12" customHeight="1" ht="105" outlineLevel="5">
      <c r="A526" s="1"/>
      <c r="B526" s="1">
        <v>829232</v>
      </c>
      <c r="C526" s="1" t="s">
        <v>1971</v>
      </c>
      <c r="D526" s="1" t="s">
        <v>1972</v>
      </c>
      <c r="E526" s="2" t="s">
        <v>1973</v>
      </c>
      <c r="F526" s="2" t="s">
        <v>1974</v>
      </c>
      <c r="G526" s="2" t="s">
        <v>28</v>
      </c>
      <c r="H526" s="2">
        <v>0</v>
      </c>
      <c r="I526" s="1">
        <v>0</v>
      </c>
      <c r="J526" s="3" t="s">
        <v>207</v>
      </c>
      <c r="K526" s="2" t="str">
        <f>J526*820.26</f>
        <v>0</v>
      </c>
      <c r="L526" s="5"/>
    </row>
    <row r="527" spans="1:12" customHeight="1" ht="105" outlineLevel="5">
      <c r="A527" s="1"/>
      <c r="B527" s="1">
        <v>829233</v>
      </c>
      <c r="C527" s="1" t="s">
        <v>1975</v>
      </c>
      <c r="D527" s="1" t="s">
        <v>1976</v>
      </c>
      <c r="E527" s="2" t="s">
        <v>1977</v>
      </c>
      <c r="F527" s="2" t="s">
        <v>1770</v>
      </c>
      <c r="G527" s="2" t="s">
        <v>33</v>
      </c>
      <c r="H527" s="2">
        <v>0</v>
      </c>
      <c r="I527" s="1">
        <v>0</v>
      </c>
      <c r="J527" s="3" t="s">
        <v>207</v>
      </c>
      <c r="K527" s="2" t="str">
        <f>J527*358.68</f>
        <v>0</v>
      </c>
      <c r="L527" s="5"/>
    </row>
    <row r="528" spans="1:12" customHeight="1" ht="105" outlineLevel="5">
      <c r="A528" s="1"/>
      <c r="B528" s="1">
        <v>829234</v>
      </c>
      <c r="C528" s="1" t="s">
        <v>1978</v>
      </c>
      <c r="D528" s="1" t="s">
        <v>1979</v>
      </c>
      <c r="E528" s="2" t="s">
        <v>1980</v>
      </c>
      <c r="F528" s="2" t="s">
        <v>1981</v>
      </c>
      <c r="G528" s="2" t="s">
        <v>28</v>
      </c>
      <c r="H528" s="2">
        <v>0</v>
      </c>
      <c r="I528" s="1">
        <v>0</v>
      </c>
      <c r="J528" s="3" t="s">
        <v>207</v>
      </c>
      <c r="K528" s="2" t="str">
        <f>J528*533.61</f>
        <v>0</v>
      </c>
      <c r="L528" s="5"/>
    </row>
    <row r="529" spans="1:12" customHeight="1" ht="105" outlineLevel="5">
      <c r="A529" s="1"/>
      <c r="B529" s="1">
        <v>829235</v>
      </c>
      <c r="C529" s="1" t="s">
        <v>1982</v>
      </c>
      <c r="D529" s="1" t="s">
        <v>1983</v>
      </c>
      <c r="E529" s="2" t="s">
        <v>1984</v>
      </c>
      <c r="F529" s="2" t="s">
        <v>1981</v>
      </c>
      <c r="G529" s="2">
        <v>3</v>
      </c>
      <c r="H529" s="2">
        <v>0</v>
      </c>
      <c r="I529" s="1">
        <v>0</v>
      </c>
      <c r="J529" s="3" t="s">
        <v>207</v>
      </c>
      <c r="K529" s="2" t="str">
        <f>J529*533.61</f>
        <v>0</v>
      </c>
      <c r="L529" s="5"/>
    </row>
    <row r="530" spans="1:12" customHeight="1" ht="105" outlineLevel="5">
      <c r="A530" s="1"/>
      <c r="B530" s="1">
        <v>829236</v>
      </c>
      <c r="C530" s="1" t="s">
        <v>1985</v>
      </c>
      <c r="D530" s="1" t="s">
        <v>1986</v>
      </c>
      <c r="E530" s="2" t="s">
        <v>1987</v>
      </c>
      <c r="F530" s="2" t="s">
        <v>1988</v>
      </c>
      <c r="G530" s="2" t="s">
        <v>28</v>
      </c>
      <c r="H530" s="2">
        <v>0</v>
      </c>
      <c r="I530" s="1">
        <v>0</v>
      </c>
      <c r="J530" s="3" t="s">
        <v>207</v>
      </c>
      <c r="K530" s="2" t="str">
        <f>J530*749.70</f>
        <v>0</v>
      </c>
      <c r="L530" s="5"/>
    </row>
    <row r="531" spans="1:12" customHeight="1" ht="105" outlineLevel="5">
      <c r="A531" s="1"/>
      <c r="B531" s="1">
        <v>829237</v>
      </c>
      <c r="C531" s="1" t="s">
        <v>1989</v>
      </c>
      <c r="D531" s="1" t="s">
        <v>1990</v>
      </c>
      <c r="E531" s="2" t="s">
        <v>1991</v>
      </c>
      <c r="F531" s="2" t="s">
        <v>1992</v>
      </c>
      <c r="G531" s="2" t="s">
        <v>33</v>
      </c>
      <c r="H531" s="2">
        <v>0</v>
      </c>
      <c r="I531" s="1">
        <v>0</v>
      </c>
      <c r="J531" s="3" t="s">
        <v>207</v>
      </c>
      <c r="K531" s="2" t="str">
        <f>J531*751.17</f>
        <v>0</v>
      </c>
      <c r="L531" s="5"/>
    </row>
    <row r="532" spans="1:12" customHeight="1" ht="105" outlineLevel="5">
      <c r="A532" s="1"/>
      <c r="B532" s="1">
        <v>829238</v>
      </c>
      <c r="C532" s="1" t="s">
        <v>1993</v>
      </c>
      <c r="D532" s="1" t="s">
        <v>1994</v>
      </c>
      <c r="E532" s="2" t="s">
        <v>1995</v>
      </c>
      <c r="F532" s="2" t="s">
        <v>1996</v>
      </c>
      <c r="G532" s="2" t="s">
        <v>28</v>
      </c>
      <c r="H532" s="2">
        <v>0</v>
      </c>
      <c r="I532" s="1">
        <v>0</v>
      </c>
      <c r="J532" s="3" t="s">
        <v>207</v>
      </c>
      <c r="K532" s="2" t="str">
        <f>J532*405.72</f>
        <v>0</v>
      </c>
      <c r="L532" s="5"/>
    </row>
    <row r="533" spans="1:12" customHeight="1" ht="105" outlineLevel="5">
      <c r="A533" s="1"/>
      <c r="B533" s="1">
        <v>829239</v>
      </c>
      <c r="C533" s="1" t="s">
        <v>1997</v>
      </c>
      <c r="D533" s="1" t="s">
        <v>1998</v>
      </c>
      <c r="E533" s="2" t="s">
        <v>1999</v>
      </c>
      <c r="F533" s="2" t="s">
        <v>2000</v>
      </c>
      <c r="G533" s="2" t="s">
        <v>28</v>
      </c>
      <c r="H533" s="2">
        <v>0</v>
      </c>
      <c r="I533" s="1">
        <v>0</v>
      </c>
      <c r="J533" s="3" t="s">
        <v>207</v>
      </c>
      <c r="K533" s="2" t="str">
        <f>J533*560.07</f>
        <v>0</v>
      </c>
      <c r="L533" s="5"/>
    </row>
    <row r="534" spans="1:12" customHeight="1" ht="105" outlineLevel="5">
      <c r="A534" s="1"/>
      <c r="B534" s="1">
        <v>829240</v>
      </c>
      <c r="C534" s="1" t="s">
        <v>2001</v>
      </c>
      <c r="D534" s="1" t="s">
        <v>2002</v>
      </c>
      <c r="E534" s="2" t="s">
        <v>2003</v>
      </c>
      <c r="F534" s="2" t="s">
        <v>2004</v>
      </c>
      <c r="G534" s="2" t="s">
        <v>33</v>
      </c>
      <c r="H534" s="2">
        <v>0</v>
      </c>
      <c r="I534" s="1">
        <v>0</v>
      </c>
      <c r="J534" s="3" t="s">
        <v>207</v>
      </c>
      <c r="K534" s="2" t="str">
        <f>J534*567.42</f>
        <v>0</v>
      </c>
      <c r="L534" s="5"/>
    </row>
    <row r="535" spans="1:12" customHeight="1" ht="105" outlineLevel="5">
      <c r="A535" s="1"/>
      <c r="B535" s="1">
        <v>832288</v>
      </c>
      <c r="C535" s="1" t="s">
        <v>2005</v>
      </c>
      <c r="D535" s="1" t="s">
        <v>2006</v>
      </c>
      <c r="E535" s="2" t="s">
        <v>2007</v>
      </c>
      <c r="F535" s="2" t="s">
        <v>1806</v>
      </c>
      <c r="G535" s="2" t="s">
        <v>23</v>
      </c>
      <c r="H535" s="2">
        <v>0</v>
      </c>
      <c r="I535" s="1">
        <v>0</v>
      </c>
      <c r="J535" s="3" t="s">
        <v>207</v>
      </c>
      <c r="K535" s="2" t="str">
        <f>J535*216.09</f>
        <v>0</v>
      </c>
      <c r="L535" s="5"/>
    </row>
    <row r="536" spans="1:12" customHeight="1" ht="105" outlineLevel="5">
      <c r="A536" s="1"/>
      <c r="B536" s="1">
        <v>832289</v>
      </c>
      <c r="C536" s="1" t="s">
        <v>2008</v>
      </c>
      <c r="D536" s="1" t="s">
        <v>2009</v>
      </c>
      <c r="E536" s="2" t="s">
        <v>2010</v>
      </c>
      <c r="F536" s="2" t="s">
        <v>2011</v>
      </c>
      <c r="G536" s="2" t="s">
        <v>90</v>
      </c>
      <c r="H536" s="2">
        <v>0</v>
      </c>
      <c r="I536" s="1">
        <v>0</v>
      </c>
      <c r="J536" s="3" t="s">
        <v>207</v>
      </c>
      <c r="K536" s="2" t="str">
        <f>J536*251.37</f>
        <v>0</v>
      </c>
      <c r="L536" s="5"/>
    </row>
    <row r="537" spans="1:12" customHeight="1" ht="105" outlineLevel="5">
      <c r="A537" s="1"/>
      <c r="B537" s="1">
        <v>832290</v>
      </c>
      <c r="C537" s="1" t="s">
        <v>2012</v>
      </c>
      <c r="D537" s="1" t="s">
        <v>2013</v>
      </c>
      <c r="E537" s="2" t="s">
        <v>2014</v>
      </c>
      <c r="F537" s="2" t="s">
        <v>2015</v>
      </c>
      <c r="G537" s="2" t="s">
        <v>23</v>
      </c>
      <c r="H537" s="2">
        <v>0</v>
      </c>
      <c r="I537" s="1">
        <v>0</v>
      </c>
      <c r="J537" s="3" t="s">
        <v>207</v>
      </c>
      <c r="K537" s="2" t="str">
        <f>J537*232.26</f>
        <v>0</v>
      </c>
      <c r="L537" s="5"/>
    </row>
    <row r="538" spans="1:12" customHeight="1" ht="105" outlineLevel="5">
      <c r="A538" s="1"/>
      <c r="B538" s="1">
        <v>832291</v>
      </c>
      <c r="C538" s="1" t="s">
        <v>2016</v>
      </c>
      <c r="D538" s="1" t="s">
        <v>2017</v>
      </c>
      <c r="E538" s="2" t="s">
        <v>2018</v>
      </c>
      <c r="F538" s="2" t="s">
        <v>2011</v>
      </c>
      <c r="G538" s="2" t="s">
        <v>90</v>
      </c>
      <c r="H538" s="2">
        <v>0</v>
      </c>
      <c r="I538" s="1">
        <v>0</v>
      </c>
      <c r="J538" s="3" t="s">
        <v>207</v>
      </c>
      <c r="K538" s="2" t="str">
        <f>J538*251.37</f>
        <v>0</v>
      </c>
      <c r="L538" s="5"/>
    </row>
    <row r="539" spans="1:12" customHeight="1" ht="105" outlineLevel="5">
      <c r="A539" s="1"/>
      <c r="B539" s="1">
        <v>832292</v>
      </c>
      <c r="C539" s="1" t="s">
        <v>2019</v>
      </c>
      <c r="D539" s="1" t="s">
        <v>2020</v>
      </c>
      <c r="E539" s="2" t="s">
        <v>2021</v>
      </c>
      <c r="F539" s="2" t="s">
        <v>2022</v>
      </c>
      <c r="G539" s="2" t="s">
        <v>90</v>
      </c>
      <c r="H539" s="2">
        <v>0</v>
      </c>
      <c r="I539" s="1">
        <v>0</v>
      </c>
      <c r="J539" s="3" t="s">
        <v>207</v>
      </c>
      <c r="K539" s="2" t="str">
        <f>J539*95.55</f>
        <v>0</v>
      </c>
      <c r="L539" s="5"/>
    </row>
    <row r="540" spans="1:12" customHeight="1" ht="105" outlineLevel="5">
      <c r="A540" s="1"/>
      <c r="B540" s="1">
        <v>836380</v>
      </c>
      <c r="C540" s="1" t="s">
        <v>2023</v>
      </c>
      <c r="D540" s="1" t="s">
        <v>2024</v>
      </c>
      <c r="E540" s="2" t="s">
        <v>2025</v>
      </c>
      <c r="F540" s="2" t="s">
        <v>2026</v>
      </c>
      <c r="G540" s="2" t="s">
        <v>33</v>
      </c>
      <c r="H540" s="2">
        <v>0</v>
      </c>
      <c r="I540" s="1">
        <v>0</v>
      </c>
      <c r="J540" s="3" t="s">
        <v>207</v>
      </c>
      <c r="K540" s="2" t="str">
        <f>J540*145.53</f>
        <v>0</v>
      </c>
      <c r="L540" s="5"/>
    </row>
    <row r="541" spans="1:12" customHeight="1" ht="105" outlineLevel="5">
      <c r="A541" s="1"/>
      <c r="B541" s="1">
        <v>832293</v>
      </c>
      <c r="C541" s="1" t="s">
        <v>2027</v>
      </c>
      <c r="D541" s="1" t="s">
        <v>2028</v>
      </c>
      <c r="E541" s="2" t="s">
        <v>2029</v>
      </c>
      <c r="F541" s="2" t="s">
        <v>2030</v>
      </c>
      <c r="G541" s="2" t="s">
        <v>28</v>
      </c>
      <c r="H541" s="2">
        <v>0</v>
      </c>
      <c r="I541" s="1">
        <v>0</v>
      </c>
      <c r="J541" s="3" t="s">
        <v>207</v>
      </c>
      <c r="K541" s="2" t="str">
        <f>J541*286.65</f>
        <v>0</v>
      </c>
      <c r="L541" s="5"/>
    </row>
    <row r="542" spans="1:12" customHeight="1" ht="105" outlineLevel="5">
      <c r="A542" s="1"/>
      <c r="B542" s="1">
        <v>832294</v>
      </c>
      <c r="C542" s="1" t="s">
        <v>2031</v>
      </c>
      <c r="D542" s="1" t="s">
        <v>2032</v>
      </c>
      <c r="E542" s="2" t="s">
        <v>2033</v>
      </c>
      <c r="F542" s="2" t="s">
        <v>156</v>
      </c>
      <c r="G542" s="2" t="s">
        <v>90</v>
      </c>
      <c r="H542" s="2">
        <v>0</v>
      </c>
      <c r="I542" s="1">
        <v>0</v>
      </c>
      <c r="J542" s="3" t="s">
        <v>207</v>
      </c>
      <c r="K542" s="2" t="str">
        <f>J542*196.98</f>
        <v>0</v>
      </c>
      <c r="L542" s="5"/>
    </row>
    <row r="543" spans="1:12" customHeight="1" ht="105" outlineLevel="5">
      <c r="A543" s="1"/>
      <c r="B543" s="1">
        <v>832295</v>
      </c>
      <c r="C543" s="1" t="s">
        <v>2034</v>
      </c>
      <c r="D543" s="1" t="s">
        <v>2035</v>
      </c>
      <c r="E543" s="2" t="s">
        <v>2036</v>
      </c>
      <c r="F543" s="2" t="s">
        <v>2037</v>
      </c>
      <c r="G543" s="2" t="s">
        <v>33</v>
      </c>
      <c r="H543" s="2">
        <v>0</v>
      </c>
      <c r="I543" s="1">
        <v>0</v>
      </c>
      <c r="J543" s="3" t="s">
        <v>207</v>
      </c>
      <c r="K543" s="2" t="str">
        <f>J543*210.21</f>
        <v>0</v>
      </c>
      <c r="L543" s="5"/>
    </row>
    <row r="544" spans="1:12" customHeight="1" ht="105" outlineLevel="5">
      <c r="A544" s="1"/>
      <c r="B544" s="1">
        <v>832296</v>
      </c>
      <c r="C544" s="1" t="s">
        <v>2038</v>
      </c>
      <c r="D544" s="1" t="s">
        <v>2039</v>
      </c>
      <c r="E544" s="2" t="s">
        <v>2040</v>
      </c>
      <c r="F544" s="2" t="s">
        <v>2041</v>
      </c>
      <c r="G544" s="2" t="s">
        <v>33</v>
      </c>
      <c r="H544" s="2">
        <v>0</v>
      </c>
      <c r="I544" s="1">
        <v>0</v>
      </c>
      <c r="J544" s="3" t="s">
        <v>207</v>
      </c>
      <c r="K544" s="2" t="str">
        <f>J544*468.93</f>
        <v>0</v>
      </c>
      <c r="L544" s="5"/>
    </row>
    <row r="545" spans="1:12" customHeight="1" ht="105" outlineLevel="5">
      <c r="A545" s="1"/>
      <c r="B545" s="1">
        <v>832297</v>
      </c>
      <c r="C545" s="1" t="s">
        <v>2042</v>
      </c>
      <c r="D545" s="1" t="s">
        <v>2043</v>
      </c>
      <c r="E545" s="2" t="s">
        <v>2044</v>
      </c>
      <c r="F545" s="2" t="s">
        <v>2045</v>
      </c>
      <c r="G545" s="2" t="s">
        <v>33</v>
      </c>
      <c r="H545" s="2">
        <v>0</v>
      </c>
      <c r="I545" s="1">
        <v>0</v>
      </c>
      <c r="J545" s="3" t="s">
        <v>207</v>
      </c>
      <c r="K545" s="2" t="str">
        <f>J545*242.55</f>
        <v>0</v>
      </c>
      <c r="L545" s="5"/>
    </row>
    <row r="546" spans="1:12" customHeight="1" ht="105" outlineLevel="5">
      <c r="A546" s="1"/>
      <c r="B546" s="1">
        <v>832299</v>
      </c>
      <c r="C546" s="1" t="s">
        <v>2046</v>
      </c>
      <c r="D546" s="1" t="s">
        <v>2047</v>
      </c>
      <c r="E546" s="2" t="s">
        <v>2048</v>
      </c>
      <c r="F546" s="2" t="s">
        <v>2049</v>
      </c>
      <c r="G546" s="2">
        <v>9</v>
      </c>
      <c r="H546" s="2">
        <v>0</v>
      </c>
      <c r="I546" s="1">
        <v>0</v>
      </c>
      <c r="J546" s="3" t="s">
        <v>207</v>
      </c>
      <c r="K546" s="2" t="str">
        <f>J546*490.98</f>
        <v>0</v>
      </c>
      <c r="L546" s="5"/>
    </row>
    <row r="547" spans="1:12" customHeight="1" ht="105" outlineLevel="5">
      <c r="A547" s="1"/>
      <c r="B547" s="1">
        <v>832300</v>
      </c>
      <c r="C547" s="1" t="s">
        <v>2050</v>
      </c>
      <c r="D547" s="1" t="s">
        <v>2051</v>
      </c>
      <c r="E547" s="2" t="s">
        <v>2052</v>
      </c>
      <c r="F547" s="2" t="s">
        <v>2053</v>
      </c>
      <c r="G547" s="2">
        <v>6</v>
      </c>
      <c r="H547" s="2">
        <v>0</v>
      </c>
      <c r="I547" s="1">
        <v>0</v>
      </c>
      <c r="J547" s="3" t="s">
        <v>207</v>
      </c>
      <c r="K547" s="2" t="str">
        <f>J547*463.05</f>
        <v>0</v>
      </c>
      <c r="L547" s="5"/>
    </row>
    <row r="548" spans="1:12" customHeight="1" ht="105" outlineLevel="5">
      <c r="A548" s="1"/>
      <c r="B548" s="1">
        <v>832301</v>
      </c>
      <c r="C548" s="1" t="s">
        <v>2054</v>
      </c>
      <c r="D548" s="1" t="s">
        <v>2055</v>
      </c>
      <c r="E548" s="2" t="s">
        <v>2056</v>
      </c>
      <c r="F548" s="2" t="s">
        <v>1786</v>
      </c>
      <c r="G548" s="2" t="s">
        <v>23</v>
      </c>
      <c r="H548" s="2">
        <v>0</v>
      </c>
      <c r="I548" s="1">
        <v>0</v>
      </c>
      <c r="J548" s="3" t="s">
        <v>207</v>
      </c>
      <c r="K548" s="2" t="str">
        <f>J548*126.42</f>
        <v>0</v>
      </c>
      <c r="L548" s="5"/>
    </row>
    <row r="549" spans="1:12" customHeight="1" ht="105" outlineLevel="5">
      <c r="A549" s="1"/>
      <c r="B549" s="1">
        <v>832302</v>
      </c>
      <c r="C549" s="1" t="s">
        <v>2057</v>
      </c>
      <c r="D549" s="1" t="s">
        <v>2058</v>
      </c>
      <c r="E549" s="2" t="s">
        <v>2059</v>
      </c>
      <c r="F549" s="2" t="s">
        <v>388</v>
      </c>
      <c r="G549" s="2" t="s">
        <v>90</v>
      </c>
      <c r="H549" s="2">
        <v>0</v>
      </c>
      <c r="I549" s="1">
        <v>0</v>
      </c>
      <c r="J549" s="3" t="s">
        <v>207</v>
      </c>
      <c r="K549" s="2" t="str">
        <f>J549*160.23</f>
        <v>0</v>
      </c>
      <c r="L549" s="5"/>
    </row>
    <row r="550" spans="1:12" customHeight="1" ht="105" outlineLevel="5">
      <c r="A550" s="1"/>
      <c r="B550" s="1">
        <v>832303</v>
      </c>
      <c r="C550" s="1" t="s">
        <v>2060</v>
      </c>
      <c r="D550" s="1" t="s">
        <v>2061</v>
      </c>
      <c r="E550" s="2" t="s">
        <v>2062</v>
      </c>
      <c r="F550" s="2" t="s">
        <v>2063</v>
      </c>
      <c r="G550" s="2" t="s">
        <v>23</v>
      </c>
      <c r="H550" s="2">
        <v>0</v>
      </c>
      <c r="I550" s="1">
        <v>0</v>
      </c>
      <c r="J550" s="3" t="s">
        <v>207</v>
      </c>
      <c r="K550" s="2" t="str">
        <f>J550*127.89</f>
        <v>0</v>
      </c>
      <c r="L550" s="5"/>
    </row>
    <row r="551" spans="1:12" customHeight="1" ht="105" outlineLevel="5">
      <c r="A551" s="1"/>
      <c r="B551" s="1">
        <v>832304</v>
      </c>
      <c r="C551" s="1" t="s">
        <v>2064</v>
      </c>
      <c r="D551" s="1" t="s">
        <v>2065</v>
      </c>
      <c r="E551" s="2" t="s">
        <v>2066</v>
      </c>
      <c r="F551" s="2" t="s">
        <v>388</v>
      </c>
      <c r="G551" s="2" t="s">
        <v>23</v>
      </c>
      <c r="H551" s="2">
        <v>0</v>
      </c>
      <c r="I551" s="1">
        <v>0</v>
      </c>
      <c r="J551" s="3" t="s">
        <v>207</v>
      </c>
      <c r="K551" s="2" t="str">
        <f>J551*160.23</f>
        <v>0</v>
      </c>
      <c r="L551" s="5"/>
    </row>
    <row r="552" spans="1:12" customHeight="1" ht="105" outlineLevel="5">
      <c r="A552" s="1"/>
      <c r="B552" s="1">
        <v>832305</v>
      </c>
      <c r="C552" s="1" t="s">
        <v>2067</v>
      </c>
      <c r="D552" s="1" t="s">
        <v>2068</v>
      </c>
      <c r="E552" s="2" t="s">
        <v>2069</v>
      </c>
      <c r="F552" s="2" t="s">
        <v>2070</v>
      </c>
      <c r="G552" s="2">
        <v>0</v>
      </c>
      <c r="H552" s="2">
        <v>0</v>
      </c>
      <c r="I552" s="1">
        <v>0</v>
      </c>
      <c r="J552" s="3" t="s">
        <v>207</v>
      </c>
      <c r="K552" s="2" t="str">
        <f>J552*343.98</f>
        <v>0</v>
      </c>
      <c r="L552" s="5"/>
    </row>
    <row r="553" spans="1:12" customHeight="1" ht="105" outlineLevel="5">
      <c r="A553" s="1"/>
      <c r="B553" s="1">
        <v>832306</v>
      </c>
      <c r="C553" s="1" t="s">
        <v>2071</v>
      </c>
      <c r="D553" s="1" t="s">
        <v>2072</v>
      </c>
      <c r="E553" s="2" t="s">
        <v>2073</v>
      </c>
      <c r="F553" s="2" t="s">
        <v>2074</v>
      </c>
      <c r="G553" s="2" t="s">
        <v>90</v>
      </c>
      <c r="H553" s="2">
        <v>0</v>
      </c>
      <c r="I553" s="1">
        <v>0</v>
      </c>
      <c r="J553" s="3" t="s">
        <v>207</v>
      </c>
      <c r="K553" s="2" t="str">
        <f>J553*479.22</f>
        <v>0</v>
      </c>
      <c r="L553" s="5"/>
    </row>
    <row r="554" spans="1:12" customHeight="1" ht="105" outlineLevel="5">
      <c r="A554" s="1"/>
      <c r="B554" s="1">
        <v>832282</v>
      </c>
      <c r="C554" s="1" t="s">
        <v>2075</v>
      </c>
      <c r="D554" s="1" t="s">
        <v>2076</v>
      </c>
      <c r="E554" s="2" t="s">
        <v>2077</v>
      </c>
      <c r="F554" s="2" t="s">
        <v>2078</v>
      </c>
      <c r="G554" s="2" t="s">
        <v>23</v>
      </c>
      <c r="H554" s="2">
        <v>0</v>
      </c>
      <c r="I554" s="1">
        <v>0</v>
      </c>
      <c r="J554" s="3" t="s">
        <v>207</v>
      </c>
      <c r="K554" s="2" t="str">
        <f>J554*11.76</f>
        <v>0</v>
      </c>
      <c r="L554" s="5"/>
    </row>
    <row r="555" spans="1:12" customHeight="1" ht="105" outlineLevel="5">
      <c r="A555" s="1"/>
      <c r="B555" s="1">
        <v>832283</v>
      </c>
      <c r="C555" s="1" t="s">
        <v>2079</v>
      </c>
      <c r="D555" s="1" t="s">
        <v>2080</v>
      </c>
      <c r="E555" s="2" t="s">
        <v>2081</v>
      </c>
      <c r="F555" s="2" t="s">
        <v>2082</v>
      </c>
      <c r="G555" s="2" t="s">
        <v>23</v>
      </c>
      <c r="H555" s="2">
        <v>0</v>
      </c>
      <c r="I555" s="1">
        <v>0</v>
      </c>
      <c r="J555" s="3" t="s">
        <v>207</v>
      </c>
      <c r="K555" s="2" t="str">
        <f>J555*20.58</f>
        <v>0</v>
      </c>
      <c r="L555" s="5"/>
    </row>
    <row r="556" spans="1:12" customHeight="1" ht="105" outlineLevel="5">
      <c r="A556" s="1"/>
      <c r="B556" s="1">
        <v>832284</v>
      </c>
      <c r="C556" s="1" t="s">
        <v>2083</v>
      </c>
      <c r="D556" s="1" t="s">
        <v>2084</v>
      </c>
      <c r="E556" s="2" t="s">
        <v>2085</v>
      </c>
      <c r="F556" s="2" t="s">
        <v>2086</v>
      </c>
      <c r="G556" s="2" t="s">
        <v>33</v>
      </c>
      <c r="H556" s="2">
        <v>0</v>
      </c>
      <c r="I556" s="1">
        <v>0</v>
      </c>
      <c r="J556" s="3" t="s">
        <v>207</v>
      </c>
      <c r="K556" s="2" t="str">
        <f>J556*29.40</f>
        <v>0</v>
      </c>
      <c r="L556" s="5"/>
    </row>
    <row r="557" spans="1:12" customHeight="1" ht="105" outlineLevel="5">
      <c r="A557" s="1"/>
      <c r="B557" s="1">
        <v>832285</v>
      </c>
      <c r="C557" s="1" t="s">
        <v>2087</v>
      </c>
      <c r="D557" s="1" t="s">
        <v>2088</v>
      </c>
      <c r="E557" s="2" t="s">
        <v>2089</v>
      </c>
      <c r="F557" s="2" t="s">
        <v>2090</v>
      </c>
      <c r="G557" s="2" t="s">
        <v>33</v>
      </c>
      <c r="H557" s="2">
        <v>0</v>
      </c>
      <c r="I557" s="1">
        <v>0</v>
      </c>
      <c r="J557" s="3" t="s">
        <v>207</v>
      </c>
      <c r="K557" s="2" t="str">
        <f>J557*10.29</f>
        <v>0</v>
      </c>
      <c r="L557" s="5"/>
    </row>
    <row r="558" spans="1:12" customHeight="1" ht="105" outlineLevel="5">
      <c r="A558" s="1"/>
      <c r="B558" s="1">
        <v>832307</v>
      </c>
      <c r="C558" s="1" t="s">
        <v>2091</v>
      </c>
      <c r="D558" s="1" t="s">
        <v>2092</v>
      </c>
      <c r="E558" s="2" t="s">
        <v>2093</v>
      </c>
      <c r="F558" s="2" t="s">
        <v>1891</v>
      </c>
      <c r="G558" s="2">
        <v>0</v>
      </c>
      <c r="H558" s="2">
        <v>0</v>
      </c>
      <c r="I558" s="1">
        <v>0</v>
      </c>
      <c r="J558" s="3" t="s">
        <v>207</v>
      </c>
      <c r="K558" s="2" t="str">
        <f>J558*305.76</f>
        <v>0</v>
      </c>
      <c r="L558" s="5"/>
    </row>
    <row r="559" spans="1:12" customHeight="1" ht="105" outlineLevel="5">
      <c r="A559" s="1"/>
      <c r="B559" s="1">
        <v>832308</v>
      </c>
      <c r="C559" s="1" t="s">
        <v>2094</v>
      </c>
      <c r="D559" s="1" t="s">
        <v>2095</v>
      </c>
      <c r="E559" s="2" t="s">
        <v>2096</v>
      </c>
      <c r="F559" s="2" t="s">
        <v>1746</v>
      </c>
      <c r="G559" s="2" t="s">
        <v>28</v>
      </c>
      <c r="H559" s="2">
        <v>0</v>
      </c>
      <c r="I559" s="1">
        <v>0</v>
      </c>
      <c r="J559" s="3" t="s">
        <v>207</v>
      </c>
      <c r="K559" s="2" t="str">
        <f>J559*357.21</f>
        <v>0</v>
      </c>
      <c r="L559" s="5"/>
    </row>
    <row r="560" spans="1:12" customHeight="1" ht="105" outlineLevel="5">
      <c r="A560" s="1"/>
      <c r="B560" s="1">
        <v>832309</v>
      </c>
      <c r="C560" s="1" t="s">
        <v>2097</v>
      </c>
      <c r="D560" s="1" t="s">
        <v>2098</v>
      </c>
      <c r="E560" s="2" t="s">
        <v>2099</v>
      </c>
      <c r="F560" s="2" t="s">
        <v>2100</v>
      </c>
      <c r="G560" s="2">
        <v>1</v>
      </c>
      <c r="H560" s="2">
        <v>0</v>
      </c>
      <c r="I560" s="1">
        <v>0</v>
      </c>
      <c r="J560" s="3" t="s">
        <v>207</v>
      </c>
      <c r="K560" s="2" t="str">
        <f>J560*507.15</f>
        <v>0</v>
      </c>
      <c r="L560" s="5"/>
    </row>
    <row r="561" spans="1:12" customHeight="1" ht="105" outlineLevel="5">
      <c r="A561" s="1"/>
      <c r="B561" s="1">
        <v>832310</v>
      </c>
      <c r="C561" s="1" t="s">
        <v>2101</v>
      </c>
      <c r="D561" s="1" t="s">
        <v>2102</v>
      </c>
      <c r="E561" s="2" t="s">
        <v>2103</v>
      </c>
      <c r="F561" s="2" t="s">
        <v>1891</v>
      </c>
      <c r="G561" s="2" t="s">
        <v>33</v>
      </c>
      <c r="H561" s="2">
        <v>0</v>
      </c>
      <c r="I561" s="1">
        <v>0</v>
      </c>
      <c r="J561" s="3" t="s">
        <v>207</v>
      </c>
      <c r="K561" s="2" t="str">
        <f>J561*305.76</f>
        <v>0</v>
      </c>
      <c r="L561" s="5"/>
    </row>
    <row r="562" spans="1:12" customHeight="1" ht="105" outlineLevel="5">
      <c r="A562" s="1"/>
      <c r="B562" s="1">
        <v>832311</v>
      </c>
      <c r="C562" s="1" t="s">
        <v>2104</v>
      </c>
      <c r="D562" s="1" t="s">
        <v>2105</v>
      </c>
      <c r="E562" s="2" t="s">
        <v>2106</v>
      </c>
      <c r="F562" s="2" t="s">
        <v>1963</v>
      </c>
      <c r="G562" s="2" t="s">
        <v>28</v>
      </c>
      <c r="H562" s="2">
        <v>0</v>
      </c>
      <c r="I562" s="1">
        <v>0</v>
      </c>
      <c r="J562" s="3" t="s">
        <v>207</v>
      </c>
      <c r="K562" s="2" t="str">
        <f>J562*382.20</f>
        <v>0</v>
      </c>
      <c r="L562" s="5"/>
    </row>
    <row r="563" spans="1:12" customHeight="1" ht="105" outlineLevel="5">
      <c r="A563" s="1"/>
      <c r="B563" s="1">
        <v>832312</v>
      </c>
      <c r="C563" s="1" t="s">
        <v>2107</v>
      </c>
      <c r="D563" s="1" t="s">
        <v>2108</v>
      </c>
      <c r="E563" s="2" t="s">
        <v>2109</v>
      </c>
      <c r="F563" s="2" t="s">
        <v>68</v>
      </c>
      <c r="G563" s="2">
        <v>9</v>
      </c>
      <c r="H563" s="2">
        <v>0</v>
      </c>
      <c r="I563" s="1">
        <v>0</v>
      </c>
      <c r="J563" s="3" t="s">
        <v>207</v>
      </c>
      <c r="K563" s="2" t="str">
        <f>J563*540.96</f>
        <v>0</v>
      </c>
      <c r="L563" s="5"/>
    </row>
    <row r="564" spans="1:12" customHeight="1" ht="105" outlineLevel="5">
      <c r="A564" s="1"/>
      <c r="B564" s="1">
        <v>834523</v>
      </c>
      <c r="C564" s="1" t="s">
        <v>2110</v>
      </c>
      <c r="D564" s="1" t="s">
        <v>2111</v>
      </c>
      <c r="E564" s="2" t="s">
        <v>2112</v>
      </c>
      <c r="F564" s="2" t="s">
        <v>2113</v>
      </c>
      <c r="G564" s="2">
        <v>6</v>
      </c>
      <c r="H564" s="2">
        <v>0</v>
      </c>
      <c r="I564" s="1">
        <v>0</v>
      </c>
      <c r="J564" s="3" t="s">
        <v>207</v>
      </c>
      <c r="K564" s="2" t="str">
        <f>J564*739.41</f>
        <v>0</v>
      </c>
      <c r="L564" s="5"/>
    </row>
    <row r="565" spans="1:12" customHeight="1" ht="105" outlineLevel="5">
      <c r="A565" s="1"/>
      <c r="B565" s="1">
        <v>834524</v>
      </c>
      <c r="C565" s="1" t="s">
        <v>2114</v>
      </c>
      <c r="D565" s="1" t="s">
        <v>2115</v>
      </c>
      <c r="E565" s="2" t="s">
        <v>2116</v>
      </c>
      <c r="F565" s="2" t="s">
        <v>2117</v>
      </c>
      <c r="G565" s="2">
        <v>4</v>
      </c>
      <c r="H565" s="2">
        <v>0</v>
      </c>
      <c r="I565" s="1">
        <v>0</v>
      </c>
      <c r="J565" s="3" t="s">
        <v>207</v>
      </c>
      <c r="K565" s="2" t="str">
        <f>J565*1093.68</f>
        <v>0</v>
      </c>
      <c r="L565" s="5"/>
    </row>
    <row r="566" spans="1:12" customHeight="1" ht="105" outlineLevel="5">
      <c r="A566" s="1"/>
      <c r="B566" s="1">
        <v>834525</v>
      </c>
      <c r="C566" s="1" t="s">
        <v>2118</v>
      </c>
      <c r="D566" s="1" t="s">
        <v>2119</v>
      </c>
      <c r="E566" s="2" t="s">
        <v>2120</v>
      </c>
      <c r="F566" s="2" t="s">
        <v>2121</v>
      </c>
      <c r="G566" s="2">
        <v>6</v>
      </c>
      <c r="H566" s="2">
        <v>0</v>
      </c>
      <c r="I566" s="1">
        <v>0</v>
      </c>
      <c r="J566" s="3" t="s">
        <v>207</v>
      </c>
      <c r="K566" s="2" t="str">
        <f>J566*704.13</f>
        <v>0</v>
      </c>
      <c r="L566" s="5"/>
    </row>
    <row r="567" spans="1:12" customHeight="1" ht="105" outlineLevel="5">
      <c r="A567" s="1"/>
      <c r="B567" s="1">
        <v>834526</v>
      </c>
      <c r="C567" s="1" t="s">
        <v>2122</v>
      </c>
      <c r="D567" s="1" t="s">
        <v>2123</v>
      </c>
      <c r="E567" s="2" t="s">
        <v>2124</v>
      </c>
      <c r="F567" s="2" t="s">
        <v>2125</v>
      </c>
      <c r="G567" s="2">
        <v>8</v>
      </c>
      <c r="H567" s="2">
        <v>0</v>
      </c>
      <c r="I567" s="1">
        <v>0</v>
      </c>
      <c r="J567" s="3" t="s">
        <v>207</v>
      </c>
      <c r="K567" s="2" t="str">
        <f>J567*1056.93</f>
        <v>0</v>
      </c>
      <c r="L567" s="5"/>
    </row>
    <row r="568" spans="1:12" customHeight="1" ht="105" outlineLevel="5">
      <c r="A568" s="1"/>
      <c r="B568" s="1">
        <v>834527</v>
      </c>
      <c r="C568" s="1" t="s">
        <v>2126</v>
      </c>
      <c r="D568" s="1" t="s">
        <v>2127</v>
      </c>
      <c r="E568" s="2" t="s">
        <v>2128</v>
      </c>
      <c r="F568" s="2" t="s">
        <v>2129</v>
      </c>
      <c r="G568" s="2">
        <v>4</v>
      </c>
      <c r="H568" s="2">
        <v>0</v>
      </c>
      <c r="I568" s="1">
        <v>0</v>
      </c>
      <c r="J568" s="3" t="s">
        <v>207</v>
      </c>
      <c r="K568" s="2" t="str">
        <f>J568*332.22</f>
        <v>0</v>
      </c>
      <c r="L568" s="5"/>
    </row>
    <row r="569" spans="1:12" customHeight="1" ht="105" outlineLevel="5">
      <c r="A569" s="1"/>
      <c r="B569" s="1">
        <v>834528</v>
      </c>
      <c r="C569" s="1" t="s">
        <v>2130</v>
      </c>
      <c r="D569" s="1" t="s">
        <v>2131</v>
      </c>
      <c r="E569" s="2" t="s">
        <v>2132</v>
      </c>
      <c r="F569" s="2" t="s">
        <v>384</v>
      </c>
      <c r="G569" s="2">
        <v>4</v>
      </c>
      <c r="H569" s="2">
        <v>0</v>
      </c>
      <c r="I569" s="1">
        <v>0</v>
      </c>
      <c r="J569" s="3" t="s">
        <v>207</v>
      </c>
      <c r="K569" s="2" t="str">
        <f>J569*417.48</f>
        <v>0</v>
      </c>
      <c r="L569" s="5"/>
    </row>
    <row r="570" spans="1:12" customHeight="1" ht="105" outlineLevel="5">
      <c r="A570" s="1"/>
      <c r="B570" s="1">
        <v>834529</v>
      </c>
      <c r="C570" s="1" t="s">
        <v>2133</v>
      </c>
      <c r="D570" s="1" t="s">
        <v>2134</v>
      </c>
      <c r="E570" s="2" t="s">
        <v>2135</v>
      </c>
      <c r="F570" s="2" t="s">
        <v>2136</v>
      </c>
      <c r="G570" s="2" t="s">
        <v>28</v>
      </c>
      <c r="H570" s="2">
        <v>0</v>
      </c>
      <c r="I570" s="1">
        <v>0</v>
      </c>
      <c r="J570" s="3" t="s">
        <v>207</v>
      </c>
      <c r="K570" s="2" t="str">
        <f>J570*158.76</f>
        <v>0</v>
      </c>
      <c r="L570" s="5"/>
    </row>
    <row r="571" spans="1:12" customHeight="1" ht="105" outlineLevel="5">
      <c r="A571" s="1"/>
      <c r="B571" s="1">
        <v>834530</v>
      </c>
      <c r="C571" s="1" t="s">
        <v>2137</v>
      </c>
      <c r="D571" s="1" t="s">
        <v>2138</v>
      </c>
      <c r="E571" s="2" t="s">
        <v>2139</v>
      </c>
      <c r="F571" s="2" t="s">
        <v>1798</v>
      </c>
      <c r="G571" s="2" t="s">
        <v>28</v>
      </c>
      <c r="H571" s="2">
        <v>0</v>
      </c>
      <c r="I571" s="1">
        <v>0</v>
      </c>
      <c r="J571" s="3" t="s">
        <v>207</v>
      </c>
      <c r="K571" s="2" t="str">
        <f>J571*174.93</f>
        <v>0</v>
      </c>
      <c r="L571" s="5"/>
    </row>
    <row r="572" spans="1:12" customHeight="1" ht="105" outlineLevel="5">
      <c r="A572" s="1"/>
      <c r="B572" s="1">
        <v>834531</v>
      </c>
      <c r="C572" s="1" t="s">
        <v>2140</v>
      </c>
      <c r="D572" s="1" t="s">
        <v>2141</v>
      </c>
      <c r="E572" s="2" t="s">
        <v>2142</v>
      </c>
      <c r="F572" s="2" t="s">
        <v>1798</v>
      </c>
      <c r="G572" s="2">
        <v>10</v>
      </c>
      <c r="H572" s="2">
        <v>0</v>
      </c>
      <c r="I572" s="1">
        <v>0</v>
      </c>
      <c r="J572" s="3" t="s">
        <v>207</v>
      </c>
      <c r="K572" s="2" t="str">
        <f>J572*174.93</f>
        <v>0</v>
      </c>
      <c r="L572" s="5"/>
    </row>
    <row r="573" spans="1:12" customHeight="1" ht="105" outlineLevel="5">
      <c r="A573" s="1"/>
      <c r="B573" s="1">
        <v>834532</v>
      </c>
      <c r="C573" s="1" t="s">
        <v>2143</v>
      </c>
      <c r="D573" s="1" t="s">
        <v>2144</v>
      </c>
      <c r="E573" s="2" t="s">
        <v>2145</v>
      </c>
      <c r="F573" s="2" t="s">
        <v>2146</v>
      </c>
      <c r="G573" s="2">
        <v>0</v>
      </c>
      <c r="H573" s="2">
        <v>0</v>
      </c>
      <c r="I573" s="1">
        <v>0</v>
      </c>
      <c r="J573" s="3" t="s">
        <v>207</v>
      </c>
      <c r="K573" s="2" t="str">
        <f>J573*249.90</f>
        <v>0</v>
      </c>
      <c r="L573" s="5"/>
    </row>
    <row r="574" spans="1:12" customHeight="1" ht="105" outlineLevel="5">
      <c r="A574" s="1"/>
      <c r="B574" s="1">
        <v>834533</v>
      </c>
      <c r="C574" s="1" t="s">
        <v>2147</v>
      </c>
      <c r="D574" s="1" t="s">
        <v>2148</v>
      </c>
      <c r="E574" s="2" t="s">
        <v>2149</v>
      </c>
      <c r="F574" s="2" t="s">
        <v>2037</v>
      </c>
      <c r="G574" s="2">
        <v>1</v>
      </c>
      <c r="H574" s="2">
        <v>0</v>
      </c>
      <c r="I574" s="1">
        <v>0</v>
      </c>
      <c r="J574" s="3" t="s">
        <v>207</v>
      </c>
      <c r="K574" s="2" t="str">
        <f>J574*210.21</f>
        <v>0</v>
      </c>
      <c r="L574" s="5"/>
    </row>
    <row r="575" spans="1:12" customHeight="1" ht="105" outlineLevel="5">
      <c r="A575" s="1"/>
      <c r="B575" s="1">
        <v>834534</v>
      </c>
      <c r="C575" s="1" t="s">
        <v>2150</v>
      </c>
      <c r="D575" s="1" t="s">
        <v>2151</v>
      </c>
      <c r="E575" s="2" t="s">
        <v>2152</v>
      </c>
      <c r="F575" s="2" t="s">
        <v>2153</v>
      </c>
      <c r="G575" s="2">
        <v>10</v>
      </c>
      <c r="H575" s="2">
        <v>0</v>
      </c>
      <c r="I575" s="1">
        <v>0</v>
      </c>
      <c r="J575" s="3" t="s">
        <v>207</v>
      </c>
      <c r="K575" s="2" t="str">
        <f>J575*227.85</f>
        <v>0</v>
      </c>
      <c r="L575" s="5"/>
    </row>
    <row r="576" spans="1:12" customHeight="1" ht="105" outlineLevel="5">
      <c r="A576" s="1"/>
      <c r="B576" s="1">
        <v>834535</v>
      </c>
      <c r="C576" s="1" t="s">
        <v>2154</v>
      </c>
      <c r="D576" s="1" t="s">
        <v>2155</v>
      </c>
      <c r="E576" s="2" t="s">
        <v>2156</v>
      </c>
      <c r="F576" s="2" t="s">
        <v>2157</v>
      </c>
      <c r="G576" s="2">
        <v>9</v>
      </c>
      <c r="H576" s="2">
        <v>0</v>
      </c>
      <c r="I576" s="1">
        <v>0</v>
      </c>
      <c r="J576" s="3" t="s">
        <v>207</v>
      </c>
      <c r="K576" s="2" t="str">
        <f>J576*413.07</f>
        <v>0</v>
      </c>
      <c r="L576" s="5"/>
    </row>
    <row r="577" spans="1:12" customHeight="1" ht="105" outlineLevel="5">
      <c r="A577" s="1"/>
      <c r="B577" s="1">
        <v>834536</v>
      </c>
      <c r="C577" s="1" t="s">
        <v>2158</v>
      </c>
      <c r="D577" s="1" t="s">
        <v>2159</v>
      </c>
      <c r="E577" s="2" t="s">
        <v>2160</v>
      </c>
      <c r="F577" s="2" t="s">
        <v>1778</v>
      </c>
      <c r="G577" s="2">
        <v>4</v>
      </c>
      <c r="H577" s="2">
        <v>0</v>
      </c>
      <c r="I577" s="1">
        <v>0</v>
      </c>
      <c r="J577" s="3" t="s">
        <v>207</v>
      </c>
      <c r="K577" s="2" t="str">
        <f>J577*539.49</f>
        <v>0</v>
      </c>
      <c r="L577" s="5"/>
    </row>
    <row r="578" spans="1:12" customHeight="1" ht="105" outlineLevel="5">
      <c r="A578" s="1"/>
      <c r="B578" s="1">
        <v>834537</v>
      </c>
      <c r="C578" s="1" t="s">
        <v>2161</v>
      </c>
      <c r="D578" s="1" t="s">
        <v>2162</v>
      </c>
      <c r="E578" s="2" t="s">
        <v>2163</v>
      </c>
      <c r="F578" s="2" t="s">
        <v>140</v>
      </c>
      <c r="G578" s="2" t="s">
        <v>28</v>
      </c>
      <c r="H578" s="2">
        <v>0</v>
      </c>
      <c r="I578" s="1">
        <v>0</v>
      </c>
      <c r="J578" s="3" t="s">
        <v>207</v>
      </c>
      <c r="K578" s="2" t="str">
        <f>J578*152.88</f>
        <v>0</v>
      </c>
      <c r="L578" s="5"/>
    </row>
    <row r="579" spans="1:12" customHeight="1" ht="105" outlineLevel="5">
      <c r="A579" s="1"/>
      <c r="B579" s="1">
        <v>834538</v>
      </c>
      <c r="C579" s="1" t="s">
        <v>2164</v>
      </c>
      <c r="D579" s="1" t="s">
        <v>2165</v>
      </c>
      <c r="E579" s="2" t="s">
        <v>2166</v>
      </c>
      <c r="F579" s="2" t="s">
        <v>2037</v>
      </c>
      <c r="G579" s="2" t="s">
        <v>33</v>
      </c>
      <c r="H579" s="2">
        <v>0</v>
      </c>
      <c r="I579" s="1">
        <v>0</v>
      </c>
      <c r="J579" s="3" t="s">
        <v>207</v>
      </c>
      <c r="K579" s="2" t="str">
        <f>J579*210.21</f>
        <v>0</v>
      </c>
      <c r="L579" s="5"/>
    </row>
    <row r="580" spans="1:12" customHeight="1" ht="105" outlineLevel="5">
      <c r="A580" s="1"/>
      <c r="B580" s="1">
        <v>834539</v>
      </c>
      <c r="C580" s="1" t="s">
        <v>2167</v>
      </c>
      <c r="D580" s="1" t="s">
        <v>2168</v>
      </c>
      <c r="E580" s="2" t="s">
        <v>2169</v>
      </c>
      <c r="F580" s="2" t="s">
        <v>1948</v>
      </c>
      <c r="G580" s="2" t="s">
        <v>28</v>
      </c>
      <c r="H580" s="2">
        <v>0</v>
      </c>
      <c r="I580" s="1">
        <v>0</v>
      </c>
      <c r="J580" s="3" t="s">
        <v>207</v>
      </c>
      <c r="K580" s="2" t="str">
        <f>J580*205.80</f>
        <v>0</v>
      </c>
      <c r="L580" s="5"/>
    </row>
    <row r="581" spans="1:12" customHeight="1" ht="105" outlineLevel="5">
      <c r="A581" s="1"/>
      <c r="B581" s="1">
        <v>834540</v>
      </c>
      <c r="C581" s="1" t="s">
        <v>2170</v>
      </c>
      <c r="D581" s="1" t="s">
        <v>2171</v>
      </c>
      <c r="E581" s="2" t="s">
        <v>2172</v>
      </c>
      <c r="F581" s="2" t="s">
        <v>2015</v>
      </c>
      <c r="G581" s="2">
        <v>8</v>
      </c>
      <c r="H581" s="2">
        <v>0</v>
      </c>
      <c r="I581" s="1">
        <v>0</v>
      </c>
      <c r="J581" s="3" t="s">
        <v>207</v>
      </c>
      <c r="K581" s="2" t="str">
        <f>J581*232.26</f>
        <v>0</v>
      </c>
      <c r="L581" s="5"/>
    </row>
    <row r="582" spans="1:12" customHeight="1" ht="105" outlineLevel="5">
      <c r="A582" s="1"/>
      <c r="B582" s="1">
        <v>834541</v>
      </c>
      <c r="C582" s="1" t="s">
        <v>2173</v>
      </c>
      <c r="D582" s="1" t="s">
        <v>2174</v>
      </c>
      <c r="E582" s="2" t="s">
        <v>2175</v>
      </c>
      <c r="F582" s="2" t="s">
        <v>2176</v>
      </c>
      <c r="G582" s="2">
        <v>5</v>
      </c>
      <c r="H582" s="2">
        <v>0</v>
      </c>
      <c r="I582" s="1">
        <v>0</v>
      </c>
      <c r="J582" s="3" t="s">
        <v>207</v>
      </c>
      <c r="K582" s="2" t="str">
        <f>J582*230.79</f>
        <v>0</v>
      </c>
      <c r="L582" s="5"/>
    </row>
    <row r="583" spans="1:12" customHeight="1" ht="105" outlineLevel="5">
      <c r="A583" s="1"/>
      <c r="B583" s="1">
        <v>834542</v>
      </c>
      <c r="C583" s="1" t="s">
        <v>2177</v>
      </c>
      <c r="D583" s="1" t="s">
        <v>2178</v>
      </c>
      <c r="E583" s="2" t="s">
        <v>2179</v>
      </c>
      <c r="F583" s="2" t="s">
        <v>2129</v>
      </c>
      <c r="G583" s="2">
        <v>7</v>
      </c>
      <c r="H583" s="2">
        <v>0</v>
      </c>
      <c r="I583" s="1">
        <v>0</v>
      </c>
      <c r="J583" s="3" t="s">
        <v>207</v>
      </c>
      <c r="K583" s="2" t="str">
        <f>J583*332.22</f>
        <v>0</v>
      </c>
      <c r="L583" s="5"/>
    </row>
    <row r="584" spans="1:12" customHeight="1" ht="105" outlineLevel="5">
      <c r="A584" s="1"/>
      <c r="B584" s="1">
        <v>834543</v>
      </c>
      <c r="C584" s="1" t="s">
        <v>2180</v>
      </c>
      <c r="D584" s="1" t="s">
        <v>2181</v>
      </c>
      <c r="E584" s="2" t="s">
        <v>2182</v>
      </c>
      <c r="F584" s="2" t="s">
        <v>64</v>
      </c>
      <c r="G584" s="2">
        <v>6</v>
      </c>
      <c r="H584" s="2">
        <v>0</v>
      </c>
      <c r="I584" s="1">
        <v>0</v>
      </c>
      <c r="J584" s="3" t="s">
        <v>207</v>
      </c>
      <c r="K584" s="2" t="str">
        <f>J584*346.92</f>
        <v>0</v>
      </c>
      <c r="L584" s="5"/>
    </row>
    <row r="585" spans="1:12" customHeight="1" ht="105" outlineLevel="5">
      <c r="A585" s="1"/>
      <c r="B585" s="1">
        <v>834544</v>
      </c>
      <c r="C585" s="1" t="s">
        <v>2183</v>
      </c>
      <c r="D585" s="1" t="s">
        <v>2184</v>
      </c>
      <c r="E585" s="2" t="s">
        <v>2185</v>
      </c>
      <c r="F585" s="2" t="s">
        <v>2186</v>
      </c>
      <c r="G585" s="2">
        <v>4</v>
      </c>
      <c r="H585" s="2">
        <v>0</v>
      </c>
      <c r="I585" s="1">
        <v>0</v>
      </c>
      <c r="J585" s="3" t="s">
        <v>207</v>
      </c>
      <c r="K585" s="2" t="str">
        <f>J585*457.17</f>
        <v>0</v>
      </c>
      <c r="L585" s="5"/>
    </row>
    <row r="586" spans="1:12" customHeight="1" ht="105" outlineLevel="5">
      <c r="A586" s="1"/>
      <c r="B586" s="1">
        <v>834545</v>
      </c>
      <c r="C586" s="1" t="s">
        <v>2187</v>
      </c>
      <c r="D586" s="1" t="s">
        <v>2188</v>
      </c>
      <c r="E586" s="2" t="s">
        <v>2189</v>
      </c>
      <c r="F586" s="2" t="s">
        <v>211</v>
      </c>
      <c r="G586" s="2">
        <v>3</v>
      </c>
      <c r="H586" s="2">
        <v>0</v>
      </c>
      <c r="I586" s="1">
        <v>0</v>
      </c>
      <c r="J586" s="3" t="s">
        <v>207</v>
      </c>
      <c r="K586" s="2" t="str">
        <f>J586*298.41</f>
        <v>0</v>
      </c>
      <c r="L586" s="5"/>
    </row>
    <row r="587" spans="1:12" customHeight="1" ht="105" outlineLevel="5">
      <c r="A587" s="1"/>
      <c r="B587" s="1">
        <v>834546</v>
      </c>
      <c r="C587" s="1" t="s">
        <v>2190</v>
      </c>
      <c r="D587" s="1" t="s">
        <v>2191</v>
      </c>
      <c r="E587" s="2" t="s">
        <v>2192</v>
      </c>
      <c r="F587" s="2" t="s">
        <v>2193</v>
      </c>
      <c r="G587" s="2" t="s">
        <v>28</v>
      </c>
      <c r="H587" s="2">
        <v>0</v>
      </c>
      <c r="I587" s="1">
        <v>0</v>
      </c>
      <c r="J587" s="3" t="s">
        <v>207</v>
      </c>
      <c r="K587" s="2" t="str">
        <f>J587*333.69</f>
        <v>0</v>
      </c>
      <c r="L587" s="5"/>
    </row>
    <row r="588" spans="1:12" customHeight="1" ht="105" outlineLevel="5">
      <c r="A588" s="1"/>
      <c r="B588" s="1">
        <v>834547</v>
      </c>
      <c r="C588" s="1" t="s">
        <v>2194</v>
      </c>
      <c r="D588" s="1" t="s">
        <v>2195</v>
      </c>
      <c r="E588" s="2" t="s">
        <v>2196</v>
      </c>
      <c r="F588" s="2" t="s">
        <v>2197</v>
      </c>
      <c r="G588" s="2">
        <v>8</v>
      </c>
      <c r="H588" s="2">
        <v>0</v>
      </c>
      <c r="I588" s="1">
        <v>0</v>
      </c>
      <c r="J588" s="3" t="s">
        <v>207</v>
      </c>
      <c r="K588" s="2" t="str">
        <f>J588*367.50</f>
        <v>0</v>
      </c>
      <c r="L588" s="5"/>
    </row>
    <row r="589" spans="1:12" customHeight="1" ht="105" outlineLevel="5">
      <c r="A589" s="1"/>
      <c r="B589" s="1">
        <v>834548</v>
      </c>
      <c r="C589" s="1" t="s">
        <v>2198</v>
      </c>
      <c r="D589" s="1" t="s">
        <v>2199</v>
      </c>
      <c r="E589" s="2" t="s">
        <v>2200</v>
      </c>
      <c r="F589" s="2" t="s">
        <v>1895</v>
      </c>
      <c r="G589" s="2">
        <v>1</v>
      </c>
      <c r="H589" s="2">
        <v>0</v>
      </c>
      <c r="I589" s="1">
        <v>0</v>
      </c>
      <c r="J589" s="3" t="s">
        <v>207</v>
      </c>
      <c r="K589" s="2" t="str">
        <f>J589*465.99</f>
        <v>0</v>
      </c>
      <c r="L589" s="5"/>
    </row>
    <row r="590" spans="1:12" customHeight="1" ht="105" outlineLevel="5">
      <c r="A590" s="1"/>
      <c r="B590" s="1">
        <v>834549</v>
      </c>
      <c r="C590" s="1" t="s">
        <v>2201</v>
      </c>
      <c r="D590" s="1" t="s">
        <v>2202</v>
      </c>
      <c r="E590" s="2" t="s">
        <v>2203</v>
      </c>
      <c r="F590" s="2" t="s">
        <v>1825</v>
      </c>
      <c r="G590" s="2">
        <v>9</v>
      </c>
      <c r="H590" s="2">
        <v>0</v>
      </c>
      <c r="I590" s="1">
        <v>0</v>
      </c>
      <c r="J590" s="3" t="s">
        <v>207</v>
      </c>
      <c r="K590" s="2" t="str">
        <f>J590*580.65</f>
        <v>0</v>
      </c>
      <c r="L590" s="5"/>
    </row>
    <row r="591" spans="1:12" customHeight="1" ht="105" outlineLevel="5">
      <c r="A591" s="1"/>
      <c r="B591" s="1">
        <v>834550</v>
      </c>
      <c r="C591" s="1" t="s">
        <v>2204</v>
      </c>
      <c r="D591" s="1" t="s">
        <v>2205</v>
      </c>
      <c r="E591" s="2" t="s">
        <v>2206</v>
      </c>
      <c r="F591" s="2" t="s">
        <v>2207</v>
      </c>
      <c r="G591" s="2">
        <v>6</v>
      </c>
      <c r="H591" s="2">
        <v>0</v>
      </c>
      <c r="I591" s="1">
        <v>0</v>
      </c>
      <c r="J591" s="3" t="s">
        <v>207</v>
      </c>
      <c r="K591" s="2" t="str">
        <f>J591*780.57</f>
        <v>0</v>
      </c>
      <c r="L591" s="5"/>
    </row>
    <row r="592" spans="1:12" customHeight="1" ht="105" outlineLevel="5">
      <c r="A592" s="1"/>
      <c r="B592" s="1">
        <v>834551</v>
      </c>
      <c r="C592" s="1" t="s">
        <v>2208</v>
      </c>
      <c r="D592" s="1" t="s">
        <v>2209</v>
      </c>
      <c r="E592" s="2" t="s">
        <v>2210</v>
      </c>
      <c r="F592" s="2" t="s">
        <v>2211</v>
      </c>
      <c r="G592" s="2">
        <v>4</v>
      </c>
      <c r="H592" s="2">
        <v>0</v>
      </c>
      <c r="I592" s="1">
        <v>0</v>
      </c>
      <c r="J592" s="3" t="s">
        <v>207</v>
      </c>
      <c r="K592" s="2" t="str">
        <f>J592*1123.08</f>
        <v>0</v>
      </c>
      <c r="L592" s="5"/>
    </row>
    <row r="593" spans="1:12" customHeight="1" ht="105" outlineLevel="5">
      <c r="A593" s="1"/>
      <c r="B593" s="1">
        <v>834552</v>
      </c>
      <c r="C593" s="1" t="s">
        <v>2212</v>
      </c>
      <c r="D593" s="1" t="s">
        <v>2213</v>
      </c>
      <c r="E593" s="2" t="s">
        <v>2214</v>
      </c>
      <c r="F593" s="2" t="s">
        <v>211</v>
      </c>
      <c r="G593" s="2">
        <v>8</v>
      </c>
      <c r="H593" s="2">
        <v>0</v>
      </c>
      <c r="I593" s="1">
        <v>0</v>
      </c>
      <c r="J593" s="3" t="s">
        <v>207</v>
      </c>
      <c r="K593" s="2" t="str">
        <f>J593*298.41</f>
        <v>0</v>
      </c>
      <c r="L593" s="5"/>
    </row>
    <row r="594" spans="1:12" customHeight="1" ht="105" outlineLevel="5">
      <c r="A594" s="1"/>
      <c r="B594" s="1">
        <v>834553</v>
      </c>
      <c r="C594" s="1" t="s">
        <v>2215</v>
      </c>
      <c r="D594" s="1" t="s">
        <v>2216</v>
      </c>
      <c r="E594" s="2" t="s">
        <v>2217</v>
      </c>
      <c r="F594" s="2" t="s">
        <v>227</v>
      </c>
      <c r="G594" s="2" t="s">
        <v>28</v>
      </c>
      <c r="H594" s="2">
        <v>0</v>
      </c>
      <c r="I594" s="1">
        <v>0</v>
      </c>
      <c r="J594" s="3" t="s">
        <v>207</v>
      </c>
      <c r="K594" s="2" t="str">
        <f>J594*351.33</f>
        <v>0</v>
      </c>
      <c r="L594" s="5"/>
    </row>
    <row r="595" spans="1:12" customHeight="1" ht="105" outlineLevel="5">
      <c r="A595" s="1"/>
      <c r="B595" s="1">
        <v>834554</v>
      </c>
      <c r="C595" s="1" t="s">
        <v>2218</v>
      </c>
      <c r="D595" s="1" t="s">
        <v>2219</v>
      </c>
      <c r="E595" s="2" t="s">
        <v>2220</v>
      </c>
      <c r="F595" s="2" t="s">
        <v>2221</v>
      </c>
      <c r="G595" s="2">
        <v>8</v>
      </c>
      <c r="H595" s="2">
        <v>0</v>
      </c>
      <c r="I595" s="1">
        <v>0</v>
      </c>
      <c r="J595" s="3" t="s">
        <v>207</v>
      </c>
      <c r="K595" s="2" t="str">
        <f>J595*732.06</f>
        <v>0</v>
      </c>
      <c r="L595" s="5"/>
    </row>
    <row r="596" spans="1:12" customHeight="1" ht="105" outlineLevel="5">
      <c r="A596" s="1"/>
      <c r="B596" s="1">
        <v>834555</v>
      </c>
      <c r="C596" s="1" t="s">
        <v>2222</v>
      </c>
      <c r="D596" s="1" t="s">
        <v>2223</v>
      </c>
      <c r="E596" s="2" t="s">
        <v>2224</v>
      </c>
      <c r="F596" s="2" t="s">
        <v>2225</v>
      </c>
      <c r="G596" s="2">
        <v>5</v>
      </c>
      <c r="H596" s="2">
        <v>0</v>
      </c>
      <c r="I596" s="1">
        <v>0</v>
      </c>
      <c r="J596" s="3" t="s">
        <v>207</v>
      </c>
      <c r="K596" s="2" t="str">
        <f>J596*787.92</f>
        <v>0</v>
      </c>
      <c r="L596" s="5"/>
    </row>
    <row r="597" spans="1:12" customHeight="1" ht="105" outlineLevel="5">
      <c r="A597" s="1"/>
      <c r="B597" s="1">
        <v>834556</v>
      </c>
      <c r="C597" s="1" t="s">
        <v>2226</v>
      </c>
      <c r="D597" s="1" t="s">
        <v>2227</v>
      </c>
      <c r="E597" s="2" t="s">
        <v>2228</v>
      </c>
      <c r="F597" s="2" t="s">
        <v>2229</v>
      </c>
      <c r="G597" s="2">
        <v>8</v>
      </c>
      <c r="H597" s="2">
        <v>0</v>
      </c>
      <c r="I597" s="1">
        <v>0</v>
      </c>
      <c r="J597" s="3" t="s">
        <v>207</v>
      </c>
      <c r="K597" s="2" t="str">
        <f>J597*321.93</f>
        <v>0</v>
      </c>
      <c r="L597" s="5"/>
    </row>
    <row r="598" spans="1:12" customHeight="1" ht="105" outlineLevel="5">
      <c r="A598" s="1"/>
      <c r="B598" s="1">
        <v>834557</v>
      </c>
      <c r="C598" s="1" t="s">
        <v>2230</v>
      </c>
      <c r="D598" s="1" t="s">
        <v>2231</v>
      </c>
      <c r="E598" s="2" t="s">
        <v>2232</v>
      </c>
      <c r="F598" s="2" t="s">
        <v>2233</v>
      </c>
      <c r="G598" s="2">
        <v>10</v>
      </c>
      <c r="H598" s="2">
        <v>0</v>
      </c>
      <c r="I598" s="1">
        <v>0</v>
      </c>
      <c r="J598" s="3" t="s">
        <v>207</v>
      </c>
      <c r="K598" s="2" t="str">
        <f>J598*377.79</f>
        <v>0</v>
      </c>
      <c r="L598" s="5"/>
    </row>
    <row r="599" spans="1:12" customHeight="1" ht="105" outlineLevel="5">
      <c r="A599" s="1"/>
      <c r="B599" s="1">
        <v>834558</v>
      </c>
      <c r="C599" s="1" t="s">
        <v>2234</v>
      </c>
      <c r="D599" s="1" t="s">
        <v>2235</v>
      </c>
      <c r="E599" s="2" t="s">
        <v>2236</v>
      </c>
      <c r="F599" s="2" t="s">
        <v>2237</v>
      </c>
      <c r="G599" s="2">
        <v>6</v>
      </c>
      <c r="H599" s="2">
        <v>0</v>
      </c>
      <c r="I599" s="1">
        <v>0</v>
      </c>
      <c r="J599" s="3" t="s">
        <v>207</v>
      </c>
      <c r="K599" s="2" t="str">
        <f>J599*808.50</f>
        <v>0</v>
      </c>
      <c r="L599" s="5"/>
    </row>
    <row r="600" spans="1:12" customHeight="1" ht="105" outlineLevel="5">
      <c r="A600" s="1"/>
      <c r="B600" s="1">
        <v>834559</v>
      </c>
      <c r="C600" s="1" t="s">
        <v>2238</v>
      </c>
      <c r="D600" s="1" t="s">
        <v>2239</v>
      </c>
      <c r="E600" s="2" t="s">
        <v>2240</v>
      </c>
      <c r="F600" s="2" t="s">
        <v>2241</v>
      </c>
      <c r="G600" s="2">
        <v>6</v>
      </c>
      <c r="H600" s="2">
        <v>0</v>
      </c>
      <c r="I600" s="1">
        <v>0</v>
      </c>
      <c r="J600" s="3" t="s">
        <v>207</v>
      </c>
      <c r="K600" s="2" t="str">
        <f>J600*812.91</f>
        <v>0</v>
      </c>
      <c r="L600" s="5"/>
    </row>
    <row r="601" spans="1:12" customHeight="1" ht="105" outlineLevel="5">
      <c r="A601" s="1"/>
      <c r="B601" s="1">
        <v>834560</v>
      </c>
      <c r="C601" s="1" t="s">
        <v>2242</v>
      </c>
      <c r="D601" s="1" t="s">
        <v>2243</v>
      </c>
      <c r="E601" s="2" t="s">
        <v>2244</v>
      </c>
      <c r="F601" s="2" t="s">
        <v>2121</v>
      </c>
      <c r="G601" s="2">
        <v>2</v>
      </c>
      <c r="H601" s="2">
        <v>0</v>
      </c>
      <c r="I601" s="1">
        <v>0</v>
      </c>
      <c r="J601" s="3" t="s">
        <v>207</v>
      </c>
      <c r="K601" s="2" t="str">
        <f>J601*704.13</f>
        <v>0</v>
      </c>
      <c r="L601" s="5"/>
    </row>
    <row r="602" spans="1:12" customHeight="1" ht="105" outlineLevel="5">
      <c r="A602" s="1"/>
      <c r="B602" s="1">
        <v>834561</v>
      </c>
      <c r="C602" s="1" t="s">
        <v>2245</v>
      </c>
      <c r="D602" s="1" t="s">
        <v>2246</v>
      </c>
      <c r="E602" s="2" t="s">
        <v>2247</v>
      </c>
      <c r="F602" s="2" t="s">
        <v>2248</v>
      </c>
      <c r="G602" s="2">
        <v>5</v>
      </c>
      <c r="H602" s="2">
        <v>0</v>
      </c>
      <c r="I602" s="1">
        <v>0</v>
      </c>
      <c r="J602" s="3" t="s">
        <v>207</v>
      </c>
      <c r="K602" s="2" t="str">
        <f>J602*720.30</f>
        <v>0</v>
      </c>
      <c r="L602" s="5"/>
    </row>
    <row r="603" spans="1:12" customHeight="1" ht="105" outlineLevel="5">
      <c r="A603" s="1"/>
      <c r="B603" s="1">
        <v>834562</v>
      </c>
      <c r="C603" s="1" t="s">
        <v>2249</v>
      </c>
      <c r="D603" s="1" t="s">
        <v>2250</v>
      </c>
      <c r="E603" s="2" t="s">
        <v>2251</v>
      </c>
      <c r="F603" s="2" t="s">
        <v>2252</v>
      </c>
      <c r="G603" s="2">
        <v>3</v>
      </c>
      <c r="H603" s="2">
        <v>0</v>
      </c>
      <c r="I603" s="1">
        <v>0</v>
      </c>
      <c r="J603" s="3" t="s">
        <v>207</v>
      </c>
      <c r="K603" s="2" t="str">
        <f>J603*965.79</f>
        <v>0</v>
      </c>
      <c r="L603" s="5"/>
    </row>
    <row r="604" spans="1:12" customHeight="1" ht="105" outlineLevel="5">
      <c r="A604" s="1"/>
      <c r="B604" s="1">
        <v>834563</v>
      </c>
      <c r="C604" s="1" t="s">
        <v>2253</v>
      </c>
      <c r="D604" s="1" t="s">
        <v>2254</v>
      </c>
      <c r="E604" s="2" t="s">
        <v>2255</v>
      </c>
      <c r="F604" s="2" t="s">
        <v>2256</v>
      </c>
      <c r="G604" s="2">
        <v>2</v>
      </c>
      <c r="H604" s="2">
        <v>0</v>
      </c>
      <c r="I604" s="1">
        <v>0</v>
      </c>
      <c r="J604" s="3" t="s">
        <v>207</v>
      </c>
      <c r="K604" s="2" t="str">
        <f>J604*914.34</f>
        <v>0</v>
      </c>
      <c r="L604" s="5"/>
    </row>
    <row r="605" spans="1:12" customHeight="1" ht="105" outlineLevel="5">
      <c r="A605" s="1"/>
      <c r="B605" s="1">
        <v>834564</v>
      </c>
      <c r="C605" s="1" t="s">
        <v>2257</v>
      </c>
      <c r="D605" s="1" t="s">
        <v>2258</v>
      </c>
      <c r="E605" s="2" t="s">
        <v>2259</v>
      </c>
      <c r="F605" s="2" t="s">
        <v>2260</v>
      </c>
      <c r="G605" s="2" t="s">
        <v>28</v>
      </c>
      <c r="H605" s="2">
        <v>0</v>
      </c>
      <c r="I605" s="1">
        <v>0</v>
      </c>
      <c r="J605" s="3" t="s">
        <v>207</v>
      </c>
      <c r="K605" s="2" t="str">
        <f>J605*480.69</f>
        <v>0</v>
      </c>
      <c r="L605" s="5"/>
    </row>
    <row r="606" spans="1:12" customHeight="1" ht="105" outlineLevel="5">
      <c r="A606" s="1"/>
      <c r="B606" s="1">
        <v>834565</v>
      </c>
      <c r="C606" s="1" t="s">
        <v>2261</v>
      </c>
      <c r="D606" s="1" t="s">
        <v>2262</v>
      </c>
      <c r="E606" s="2" t="s">
        <v>2263</v>
      </c>
      <c r="F606" s="2" t="s">
        <v>2264</v>
      </c>
      <c r="G606" s="2">
        <v>6</v>
      </c>
      <c r="H606" s="2">
        <v>0</v>
      </c>
      <c r="I606" s="1">
        <v>0</v>
      </c>
      <c r="J606" s="3" t="s">
        <v>207</v>
      </c>
      <c r="K606" s="2" t="str">
        <f>J606*617.40</f>
        <v>0</v>
      </c>
      <c r="L606" s="5"/>
    </row>
    <row r="607" spans="1:12" customHeight="1" ht="105" outlineLevel="5">
      <c r="A607" s="1"/>
      <c r="B607" s="1">
        <v>834566</v>
      </c>
      <c r="C607" s="1" t="s">
        <v>2265</v>
      </c>
      <c r="D607" s="1" t="s">
        <v>2266</v>
      </c>
      <c r="E607" s="2" t="s">
        <v>2267</v>
      </c>
      <c r="F607" s="2" t="s">
        <v>2268</v>
      </c>
      <c r="G607" s="2">
        <v>9</v>
      </c>
      <c r="H607" s="2">
        <v>0</v>
      </c>
      <c r="I607" s="1">
        <v>0</v>
      </c>
      <c r="J607" s="3" t="s">
        <v>207</v>
      </c>
      <c r="K607" s="2" t="str">
        <f>J607*492.45</f>
        <v>0</v>
      </c>
      <c r="L607" s="5"/>
    </row>
    <row r="608" spans="1:12" customHeight="1" ht="105" outlineLevel="5">
      <c r="A608" s="1"/>
      <c r="B608" s="1">
        <v>834567</v>
      </c>
      <c r="C608" s="1" t="s">
        <v>2269</v>
      </c>
      <c r="D608" s="1" t="s">
        <v>2270</v>
      </c>
      <c r="E608" s="2" t="s">
        <v>2271</v>
      </c>
      <c r="F608" s="2" t="s">
        <v>2272</v>
      </c>
      <c r="G608" s="2">
        <v>6</v>
      </c>
      <c r="H608" s="2">
        <v>0</v>
      </c>
      <c r="I608" s="1">
        <v>0</v>
      </c>
      <c r="J608" s="3" t="s">
        <v>207</v>
      </c>
      <c r="K608" s="2" t="str">
        <f>J608*664.44</f>
        <v>0</v>
      </c>
      <c r="L608" s="5"/>
    </row>
    <row r="609" spans="1:12" customHeight="1" ht="105" outlineLevel="5">
      <c r="A609" s="1"/>
      <c r="B609" s="1">
        <v>834568</v>
      </c>
      <c r="C609" s="1" t="s">
        <v>2273</v>
      </c>
      <c r="D609" s="1" t="s">
        <v>2274</v>
      </c>
      <c r="E609" s="2" t="s">
        <v>2275</v>
      </c>
      <c r="F609" s="2" t="s">
        <v>2276</v>
      </c>
      <c r="G609" s="2" t="s">
        <v>28</v>
      </c>
      <c r="H609" s="2">
        <v>0</v>
      </c>
      <c r="I609" s="1">
        <v>0</v>
      </c>
      <c r="J609" s="3" t="s">
        <v>207</v>
      </c>
      <c r="K609" s="2" t="str">
        <f>J609*563.01</f>
        <v>0</v>
      </c>
      <c r="L609" s="5"/>
    </row>
    <row r="610" spans="1:12" customHeight="1" ht="105" outlineLevel="5">
      <c r="A610" s="1"/>
      <c r="B610" s="1">
        <v>834569</v>
      </c>
      <c r="C610" s="1" t="s">
        <v>2277</v>
      </c>
      <c r="D610" s="1" t="s">
        <v>2278</v>
      </c>
      <c r="E610" s="2" t="s">
        <v>2279</v>
      </c>
      <c r="F610" s="2" t="s">
        <v>2280</v>
      </c>
      <c r="G610" s="2">
        <v>9</v>
      </c>
      <c r="H610" s="2">
        <v>0</v>
      </c>
      <c r="I610" s="1">
        <v>0</v>
      </c>
      <c r="J610" s="3" t="s">
        <v>207</v>
      </c>
      <c r="K610" s="2" t="str">
        <f>J610*736.47</f>
        <v>0</v>
      </c>
      <c r="L610" s="5"/>
    </row>
    <row r="611" spans="1:12" customHeight="1" ht="105" outlineLevel="5">
      <c r="A611" s="1"/>
      <c r="B611" s="1">
        <v>834570</v>
      </c>
      <c r="C611" s="1" t="s">
        <v>2281</v>
      </c>
      <c r="D611" s="1" t="s">
        <v>2282</v>
      </c>
      <c r="E611" s="2" t="s">
        <v>2283</v>
      </c>
      <c r="F611" s="2" t="s">
        <v>2284</v>
      </c>
      <c r="G611" s="2">
        <v>5</v>
      </c>
      <c r="H611" s="2">
        <v>0</v>
      </c>
      <c r="I611" s="1">
        <v>0</v>
      </c>
      <c r="J611" s="3" t="s">
        <v>207</v>
      </c>
      <c r="K611" s="2" t="str">
        <f>J611*804.09</f>
        <v>0</v>
      </c>
      <c r="L611" s="5"/>
    </row>
    <row r="612" spans="1:12" customHeight="1" ht="105" outlineLevel="5">
      <c r="A612" s="1"/>
      <c r="B612" s="1">
        <v>834571</v>
      </c>
      <c r="C612" s="1" t="s">
        <v>2285</v>
      </c>
      <c r="D612" s="1" t="s">
        <v>2286</v>
      </c>
      <c r="E612" s="2" t="s">
        <v>2287</v>
      </c>
      <c r="F612" s="2" t="s">
        <v>2288</v>
      </c>
      <c r="G612" s="2">
        <v>4</v>
      </c>
      <c r="H612" s="2">
        <v>0</v>
      </c>
      <c r="I612" s="1">
        <v>0</v>
      </c>
      <c r="J612" s="3" t="s">
        <v>207</v>
      </c>
      <c r="K612" s="2" t="str">
        <f>J612*876.12</f>
        <v>0</v>
      </c>
      <c r="L612" s="5"/>
    </row>
    <row r="613" spans="1:12" customHeight="1" ht="105" outlineLevel="5">
      <c r="A613" s="1"/>
      <c r="B613" s="1">
        <v>834572</v>
      </c>
      <c r="C613" s="1" t="s">
        <v>2289</v>
      </c>
      <c r="D613" s="1" t="s">
        <v>2290</v>
      </c>
      <c r="E613" s="2" t="s">
        <v>2291</v>
      </c>
      <c r="F613" s="2" t="s">
        <v>2292</v>
      </c>
      <c r="G613" s="2">
        <v>6</v>
      </c>
      <c r="H613" s="2">
        <v>0</v>
      </c>
      <c r="I613" s="1">
        <v>0</v>
      </c>
      <c r="J613" s="3" t="s">
        <v>207</v>
      </c>
      <c r="K613" s="2" t="str">
        <f>J613*445.41</f>
        <v>0</v>
      </c>
      <c r="L613" s="5"/>
    </row>
    <row r="614" spans="1:12" customHeight="1" ht="105" outlineLevel="5">
      <c r="A614" s="1"/>
      <c r="B614" s="1">
        <v>834573</v>
      </c>
      <c r="C614" s="1" t="s">
        <v>2293</v>
      </c>
      <c r="D614" s="1" t="s">
        <v>2294</v>
      </c>
      <c r="E614" s="2" t="s">
        <v>2295</v>
      </c>
      <c r="F614" s="2" t="s">
        <v>2296</v>
      </c>
      <c r="G614" s="2">
        <v>6</v>
      </c>
      <c r="H614" s="2">
        <v>0</v>
      </c>
      <c r="I614" s="1">
        <v>0</v>
      </c>
      <c r="J614" s="3" t="s">
        <v>207</v>
      </c>
      <c r="K614" s="2" t="str">
        <f>J614*1439.13</f>
        <v>0</v>
      </c>
      <c r="L614" s="5"/>
    </row>
    <row r="615" spans="1:12" customHeight="1" ht="105" outlineLevel="5">
      <c r="A615" s="1"/>
      <c r="B615" s="1">
        <v>834574</v>
      </c>
      <c r="C615" s="1" t="s">
        <v>2297</v>
      </c>
      <c r="D615" s="1" t="s">
        <v>2298</v>
      </c>
      <c r="E615" s="2" t="s">
        <v>2299</v>
      </c>
      <c r="F615" s="2" t="s">
        <v>2300</v>
      </c>
      <c r="G615" s="2">
        <v>6</v>
      </c>
      <c r="H615" s="2">
        <v>0</v>
      </c>
      <c r="I615" s="1">
        <v>0</v>
      </c>
      <c r="J615" s="3" t="s">
        <v>207</v>
      </c>
      <c r="K615" s="2" t="str">
        <f>J615*1461.18</f>
        <v>0</v>
      </c>
      <c r="L615" s="5"/>
    </row>
    <row r="616" spans="1:12" customHeight="1" ht="105" outlineLevel="5">
      <c r="A616" s="1"/>
      <c r="B616" s="1">
        <v>834575</v>
      </c>
      <c r="C616" s="1" t="s">
        <v>2301</v>
      </c>
      <c r="D616" s="1" t="s">
        <v>2302</v>
      </c>
      <c r="E616" s="2" t="s">
        <v>2303</v>
      </c>
      <c r="F616" s="2" t="s">
        <v>2304</v>
      </c>
      <c r="G616" s="2">
        <v>4</v>
      </c>
      <c r="H616" s="2">
        <v>0</v>
      </c>
      <c r="I616" s="1">
        <v>0</v>
      </c>
      <c r="J616" s="3" t="s">
        <v>207</v>
      </c>
      <c r="K616" s="2" t="str">
        <f>J616*474.81</f>
        <v>0</v>
      </c>
      <c r="L616" s="5"/>
    </row>
    <row r="617" spans="1:12" customHeight="1" ht="105" outlineLevel="5">
      <c r="A617" s="1"/>
      <c r="B617" s="1">
        <v>834576</v>
      </c>
      <c r="C617" s="1" t="s">
        <v>2305</v>
      </c>
      <c r="D617" s="1" t="s">
        <v>2306</v>
      </c>
      <c r="E617" s="2" t="s">
        <v>2307</v>
      </c>
      <c r="F617" s="2" t="s">
        <v>2308</v>
      </c>
      <c r="G617" s="2">
        <v>4</v>
      </c>
      <c r="H617" s="2">
        <v>0</v>
      </c>
      <c r="I617" s="1">
        <v>0</v>
      </c>
      <c r="J617" s="3" t="s">
        <v>207</v>
      </c>
      <c r="K617" s="2" t="str">
        <f>J617*1249.50</f>
        <v>0</v>
      </c>
      <c r="L617" s="5"/>
    </row>
    <row r="618" spans="1:12" customHeight="1" ht="105" outlineLevel="5">
      <c r="A618" s="1"/>
      <c r="B618" s="1">
        <v>834577</v>
      </c>
      <c r="C618" s="1" t="s">
        <v>2309</v>
      </c>
      <c r="D618" s="1" t="s">
        <v>2310</v>
      </c>
      <c r="E618" s="2" t="s">
        <v>2311</v>
      </c>
      <c r="F618" s="2" t="s">
        <v>2312</v>
      </c>
      <c r="G618" s="2">
        <v>5</v>
      </c>
      <c r="H618" s="2">
        <v>0</v>
      </c>
      <c r="I618" s="1">
        <v>0</v>
      </c>
      <c r="J618" s="3" t="s">
        <v>207</v>
      </c>
      <c r="K618" s="2" t="str">
        <f>J618*1345.05</f>
        <v>0</v>
      </c>
      <c r="L618" s="5"/>
    </row>
    <row r="619" spans="1:12" customHeight="1" ht="105" outlineLevel="5">
      <c r="A619" s="1"/>
      <c r="B619" s="1">
        <v>834578</v>
      </c>
      <c r="C619" s="1" t="s">
        <v>2313</v>
      </c>
      <c r="D619" s="1" t="s">
        <v>2314</v>
      </c>
      <c r="E619" s="2" t="s">
        <v>2315</v>
      </c>
      <c r="F619" s="2" t="s">
        <v>2316</v>
      </c>
      <c r="G619" s="2" t="s">
        <v>28</v>
      </c>
      <c r="H619" s="2">
        <v>0</v>
      </c>
      <c r="I619" s="1">
        <v>0</v>
      </c>
      <c r="J619" s="3" t="s">
        <v>207</v>
      </c>
      <c r="K619" s="2" t="str">
        <f>J619*464.52</f>
        <v>0</v>
      </c>
      <c r="L619" s="5"/>
    </row>
    <row r="620" spans="1:12" customHeight="1" ht="105" outlineLevel="5">
      <c r="A620" s="1"/>
      <c r="B620" s="1">
        <v>837315</v>
      </c>
      <c r="C620" s="1" t="s">
        <v>2317</v>
      </c>
      <c r="D620" s="1" t="s">
        <v>2318</v>
      </c>
      <c r="E620" s="2" t="s">
        <v>2319</v>
      </c>
      <c r="F620" s="2" t="s">
        <v>2320</v>
      </c>
      <c r="G620" s="2">
        <v>8</v>
      </c>
      <c r="H620" s="2">
        <v>0</v>
      </c>
      <c r="I620" s="1">
        <v>0</v>
      </c>
      <c r="J620" s="3" t="s">
        <v>207</v>
      </c>
      <c r="K620" s="2" t="str">
        <f>J620*91.14</f>
        <v>0</v>
      </c>
      <c r="L620" s="5"/>
    </row>
    <row r="621" spans="1:12" customHeight="1" ht="105" outlineLevel="5">
      <c r="A621" s="1"/>
      <c r="B621" s="1">
        <v>837316</v>
      </c>
      <c r="C621" s="1" t="s">
        <v>2321</v>
      </c>
      <c r="D621" s="1" t="s">
        <v>2322</v>
      </c>
      <c r="E621" s="2" t="s">
        <v>2323</v>
      </c>
      <c r="F621" s="2" t="s">
        <v>2320</v>
      </c>
      <c r="G621" s="2" t="s">
        <v>33</v>
      </c>
      <c r="H621" s="2">
        <v>0</v>
      </c>
      <c r="I621" s="1">
        <v>0</v>
      </c>
      <c r="J621" s="3" t="s">
        <v>207</v>
      </c>
      <c r="K621" s="2" t="str">
        <f>J621*91.14</f>
        <v>0</v>
      </c>
      <c r="L621" s="5"/>
    </row>
    <row r="622" spans="1:12" customHeight="1" ht="105" outlineLevel="5">
      <c r="A622" s="1"/>
      <c r="B622" s="1">
        <v>837317</v>
      </c>
      <c r="C622" s="1" t="s">
        <v>2324</v>
      </c>
      <c r="D622" s="1" t="s">
        <v>2325</v>
      </c>
      <c r="E622" s="2" t="s">
        <v>2326</v>
      </c>
      <c r="F622" s="2" t="s">
        <v>2327</v>
      </c>
      <c r="G622" s="2" t="s">
        <v>28</v>
      </c>
      <c r="H622" s="2">
        <v>0</v>
      </c>
      <c r="I622" s="1">
        <v>0</v>
      </c>
      <c r="J622" s="3" t="s">
        <v>207</v>
      </c>
      <c r="K622" s="2" t="str">
        <f>J622*99.96</f>
        <v>0</v>
      </c>
      <c r="L622" s="5"/>
    </row>
    <row r="623" spans="1:12" customHeight="1" ht="105" outlineLevel="5">
      <c r="A623" s="1"/>
      <c r="B623" s="1">
        <v>837318</v>
      </c>
      <c r="C623" s="1" t="s">
        <v>2328</v>
      </c>
      <c r="D623" s="1" t="s">
        <v>2329</v>
      </c>
      <c r="E623" s="2" t="s">
        <v>2330</v>
      </c>
      <c r="F623" s="2" t="s">
        <v>2331</v>
      </c>
      <c r="G623" s="2">
        <v>9</v>
      </c>
      <c r="H623" s="2">
        <v>0</v>
      </c>
      <c r="I623" s="1">
        <v>0</v>
      </c>
      <c r="J623" s="3" t="s">
        <v>207</v>
      </c>
      <c r="K623" s="2" t="str">
        <f>J623*132.30</f>
        <v>0</v>
      </c>
      <c r="L623" s="5"/>
    </row>
    <row r="624" spans="1:12" customHeight="1" ht="105" outlineLevel="5">
      <c r="A624" s="1"/>
      <c r="B624" s="1">
        <v>837319</v>
      </c>
      <c r="C624" s="1" t="s">
        <v>2332</v>
      </c>
      <c r="D624" s="1" t="s">
        <v>2333</v>
      </c>
      <c r="E624" s="2" t="s">
        <v>2334</v>
      </c>
      <c r="F624" s="2" t="s">
        <v>2335</v>
      </c>
      <c r="G624" s="2" t="s">
        <v>28</v>
      </c>
      <c r="H624" s="2">
        <v>0</v>
      </c>
      <c r="I624" s="1">
        <v>0</v>
      </c>
      <c r="J624" s="3" t="s">
        <v>207</v>
      </c>
      <c r="K624" s="2" t="str">
        <f>J624*144.06</f>
        <v>0</v>
      </c>
      <c r="L624" s="5"/>
    </row>
    <row r="625" spans="1:12" customHeight="1" ht="105" outlineLevel="5">
      <c r="A625" s="1"/>
      <c r="B625" s="1">
        <v>837320</v>
      </c>
      <c r="C625" s="1" t="s">
        <v>2336</v>
      </c>
      <c r="D625" s="1" t="s">
        <v>2337</v>
      </c>
      <c r="E625" s="2" t="s">
        <v>2338</v>
      </c>
      <c r="F625" s="2" t="s">
        <v>2153</v>
      </c>
      <c r="G625" s="2">
        <v>8</v>
      </c>
      <c r="H625" s="2">
        <v>0</v>
      </c>
      <c r="I625" s="1">
        <v>0</v>
      </c>
      <c r="J625" s="3" t="s">
        <v>207</v>
      </c>
      <c r="K625" s="2" t="str">
        <f>J625*227.85</f>
        <v>0</v>
      </c>
      <c r="L625" s="5"/>
    </row>
    <row r="626" spans="1:12" customHeight="1" ht="105" outlineLevel="5">
      <c r="A626" s="1"/>
      <c r="B626" s="1">
        <v>837321</v>
      </c>
      <c r="C626" s="1" t="s">
        <v>2339</v>
      </c>
      <c r="D626" s="1" t="s">
        <v>2340</v>
      </c>
      <c r="E626" s="2" t="s">
        <v>2341</v>
      </c>
      <c r="F626" s="2" t="s">
        <v>2342</v>
      </c>
      <c r="G626" s="2">
        <v>4</v>
      </c>
      <c r="H626" s="2">
        <v>0</v>
      </c>
      <c r="I626" s="1">
        <v>0</v>
      </c>
      <c r="J626" s="3" t="s">
        <v>207</v>
      </c>
      <c r="K626" s="2" t="str">
        <f>J626*279.30</f>
        <v>0</v>
      </c>
      <c r="L626" s="5"/>
    </row>
    <row r="627" spans="1:12" customHeight="1" ht="105" outlineLevel="5">
      <c r="A627" s="1"/>
      <c r="B627" s="1">
        <v>871406</v>
      </c>
      <c r="C627" s="1" t="s">
        <v>2343</v>
      </c>
      <c r="D627" s="1" t="s">
        <v>2344</v>
      </c>
      <c r="E627" s="2" t="s">
        <v>2345</v>
      </c>
      <c r="F627" s="2" t="s">
        <v>2346</v>
      </c>
      <c r="G627" s="2">
        <v>9</v>
      </c>
      <c r="H627" s="2">
        <v>0</v>
      </c>
      <c r="I627" s="1">
        <v>0</v>
      </c>
      <c r="J627" s="3" t="s">
        <v>207</v>
      </c>
      <c r="K627" s="2" t="str">
        <f>J627*489.51</f>
        <v>0</v>
      </c>
      <c r="L627" s="5"/>
    </row>
    <row r="628" spans="1:12" customHeight="1" ht="105" outlineLevel="5">
      <c r="A628" s="1"/>
      <c r="B628" s="1">
        <v>871407</v>
      </c>
      <c r="C628" s="1" t="s">
        <v>2347</v>
      </c>
      <c r="D628" s="1" t="s">
        <v>2348</v>
      </c>
      <c r="E628" s="2" t="s">
        <v>2349</v>
      </c>
      <c r="F628" s="2" t="s">
        <v>333</v>
      </c>
      <c r="G628" s="2" t="s">
        <v>28</v>
      </c>
      <c r="H628" s="2">
        <v>0</v>
      </c>
      <c r="I628" s="1">
        <v>0</v>
      </c>
      <c r="J628" s="3" t="s">
        <v>207</v>
      </c>
      <c r="K628" s="2" t="str">
        <f>J628*527.73</f>
        <v>0</v>
      </c>
      <c r="L628" s="5"/>
    </row>
    <row r="629" spans="1:12" customHeight="1" ht="105" outlineLevel="5">
      <c r="A629" s="1"/>
      <c r="B629" s="1">
        <v>871408</v>
      </c>
      <c r="C629" s="1" t="s">
        <v>2350</v>
      </c>
      <c r="D629" s="1" t="s">
        <v>2351</v>
      </c>
      <c r="E629" s="2" t="s">
        <v>2352</v>
      </c>
      <c r="F629" s="2" t="s">
        <v>2353</v>
      </c>
      <c r="G629" s="2">
        <v>8</v>
      </c>
      <c r="H629" s="2">
        <v>0</v>
      </c>
      <c r="I629" s="1">
        <v>0</v>
      </c>
      <c r="J629" s="3" t="s">
        <v>207</v>
      </c>
      <c r="K629" s="2" t="str">
        <f>J629*708.54</f>
        <v>0</v>
      </c>
      <c r="L629" s="5"/>
    </row>
    <row r="630" spans="1:12" customHeight="1" ht="105" outlineLevel="5">
      <c r="A630" s="1"/>
      <c r="B630" s="1">
        <v>871409</v>
      </c>
      <c r="C630" s="1" t="s">
        <v>2354</v>
      </c>
      <c r="D630" s="1" t="s">
        <v>2355</v>
      </c>
      <c r="E630" s="2" t="s">
        <v>2356</v>
      </c>
      <c r="F630" s="2" t="s">
        <v>2357</v>
      </c>
      <c r="G630" s="2">
        <v>2</v>
      </c>
      <c r="H630" s="2">
        <v>0</v>
      </c>
      <c r="I630" s="1">
        <v>0</v>
      </c>
      <c r="J630" s="3" t="s">
        <v>207</v>
      </c>
      <c r="K630" s="2" t="str">
        <f>J630*892.29</f>
        <v>0</v>
      </c>
      <c r="L630" s="5"/>
    </row>
    <row r="631" spans="1:12" customHeight="1" ht="105" outlineLevel="5">
      <c r="A631" s="1"/>
      <c r="B631" s="1">
        <v>878049</v>
      </c>
      <c r="C631" s="1" t="s">
        <v>2358</v>
      </c>
      <c r="D631" s="1" t="s">
        <v>2359</v>
      </c>
      <c r="E631" s="2" t="s">
        <v>2360</v>
      </c>
      <c r="F631" s="2" t="s">
        <v>2361</v>
      </c>
      <c r="G631" s="2" t="s">
        <v>28</v>
      </c>
      <c r="H631" s="2">
        <v>0</v>
      </c>
      <c r="I631" s="1">
        <v>0</v>
      </c>
      <c r="J631" s="3" t="s">
        <v>207</v>
      </c>
      <c r="K631" s="2" t="str">
        <f>J631*801.15</f>
        <v>0</v>
      </c>
      <c r="L631" s="5"/>
    </row>
    <row r="632" spans="1:12" customHeight="1" ht="105" outlineLevel="5">
      <c r="A632" s="1"/>
      <c r="B632" s="1">
        <v>884948</v>
      </c>
      <c r="C632" s="1" t="s">
        <v>2362</v>
      </c>
      <c r="D632" s="1" t="s">
        <v>2363</v>
      </c>
      <c r="E632" s="2" t="s">
        <v>2364</v>
      </c>
      <c r="F632" s="2" t="s">
        <v>2365</v>
      </c>
      <c r="G632" s="2">
        <v>0</v>
      </c>
      <c r="H632" s="2">
        <v>0</v>
      </c>
      <c r="I632" s="1">
        <v>0</v>
      </c>
      <c r="J632" s="3" t="s">
        <v>207</v>
      </c>
      <c r="K632" s="2" t="str">
        <f>J632*3476.55</f>
        <v>0</v>
      </c>
      <c r="L632" s="5"/>
    </row>
    <row r="633" spans="1:12" customHeight="1" ht="105" outlineLevel="5">
      <c r="A633" s="1"/>
      <c r="B633" s="1">
        <v>884949</v>
      </c>
      <c r="C633" s="1" t="s">
        <v>2366</v>
      </c>
      <c r="D633" s="1" t="s">
        <v>2367</v>
      </c>
      <c r="E633" s="2" t="s">
        <v>2368</v>
      </c>
      <c r="F633" s="2" t="s">
        <v>2369</v>
      </c>
      <c r="G633" s="2">
        <v>0</v>
      </c>
      <c r="H633" s="2">
        <v>0</v>
      </c>
      <c r="I633" s="1">
        <v>0</v>
      </c>
      <c r="J633" s="3" t="s">
        <v>207</v>
      </c>
      <c r="K633" s="2" t="str">
        <f>J633*1024.59</f>
        <v>0</v>
      </c>
      <c r="L633" s="5"/>
    </row>
    <row r="634" spans="1:12" customHeight="1" ht="105" outlineLevel="5">
      <c r="A634" s="1"/>
      <c r="B634" s="1">
        <v>884950</v>
      </c>
      <c r="C634" s="1" t="s">
        <v>2370</v>
      </c>
      <c r="D634" s="1" t="s">
        <v>2371</v>
      </c>
      <c r="E634" s="2" t="s">
        <v>2372</v>
      </c>
      <c r="F634" s="2" t="s">
        <v>2373</v>
      </c>
      <c r="G634" s="2">
        <v>0</v>
      </c>
      <c r="H634" s="2">
        <v>0</v>
      </c>
      <c r="I634" s="1">
        <v>0</v>
      </c>
      <c r="J634" s="3" t="s">
        <v>207</v>
      </c>
      <c r="K634" s="2" t="str">
        <f>J634*1224.51</f>
        <v>0</v>
      </c>
      <c r="L634" s="5"/>
    </row>
    <row r="635" spans="1:12" customHeight="1" ht="105" outlineLevel="5">
      <c r="A635" s="1"/>
      <c r="B635" s="1">
        <v>884951</v>
      </c>
      <c r="C635" s="1" t="s">
        <v>2374</v>
      </c>
      <c r="D635" s="1" t="s">
        <v>2375</v>
      </c>
      <c r="E635" s="2" t="s">
        <v>2376</v>
      </c>
      <c r="F635" s="2" t="s">
        <v>2377</v>
      </c>
      <c r="G635" s="2">
        <v>0</v>
      </c>
      <c r="H635" s="2">
        <v>0</v>
      </c>
      <c r="I635" s="1">
        <v>0</v>
      </c>
      <c r="J635" s="3" t="s">
        <v>207</v>
      </c>
      <c r="K635" s="2" t="str">
        <f>J635*1225.98</f>
        <v>0</v>
      </c>
      <c r="L635" s="5"/>
    </row>
    <row r="636" spans="1:12" customHeight="1" ht="105" outlineLevel="5">
      <c r="A636" s="1"/>
      <c r="B636" s="1">
        <v>884952</v>
      </c>
      <c r="C636" s="1" t="s">
        <v>2378</v>
      </c>
      <c r="D636" s="1" t="s">
        <v>2379</v>
      </c>
      <c r="E636" s="2" t="s">
        <v>2380</v>
      </c>
      <c r="F636" s="2" t="s">
        <v>2381</v>
      </c>
      <c r="G636" s="2">
        <v>0</v>
      </c>
      <c r="H636" s="2">
        <v>0</v>
      </c>
      <c r="I636" s="1">
        <v>0</v>
      </c>
      <c r="J636" s="3" t="s">
        <v>207</v>
      </c>
      <c r="K636" s="2" t="str">
        <f>J636*1497.93</f>
        <v>0</v>
      </c>
      <c r="L636" s="5"/>
    </row>
    <row r="637" spans="1:12" customHeight="1" ht="105" outlineLevel="5">
      <c r="A637" s="1"/>
      <c r="B637" s="1">
        <v>884953</v>
      </c>
      <c r="C637" s="1" t="s">
        <v>2382</v>
      </c>
      <c r="D637" s="1" t="s">
        <v>2383</v>
      </c>
      <c r="E637" s="2" t="s">
        <v>2384</v>
      </c>
      <c r="F637" s="2" t="s">
        <v>2385</v>
      </c>
      <c r="G637" s="2">
        <v>0</v>
      </c>
      <c r="H637" s="2">
        <v>0</v>
      </c>
      <c r="I637" s="1">
        <v>0</v>
      </c>
      <c r="J637" s="3" t="s">
        <v>207</v>
      </c>
      <c r="K637" s="2" t="str">
        <f>J637*1984.50</f>
        <v>0</v>
      </c>
      <c r="L637" s="5"/>
    </row>
    <row r="638" spans="1:12" customHeight="1" ht="105" outlineLevel="5">
      <c r="A638" s="1"/>
      <c r="B638" s="1">
        <v>884954</v>
      </c>
      <c r="C638" s="1" t="s">
        <v>2386</v>
      </c>
      <c r="D638" s="1" t="s">
        <v>2387</v>
      </c>
      <c r="E638" s="2" t="s">
        <v>2388</v>
      </c>
      <c r="F638" s="2" t="s">
        <v>2389</v>
      </c>
      <c r="G638" s="2">
        <v>0</v>
      </c>
      <c r="H638" s="2">
        <v>0</v>
      </c>
      <c r="I638" s="1">
        <v>0</v>
      </c>
      <c r="J638" s="3" t="s">
        <v>207</v>
      </c>
      <c r="K638" s="2" t="str">
        <f>J638*2027.13</f>
        <v>0</v>
      </c>
      <c r="L638" s="5"/>
    </row>
    <row r="639" spans="1:12" customHeight="1" ht="105" outlineLevel="5">
      <c r="A639" s="1"/>
      <c r="B639" s="1">
        <v>884955</v>
      </c>
      <c r="C639" s="1" t="s">
        <v>2390</v>
      </c>
      <c r="D639" s="1" t="s">
        <v>2391</v>
      </c>
      <c r="E639" s="2" t="s">
        <v>2392</v>
      </c>
      <c r="F639" s="2" t="s">
        <v>2393</v>
      </c>
      <c r="G639" s="2">
        <v>0</v>
      </c>
      <c r="H639" s="2">
        <v>0</v>
      </c>
      <c r="I639" s="1">
        <v>0</v>
      </c>
      <c r="J639" s="3" t="s">
        <v>207</v>
      </c>
      <c r="K639" s="2" t="str">
        <f>J639*2523.99</f>
        <v>0</v>
      </c>
      <c r="L639" s="5"/>
    </row>
    <row r="640" spans="1:12" customHeight="1" ht="105" outlineLevel="5">
      <c r="A640" s="1"/>
      <c r="B640" s="1">
        <v>884956</v>
      </c>
      <c r="C640" s="1" t="s">
        <v>2394</v>
      </c>
      <c r="D640" s="1" t="s">
        <v>2395</v>
      </c>
      <c r="E640" s="2" t="s">
        <v>2396</v>
      </c>
      <c r="F640" s="2" t="s">
        <v>2397</v>
      </c>
      <c r="G640" s="2">
        <v>0</v>
      </c>
      <c r="H640" s="2">
        <v>0</v>
      </c>
      <c r="I640" s="1">
        <v>0</v>
      </c>
      <c r="J640" s="3" t="s">
        <v>207</v>
      </c>
      <c r="K640" s="2" t="str">
        <f>J640*2600.43</f>
        <v>0</v>
      </c>
      <c r="L640" s="5"/>
    </row>
    <row r="641" spans="1:12" customHeight="1" ht="105" outlineLevel="5">
      <c r="A641" s="1"/>
      <c r="B641" s="1">
        <v>884957</v>
      </c>
      <c r="C641" s="1" t="s">
        <v>2398</v>
      </c>
      <c r="D641" s="1" t="s">
        <v>2399</v>
      </c>
      <c r="E641" s="2" t="s">
        <v>2400</v>
      </c>
      <c r="F641" s="2" t="s">
        <v>2401</v>
      </c>
      <c r="G641" s="2">
        <v>0</v>
      </c>
      <c r="H641" s="2">
        <v>0</v>
      </c>
      <c r="I641" s="1">
        <v>0</v>
      </c>
      <c r="J641" s="3" t="s">
        <v>207</v>
      </c>
      <c r="K641" s="2" t="str">
        <f>J641*2648.94</f>
        <v>0</v>
      </c>
      <c r="L641" s="5"/>
    </row>
    <row r="642" spans="1:12" customHeight="1" ht="105" outlineLevel="5">
      <c r="A642" s="1"/>
      <c r="B642" s="1">
        <v>884958</v>
      </c>
      <c r="C642" s="1" t="s">
        <v>2402</v>
      </c>
      <c r="D642" s="1" t="s">
        <v>2403</v>
      </c>
      <c r="E642" s="2" t="s">
        <v>2404</v>
      </c>
      <c r="F642" s="2" t="s">
        <v>2405</v>
      </c>
      <c r="G642" s="2">
        <v>0</v>
      </c>
      <c r="H642" s="2">
        <v>0</v>
      </c>
      <c r="I642" s="1">
        <v>0</v>
      </c>
      <c r="J642" s="3" t="s">
        <v>207</v>
      </c>
      <c r="K642" s="2" t="str">
        <f>J642*1397.97</f>
        <v>0</v>
      </c>
      <c r="L642" s="5"/>
    </row>
    <row r="643" spans="1:12" customHeight="1" ht="105" outlineLevel="5">
      <c r="A643" s="1"/>
      <c r="B643" s="1">
        <v>884959</v>
      </c>
      <c r="C643" s="1" t="s">
        <v>2406</v>
      </c>
      <c r="D643" s="1" t="s">
        <v>2407</v>
      </c>
      <c r="E643" s="2" t="s">
        <v>2408</v>
      </c>
      <c r="F643" s="2" t="s">
        <v>2409</v>
      </c>
      <c r="G643" s="2">
        <v>0</v>
      </c>
      <c r="H643" s="2">
        <v>0</v>
      </c>
      <c r="I643" s="1">
        <v>0</v>
      </c>
      <c r="J643" s="3" t="s">
        <v>207</v>
      </c>
      <c r="K643" s="2" t="str">
        <f>J643*1934.52</f>
        <v>0</v>
      </c>
      <c r="L643" s="5"/>
    </row>
    <row r="644" spans="1:12" customHeight="1" ht="105" outlineLevel="5">
      <c r="A644" s="1"/>
      <c r="B644" s="1">
        <v>884960</v>
      </c>
      <c r="C644" s="1" t="s">
        <v>2410</v>
      </c>
      <c r="D644" s="1" t="s">
        <v>2411</v>
      </c>
      <c r="E644" s="2" t="s">
        <v>2412</v>
      </c>
      <c r="F644" s="2" t="s">
        <v>2413</v>
      </c>
      <c r="G644" s="2">
        <v>0</v>
      </c>
      <c r="H644" s="2">
        <v>0</v>
      </c>
      <c r="I644" s="1">
        <v>0</v>
      </c>
      <c r="J644" s="3" t="s">
        <v>207</v>
      </c>
      <c r="K644" s="2" t="str">
        <f>J644*2793.00</f>
        <v>0</v>
      </c>
      <c r="L644" s="5"/>
    </row>
    <row r="645" spans="1:12" customHeight="1" ht="105" outlineLevel="5">
      <c r="A645" s="1"/>
      <c r="B645" s="1">
        <v>884961</v>
      </c>
      <c r="C645" s="1" t="s">
        <v>2414</v>
      </c>
      <c r="D645" s="1" t="s">
        <v>2415</v>
      </c>
      <c r="E645" s="2" t="s">
        <v>2416</v>
      </c>
      <c r="F645" s="2" t="s">
        <v>2417</v>
      </c>
      <c r="G645" s="2">
        <v>0</v>
      </c>
      <c r="H645" s="2">
        <v>0</v>
      </c>
      <c r="I645" s="1">
        <v>0</v>
      </c>
      <c r="J645" s="3" t="s">
        <v>207</v>
      </c>
      <c r="K645" s="2" t="str">
        <f>J645*3545.64</f>
        <v>0</v>
      </c>
      <c r="L645" s="5"/>
    </row>
    <row r="646" spans="1:12" customHeight="1" ht="105" outlineLevel="5">
      <c r="A646" s="1"/>
      <c r="B646" s="1">
        <v>884962</v>
      </c>
      <c r="C646" s="1" t="s">
        <v>2418</v>
      </c>
      <c r="D646" s="1" t="s">
        <v>2419</v>
      </c>
      <c r="E646" s="2" t="s">
        <v>2420</v>
      </c>
      <c r="F646" s="2" t="s">
        <v>2421</v>
      </c>
      <c r="G646" s="2">
        <v>0</v>
      </c>
      <c r="H646" s="2">
        <v>0</v>
      </c>
      <c r="I646" s="1">
        <v>0</v>
      </c>
      <c r="J646" s="3" t="s">
        <v>207</v>
      </c>
      <c r="K646" s="2" t="str">
        <f>J646*1702.26</f>
        <v>0</v>
      </c>
      <c r="L646" s="5"/>
    </row>
    <row r="647" spans="1:12" customHeight="1" ht="105" outlineLevel="5">
      <c r="A647" s="1"/>
      <c r="B647" s="1">
        <v>884963</v>
      </c>
      <c r="C647" s="1" t="s">
        <v>2422</v>
      </c>
      <c r="D647" s="1" t="s">
        <v>2423</v>
      </c>
      <c r="E647" s="2" t="s">
        <v>2424</v>
      </c>
      <c r="F647" s="2" t="s">
        <v>2425</v>
      </c>
      <c r="G647" s="2">
        <v>0</v>
      </c>
      <c r="H647" s="2">
        <v>0</v>
      </c>
      <c r="I647" s="1">
        <v>0</v>
      </c>
      <c r="J647" s="3" t="s">
        <v>207</v>
      </c>
      <c r="K647" s="2" t="str">
        <f>J647*2209.41</f>
        <v>0</v>
      </c>
      <c r="L647" s="5"/>
    </row>
    <row r="648" spans="1:12" customHeight="1" ht="105" outlineLevel="5">
      <c r="A648" s="1"/>
      <c r="B648" s="1">
        <v>884964</v>
      </c>
      <c r="C648" s="1" t="s">
        <v>2426</v>
      </c>
      <c r="D648" s="1" t="s">
        <v>2427</v>
      </c>
      <c r="E648" s="2" t="s">
        <v>2428</v>
      </c>
      <c r="F648" s="2" t="s">
        <v>2429</v>
      </c>
      <c r="G648" s="2">
        <v>0</v>
      </c>
      <c r="H648" s="2">
        <v>0</v>
      </c>
      <c r="I648" s="1">
        <v>0</v>
      </c>
      <c r="J648" s="3" t="s">
        <v>207</v>
      </c>
      <c r="K648" s="2" t="str">
        <f>J648*2953.23</f>
        <v>0</v>
      </c>
      <c r="L648" s="5"/>
    </row>
    <row r="649" spans="1:12" customHeight="1" ht="105" outlineLevel="5">
      <c r="A649" s="1"/>
      <c r="B649" s="1">
        <v>884965</v>
      </c>
      <c r="C649" s="1" t="s">
        <v>2430</v>
      </c>
      <c r="D649" s="1" t="s">
        <v>2431</v>
      </c>
      <c r="E649" s="2" t="s">
        <v>2432</v>
      </c>
      <c r="F649" s="2" t="s">
        <v>2433</v>
      </c>
      <c r="G649" s="2">
        <v>0</v>
      </c>
      <c r="H649" s="2">
        <v>0</v>
      </c>
      <c r="I649" s="1">
        <v>0</v>
      </c>
      <c r="J649" s="3" t="s">
        <v>207</v>
      </c>
      <c r="K649" s="2" t="str">
        <f>J649*4354.14</f>
        <v>0</v>
      </c>
      <c r="L649" s="5"/>
    </row>
    <row r="650" spans="1:12" customHeight="1" ht="105" outlineLevel="5">
      <c r="A650" s="1"/>
      <c r="B650" s="1">
        <v>884966</v>
      </c>
      <c r="C650" s="1" t="s">
        <v>2434</v>
      </c>
      <c r="D650" s="1" t="s">
        <v>2435</v>
      </c>
      <c r="E650" s="2" t="s">
        <v>2436</v>
      </c>
      <c r="F650" s="2" t="s">
        <v>2437</v>
      </c>
      <c r="G650" s="2">
        <v>0</v>
      </c>
      <c r="H650" s="2">
        <v>0</v>
      </c>
      <c r="I650" s="1">
        <v>0</v>
      </c>
      <c r="J650" s="3" t="s">
        <v>207</v>
      </c>
      <c r="K650" s="2" t="str">
        <f>J650*1722.84</f>
        <v>0</v>
      </c>
      <c r="L650" s="5"/>
    </row>
    <row r="651" spans="1:12" customHeight="1" ht="105" outlineLevel="5">
      <c r="A651" s="1"/>
      <c r="B651" s="1">
        <v>884967</v>
      </c>
      <c r="C651" s="1" t="s">
        <v>2438</v>
      </c>
      <c r="D651" s="1" t="s">
        <v>2439</v>
      </c>
      <c r="E651" s="2" t="s">
        <v>2440</v>
      </c>
      <c r="F651" s="2" t="s">
        <v>2441</v>
      </c>
      <c r="G651" s="2">
        <v>0</v>
      </c>
      <c r="H651" s="2">
        <v>0</v>
      </c>
      <c r="I651" s="1">
        <v>0</v>
      </c>
      <c r="J651" s="3" t="s">
        <v>207</v>
      </c>
      <c r="K651" s="2" t="str">
        <f>J651*2259.39</f>
        <v>0</v>
      </c>
      <c r="L651" s="5"/>
    </row>
    <row r="652" spans="1:12" customHeight="1" ht="105" outlineLevel="5">
      <c r="A652" s="1"/>
      <c r="B652" s="1">
        <v>884968</v>
      </c>
      <c r="C652" s="1" t="s">
        <v>2442</v>
      </c>
      <c r="D652" s="1" t="s">
        <v>2443</v>
      </c>
      <c r="E652" s="2" t="s">
        <v>2444</v>
      </c>
      <c r="F652" s="2" t="s">
        <v>2445</v>
      </c>
      <c r="G652" s="2">
        <v>0</v>
      </c>
      <c r="H652" s="2">
        <v>0</v>
      </c>
      <c r="I652" s="1">
        <v>0</v>
      </c>
      <c r="J652" s="3" t="s">
        <v>207</v>
      </c>
      <c r="K652" s="2" t="str">
        <f>J652*2917.95</f>
        <v>0</v>
      </c>
      <c r="L652" s="5"/>
    </row>
    <row r="653" spans="1:12" customHeight="1" ht="105" outlineLevel="5">
      <c r="A653" s="1"/>
      <c r="B653" s="1">
        <v>884969</v>
      </c>
      <c r="C653" s="1" t="s">
        <v>2446</v>
      </c>
      <c r="D653" s="1" t="s">
        <v>2447</v>
      </c>
      <c r="E653" s="2" t="s">
        <v>2448</v>
      </c>
      <c r="F653" s="2" t="s">
        <v>2449</v>
      </c>
      <c r="G653" s="2">
        <v>0</v>
      </c>
      <c r="H653" s="2">
        <v>0</v>
      </c>
      <c r="I653" s="1">
        <v>0</v>
      </c>
      <c r="J653" s="3" t="s">
        <v>207</v>
      </c>
      <c r="K653" s="2" t="str">
        <f>J653*3711.75</f>
        <v>0</v>
      </c>
      <c r="L653" s="5"/>
    </row>
    <row r="654" spans="1:12" customHeight="1" ht="105" outlineLevel="5">
      <c r="A654" s="1"/>
      <c r="B654" s="1">
        <v>884970</v>
      </c>
      <c r="C654" s="1" t="s">
        <v>2450</v>
      </c>
      <c r="D654" s="1" t="s">
        <v>2451</v>
      </c>
      <c r="E654" s="2" t="s">
        <v>2452</v>
      </c>
      <c r="F654" s="2" t="s">
        <v>2453</v>
      </c>
      <c r="G654" s="2">
        <v>0</v>
      </c>
      <c r="H654" s="2">
        <v>0</v>
      </c>
      <c r="I654" s="1">
        <v>0</v>
      </c>
      <c r="J654" s="3" t="s">
        <v>207</v>
      </c>
      <c r="K654" s="2" t="str">
        <f>J654*1600.83</f>
        <v>0</v>
      </c>
      <c r="L654" s="5"/>
    </row>
    <row r="655" spans="1:12" customHeight="1" ht="105" outlineLevel="5">
      <c r="A655" s="1"/>
      <c r="B655" s="1">
        <v>884971</v>
      </c>
      <c r="C655" s="1" t="s">
        <v>2454</v>
      </c>
      <c r="D655" s="1" t="s">
        <v>2455</v>
      </c>
      <c r="E655" s="2" t="s">
        <v>2456</v>
      </c>
      <c r="F655" s="2" t="s">
        <v>2457</v>
      </c>
      <c r="G655" s="2">
        <v>0</v>
      </c>
      <c r="H655" s="2">
        <v>0</v>
      </c>
      <c r="I655" s="1">
        <v>0</v>
      </c>
      <c r="J655" s="3" t="s">
        <v>207</v>
      </c>
      <c r="K655" s="2" t="str">
        <f>J655*2618.07</f>
        <v>0</v>
      </c>
      <c r="L655" s="5"/>
    </row>
    <row r="656" spans="1:12" customHeight="1" ht="105" outlineLevel="5">
      <c r="A656" s="1"/>
      <c r="B656" s="1">
        <v>884972</v>
      </c>
      <c r="C656" s="1" t="s">
        <v>2458</v>
      </c>
      <c r="D656" s="1" t="s">
        <v>2459</v>
      </c>
      <c r="E656" s="2" t="s">
        <v>2460</v>
      </c>
      <c r="F656" s="2" t="s">
        <v>2461</v>
      </c>
      <c r="G656" s="2">
        <v>0</v>
      </c>
      <c r="H656" s="2">
        <v>0</v>
      </c>
      <c r="I656" s="1">
        <v>0</v>
      </c>
      <c r="J656" s="3" t="s">
        <v>207</v>
      </c>
      <c r="K656" s="2" t="str">
        <f>J656*3344.25</f>
        <v>0</v>
      </c>
      <c r="L656" s="5"/>
    </row>
    <row r="657" spans="1:12" customHeight="1" ht="105" outlineLevel="5">
      <c r="A657" s="1"/>
      <c r="B657" s="1">
        <v>884973</v>
      </c>
      <c r="C657" s="1" t="s">
        <v>2462</v>
      </c>
      <c r="D657" s="1" t="s">
        <v>2463</v>
      </c>
      <c r="E657" s="2" t="s">
        <v>2464</v>
      </c>
      <c r="F657" s="2" t="s">
        <v>2465</v>
      </c>
      <c r="G657" s="2">
        <v>0</v>
      </c>
      <c r="H657" s="2">
        <v>0</v>
      </c>
      <c r="I657" s="1">
        <v>0</v>
      </c>
      <c r="J657" s="3" t="s">
        <v>207</v>
      </c>
      <c r="K657" s="2" t="str">
        <f>J657*1605.24</f>
        <v>0</v>
      </c>
      <c r="L657" s="5"/>
    </row>
    <row r="658" spans="1:12" customHeight="1" ht="105" outlineLevel="5">
      <c r="A658" s="1"/>
      <c r="B658" s="1">
        <v>884974</v>
      </c>
      <c r="C658" s="1" t="s">
        <v>2466</v>
      </c>
      <c r="D658" s="1" t="s">
        <v>2467</v>
      </c>
      <c r="E658" s="2" t="s">
        <v>2468</v>
      </c>
      <c r="F658" s="2" t="s">
        <v>2469</v>
      </c>
      <c r="G658" s="2">
        <v>0</v>
      </c>
      <c r="H658" s="2">
        <v>0</v>
      </c>
      <c r="I658" s="1">
        <v>0</v>
      </c>
      <c r="J658" s="3" t="s">
        <v>207</v>
      </c>
      <c r="K658" s="2" t="str">
        <f>J658*2434.32</f>
        <v>0</v>
      </c>
      <c r="L658" s="5"/>
    </row>
    <row r="659" spans="1:12" customHeight="1" ht="105" outlineLevel="5">
      <c r="A659" s="1"/>
      <c r="B659" s="1">
        <v>884975</v>
      </c>
      <c r="C659" s="1" t="s">
        <v>2470</v>
      </c>
      <c r="D659" s="1" t="s">
        <v>2471</v>
      </c>
      <c r="E659" s="2" t="s">
        <v>2472</v>
      </c>
      <c r="F659" s="2" t="s">
        <v>2473</v>
      </c>
      <c r="G659" s="2">
        <v>0</v>
      </c>
      <c r="H659" s="2">
        <v>0</v>
      </c>
      <c r="I659" s="1">
        <v>0</v>
      </c>
      <c r="J659" s="3" t="s">
        <v>207</v>
      </c>
      <c r="K659" s="2" t="str">
        <f>J659*3150.21</f>
        <v>0</v>
      </c>
      <c r="L659" s="5"/>
    </row>
    <row r="660" spans="1:12" customHeight="1" ht="105" outlineLevel="5">
      <c r="A660" s="1"/>
      <c r="B660" s="1">
        <v>884976</v>
      </c>
      <c r="C660" s="1" t="s">
        <v>2474</v>
      </c>
      <c r="D660" s="1" t="s">
        <v>2475</v>
      </c>
      <c r="E660" s="2" t="s">
        <v>2476</v>
      </c>
      <c r="F660" s="2" t="s">
        <v>2477</v>
      </c>
      <c r="G660" s="2">
        <v>0</v>
      </c>
      <c r="H660" s="2">
        <v>0</v>
      </c>
      <c r="I660" s="1">
        <v>0</v>
      </c>
      <c r="J660" s="3" t="s">
        <v>207</v>
      </c>
      <c r="K660" s="2" t="str">
        <f>J660*3958.71</f>
        <v>0</v>
      </c>
      <c r="L660" s="5"/>
    </row>
    <row r="661" spans="1:12" customHeight="1" ht="105" outlineLevel="5">
      <c r="A661" s="1"/>
      <c r="B661" s="1">
        <v>884977</v>
      </c>
      <c r="C661" s="1" t="s">
        <v>2478</v>
      </c>
      <c r="D661" s="1" t="s">
        <v>2479</v>
      </c>
      <c r="E661" s="2" t="s">
        <v>2480</v>
      </c>
      <c r="F661" s="2" t="s">
        <v>2481</v>
      </c>
      <c r="G661" s="2">
        <v>0</v>
      </c>
      <c r="H661" s="2">
        <v>0</v>
      </c>
      <c r="I661" s="1">
        <v>0</v>
      </c>
      <c r="J661" s="3" t="s">
        <v>207</v>
      </c>
      <c r="K661" s="2" t="str">
        <f>J661*2306.43</f>
        <v>0</v>
      </c>
      <c r="L661" s="5"/>
    </row>
    <row r="662" spans="1:12" customHeight="1" ht="105" outlineLevel="5">
      <c r="A662" s="1"/>
      <c r="B662" s="1">
        <v>884978</v>
      </c>
      <c r="C662" s="1" t="s">
        <v>2482</v>
      </c>
      <c r="D662" s="1" t="s">
        <v>2483</v>
      </c>
      <c r="E662" s="2" t="s">
        <v>2484</v>
      </c>
      <c r="F662" s="2" t="s">
        <v>2485</v>
      </c>
      <c r="G662" s="2">
        <v>0</v>
      </c>
      <c r="H662" s="2">
        <v>0</v>
      </c>
      <c r="I662" s="1">
        <v>0</v>
      </c>
      <c r="J662" s="3" t="s">
        <v>207</v>
      </c>
      <c r="K662" s="2" t="str">
        <f>J662*2822.40</f>
        <v>0</v>
      </c>
      <c r="L662" s="5"/>
    </row>
    <row r="663" spans="1:12" customHeight="1" ht="105" outlineLevel="5">
      <c r="A663" s="1"/>
      <c r="B663" s="1">
        <v>884979</v>
      </c>
      <c r="C663" s="1" t="s">
        <v>2486</v>
      </c>
      <c r="D663" s="1" t="s">
        <v>2487</v>
      </c>
      <c r="E663" s="2" t="s">
        <v>2488</v>
      </c>
      <c r="F663" s="2" t="s">
        <v>2489</v>
      </c>
      <c r="G663" s="2">
        <v>0</v>
      </c>
      <c r="H663" s="2">
        <v>0</v>
      </c>
      <c r="I663" s="1">
        <v>0</v>
      </c>
      <c r="J663" s="3" t="s">
        <v>207</v>
      </c>
      <c r="K663" s="2" t="str">
        <f>J663*3739.68</f>
        <v>0</v>
      </c>
      <c r="L663" s="5"/>
    </row>
    <row r="664" spans="1:12" customHeight="1" ht="105" outlineLevel="5">
      <c r="A664" s="1"/>
      <c r="B664" s="1">
        <v>884980</v>
      </c>
      <c r="C664" s="1" t="s">
        <v>2490</v>
      </c>
      <c r="D664" s="1" t="s">
        <v>2491</v>
      </c>
      <c r="E664" s="2" t="s">
        <v>2492</v>
      </c>
      <c r="F664" s="2" t="s">
        <v>2493</v>
      </c>
      <c r="G664" s="2">
        <v>0</v>
      </c>
      <c r="H664" s="2">
        <v>0</v>
      </c>
      <c r="I664" s="1">
        <v>0</v>
      </c>
      <c r="J664" s="3" t="s">
        <v>207</v>
      </c>
      <c r="K664" s="2" t="str">
        <f>J664*4830.42</f>
        <v>0</v>
      </c>
      <c r="L664" s="5"/>
    </row>
    <row r="665" spans="1:12" customHeight="1" ht="105" outlineLevel="5">
      <c r="A665" s="1"/>
      <c r="B665" s="1">
        <v>884981</v>
      </c>
      <c r="C665" s="1" t="s">
        <v>2494</v>
      </c>
      <c r="D665" s="1" t="s">
        <v>2495</v>
      </c>
      <c r="E665" s="2" t="s">
        <v>2496</v>
      </c>
      <c r="F665" s="2" t="s">
        <v>2497</v>
      </c>
      <c r="G665" s="2">
        <v>0</v>
      </c>
      <c r="H665" s="2">
        <v>0</v>
      </c>
      <c r="I665" s="1">
        <v>0</v>
      </c>
      <c r="J665" s="3" t="s">
        <v>207</v>
      </c>
      <c r="K665" s="2" t="str">
        <f>J665*1528.80</f>
        <v>0</v>
      </c>
      <c r="L665" s="5"/>
    </row>
    <row r="666" spans="1:12" customHeight="1" ht="105" outlineLevel="5">
      <c r="A666" s="1"/>
      <c r="B666" s="1">
        <v>884982</v>
      </c>
      <c r="C666" s="1" t="s">
        <v>2498</v>
      </c>
      <c r="D666" s="1" t="s">
        <v>2499</v>
      </c>
      <c r="E666" s="2" t="s">
        <v>2500</v>
      </c>
      <c r="F666" s="2" t="s">
        <v>2501</v>
      </c>
      <c r="G666" s="2">
        <v>0</v>
      </c>
      <c r="H666" s="2">
        <v>0</v>
      </c>
      <c r="I666" s="1">
        <v>0</v>
      </c>
      <c r="J666" s="3" t="s">
        <v>207</v>
      </c>
      <c r="K666" s="2" t="str">
        <f>J666*2018.31</f>
        <v>0</v>
      </c>
      <c r="L666" s="5"/>
    </row>
    <row r="667" spans="1:12" customHeight="1" ht="105" outlineLevel="5">
      <c r="A667" s="1"/>
      <c r="B667" s="1">
        <v>884983</v>
      </c>
      <c r="C667" s="1" t="s">
        <v>2502</v>
      </c>
      <c r="D667" s="1" t="s">
        <v>2503</v>
      </c>
      <c r="E667" s="2" t="s">
        <v>2504</v>
      </c>
      <c r="F667" s="2" t="s">
        <v>2505</v>
      </c>
      <c r="G667" s="2">
        <v>0</v>
      </c>
      <c r="H667" s="2">
        <v>0</v>
      </c>
      <c r="I667" s="1">
        <v>0</v>
      </c>
      <c r="J667" s="3" t="s">
        <v>207</v>
      </c>
      <c r="K667" s="2" t="str">
        <f>J667*1603.77</f>
        <v>0</v>
      </c>
      <c r="L667" s="5"/>
    </row>
    <row r="668" spans="1:12" customHeight="1" ht="105" outlineLevel="5">
      <c r="A668" s="1"/>
      <c r="B668" s="1">
        <v>884984</v>
      </c>
      <c r="C668" s="1" t="s">
        <v>2506</v>
      </c>
      <c r="D668" s="1" t="s">
        <v>2507</v>
      </c>
      <c r="E668" s="2" t="s">
        <v>2508</v>
      </c>
      <c r="F668" s="2" t="s">
        <v>2509</v>
      </c>
      <c r="G668" s="2">
        <v>0</v>
      </c>
      <c r="H668" s="2">
        <v>0</v>
      </c>
      <c r="I668" s="1">
        <v>0</v>
      </c>
      <c r="J668" s="3" t="s">
        <v>207</v>
      </c>
      <c r="K668" s="2" t="str">
        <f>J668*3160.50</f>
        <v>0</v>
      </c>
      <c r="L668" s="5"/>
    </row>
    <row r="669" spans="1:12" customHeight="1" ht="105" outlineLevel="5">
      <c r="A669" s="1"/>
      <c r="B669" s="1">
        <v>884985</v>
      </c>
      <c r="C669" s="1" t="s">
        <v>2510</v>
      </c>
      <c r="D669" s="1" t="s">
        <v>2511</v>
      </c>
      <c r="E669" s="2" t="s">
        <v>2512</v>
      </c>
      <c r="F669" s="2" t="s">
        <v>2513</v>
      </c>
      <c r="G669" s="2">
        <v>0</v>
      </c>
      <c r="H669" s="2">
        <v>0</v>
      </c>
      <c r="I669" s="1">
        <v>0</v>
      </c>
      <c r="J669" s="3" t="s">
        <v>207</v>
      </c>
      <c r="K669" s="2" t="str">
        <f>J669*6181.35</f>
        <v>0</v>
      </c>
      <c r="L669" s="5"/>
    </row>
    <row r="670" spans="1:12" customHeight="1" ht="105" outlineLevel="5">
      <c r="A670" s="1"/>
      <c r="B670" s="1">
        <v>884986</v>
      </c>
      <c r="C670" s="1" t="s">
        <v>2514</v>
      </c>
      <c r="D670" s="1" t="s">
        <v>2515</v>
      </c>
      <c r="E670" s="2" t="s">
        <v>2516</v>
      </c>
      <c r="F670" s="2" t="s">
        <v>2517</v>
      </c>
      <c r="G670" s="2">
        <v>0</v>
      </c>
      <c r="H670" s="2">
        <v>0</v>
      </c>
      <c r="I670" s="1">
        <v>0</v>
      </c>
      <c r="J670" s="3" t="s">
        <v>207</v>
      </c>
      <c r="K670" s="2" t="str">
        <f>J670*6168.12</f>
        <v>0</v>
      </c>
      <c r="L670" s="5"/>
    </row>
    <row r="671" spans="1:12" customHeight="1" ht="105" outlineLevel="5">
      <c r="A671" s="1"/>
      <c r="B671" s="1">
        <v>884987</v>
      </c>
      <c r="C671" s="1" t="s">
        <v>2518</v>
      </c>
      <c r="D671" s="1" t="s">
        <v>2519</v>
      </c>
      <c r="E671" s="2" t="s">
        <v>2520</v>
      </c>
      <c r="F671" s="2" t="s">
        <v>2521</v>
      </c>
      <c r="G671" s="2">
        <v>0</v>
      </c>
      <c r="H671" s="2">
        <v>0</v>
      </c>
      <c r="I671" s="1">
        <v>0</v>
      </c>
      <c r="J671" s="3" t="s">
        <v>207</v>
      </c>
      <c r="K671" s="2" t="str">
        <f>J671*7125.09</f>
        <v>0</v>
      </c>
      <c r="L671" s="5"/>
    </row>
    <row r="672" spans="1:12" customHeight="1" ht="105" outlineLevel="5">
      <c r="A672" s="1"/>
      <c r="B672" s="1">
        <v>884988</v>
      </c>
      <c r="C672" s="1" t="s">
        <v>2522</v>
      </c>
      <c r="D672" s="1" t="s">
        <v>2523</v>
      </c>
      <c r="E672" s="2" t="s">
        <v>2524</v>
      </c>
      <c r="F672" s="2" t="s">
        <v>2525</v>
      </c>
      <c r="G672" s="2">
        <v>0</v>
      </c>
      <c r="H672" s="2">
        <v>0</v>
      </c>
      <c r="I672" s="1">
        <v>0</v>
      </c>
      <c r="J672" s="3" t="s">
        <v>207</v>
      </c>
      <c r="K672" s="2" t="str">
        <f>J672*7397.04</f>
        <v>0</v>
      </c>
      <c r="L672" s="5"/>
    </row>
    <row r="673" spans="1:12" customHeight="1" ht="105" outlineLevel="5">
      <c r="A673" s="1"/>
      <c r="B673" s="1">
        <v>884989</v>
      </c>
      <c r="C673" s="1" t="s">
        <v>2526</v>
      </c>
      <c r="D673" s="1" t="s">
        <v>2527</v>
      </c>
      <c r="E673" s="2" t="s">
        <v>2528</v>
      </c>
      <c r="F673" s="2" t="s">
        <v>2529</v>
      </c>
      <c r="G673" s="2">
        <v>0</v>
      </c>
      <c r="H673" s="2">
        <v>0</v>
      </c>
      <c r="I673" s="1">
        <v>0</v>
      </c>
      <c r="J673" s="3" t="s">
        <v>207</v>
      </c>
      <c r="K673" s="2" t="str">
        <f>J673*8664.18</f>
        <v>0</v>
      </c>
      <c r="L673" s="5"/>
    </row>
    <row r="674" spans="1:12" customHeight="1" ht="105" outlineLevel="5">
      <c r="A674" s="1"/>
      <c r="B674" s="1">
        <v>884730</v>
      </c>
      <c r="C674" s="1" t="s">
        <v>2530</v>
      </c>
      <c r="D674" s="1" t="s">
        <v>2531</v>
      </c>
      <c r="E674" s="2" t="s">
        <v>2532</v>
      </c>
      <c r="F674" s="2" t="s">
        <v>2533</v>
      </c>
      <c r="G674" s="2" t="s">
        <v>90</v>
      </c>
      <c r="H674" s="2">
        <v>0</v>
      </c>
      <c r="I674" s="1">
        <v>0</v>
      </c>
      <c r="J674" s="3" t="s">
        <v>207</v>
      </c>
      <c r="K674" s="2" t="str">
        <f>J674*16.17</f>
        <v>0</v>
      </c>
      <c r="L674" s="5"/>
    </row>
    <row r="675" spans="1:12" customHeight="1" ht="105" outlineLevel="5">
      <c r="A675" s="1"/>
      <c r="B675" s="1">
        <v>884731</v>
      </c>
      <c r="C675" s="1" t="s">
        <v>2534</v>
      </c>
      <c r="D675" s="1" t="s">
        <v>2535</v>
      </c>
      <c r="E675" s="2" t="s">
        <v>2536</v>
      </c>
      <c r="F675" s="2" t="s">
        <v>2537</v>
      </c>
      <c r="G675" s="2" t="s">
        <v>33</v>
      </c>
      <c r="H675" s="2">
        <v>0</v>
      </c>
      <c r="I675" s="1">
        <v>0</v>
      </c>
      <c r="J675" s="3" t="s">
        <v>207</v>
      </c>
      <c r="K675" s="2" t="str">
        <f>J675*22.05</f>
        <v>0</v>
      </c>
      <c r="L675" s="5"/>
    </row>
    <row r="676" spans="1:12" customHeight="1" ht="105" outlineLevel="5">
      <c r="A676" s="1"/>
      <c r="B676" s="1">
        <v>884732</v>
      </c>
      <c r="C676" s="1" t="s">
        <v>2538</v>
      </c>
      <c r="D676" s="1" t="s">
        <v>2539</v>
      </c>
      <c r="E676" s="2" t="s">
        <v>2540</v>
      </c>
      <c r="F676" s="2" t="s">
        <v>2541</v>
      </c>
      <c r="G676" s="2" t="s">
        <v>28</v>
      </c>
      <c r="H676" s="2">
        <v>0</v>
      </c>
      <c r="I676" s="1">
        <v>0</v>
      </c>
      <c r="J676" s="3" t="s">
        <v>207</v>
      </c>
      <c r="K676" s="2" t="str">
        <f>J676*194.04</f>
        <v>0</v>
      </c>
      <c r="L676" s="5"/>
    </row>
    <row r="677" spans="1:12" customHeight="1" ht="105" outlineLevel="5">
      <c r="A677" s="1"/>
      <c r="B677" s="1">
        <v>884733</v>
      </c>
      <c r="C677" s="1" t="s">
        <v>2542</v>
      </c>
      <c r="D677" s="1" t="s">
        <v>2543</v>
      </c>
      <c r="E677" s="2" t="s">
        <v>2544</v>
      </c>
      <c r="F677" s="2" t="s">
        <v>144</v>
      </c>
      <c r="G677" s="2">
        <v>8</v>
      </c>
      <c r="H677" s="2">
        <v>0</v>
      </c>
      <c r="I677" s="1">
        <v>0</v>
      </c>
      <c r="J677" s="3" t="s">
        <v>207</v>
      </c>
      <c r="K677" s="2" t="str">
        <f>J677*229.32</f>
        <v>0</v>
      </c>
      <c r="L677" s="5"/>
    </row>
    <row r="678" spans="1:12" customHeight="1" ht="105" outlineLevel="5">
      <c r="A678" s="1"/>
      <c r="B678" s="1">
        <v>884734</v>
      </c>
      <c r="C678" s="1" t="s">
        <v>2545</v>
      </c>
      <c r="D678" s="1" t="s">
        <v>2546</v>
      </c>
      <c r="E678" s="2" t="s">
        <v>2547</v>
      </c>
      <c r="F678" s="2" t="s">
        <v>64</v>
      </c>
      <c r="G678" s="2">
        <v>8</v>
      </c>
      <c r="H678" s="2">
        <v>0</v>
      </c>
      <c r="I678" s="1">
        <v>0</v>
      </c>
      <c r="J678" s="3" t="s">
        <v>207</v>
      </c>
      <c r="K678" s="2" t="str">
        <f>J678*346.92</f>
        <v>0</v>
      </c>
      <c r="L678" s="5"/>
    </row>
    <row r="679" spans="1:12" customHeight="1" ht="105" outlineLevel="5">
      <c r="A679" s="1"/>
      <c r="B679" s="1">
        <v>884735</v>
      </c>
      <c r="C679" s="1" t="s">
        <v>2548</v>
      </c>
      <c r="D679" s="1" t="s">
        <v>2549</v>
      </c>
      <c r="E679" s="2" t="s">
        <v>2550</v>
      </c>
      <c r="F679" s="2" t="s">
        <v>2551</v>
      </c>
      <c r="G679" s="2">
        <v>5</v>
      </c>
      <c r="H679" s="2">
        <v>0</v>
      </c>
      <c r="I679" s="1">
        <v>0</v>
      </c>
      <c r="J679" s="3" t="s">
        <v>207</v>
      </c>
      <c r="K679" s="2" t="str">
        <f>J679*455.70</f>
        <v>0</v>
      </c>
      <c r="L679" s="5"/>
    </row>
    <row r="680" spans="1:12" customHeight="1" ht="105" outlineLevel="5">
      <c r="A680" s="1"/>
      <c r="B680" s="1">
        <v>884736</v>
      </c>
      <c r="C680" s="1" t="s">
        <v>2552</v>
      </c>
      <c r="D680" s="1" t="s">
        <v>2553</v>
      </c>
      <c r="E680" s="2" t="s">
        <v>2554</v>
      </c>
      <c r="F680" s="2" t="s">
        <v>2555</v>
      </c>
      <c r="G680" s="2">
        <v>3</v>
      </c>
      <c r="H680" s="2">
        <v>0</v>
      </c>
      <c r="I680" s="1">
        <v>0</v>
      </c>
      <c r="J680" s="3" t="s">
        <v>207</v>
      </c>
      <c r="K680" s="2" t="str">
        <f>J680*602.70</f>
        <v>0</v>
      </c>
      <c r="L680" s="5"/>
    </row>
    <row r="681" spans="1:12" customHeight="1" ht="105" outlineLevel="5">
      <c r="A681" s="1"/>
      <c r="B681" s="1">
        <v>884737</v>
      </c>
      <c r="C681" s="1" t="s">
        <v>2556</v>
      </c>
      <c r="D681" s="1" t="s">
        <v>2557</v>
      </c>
      <c r="E681" s="2" t="s">
        <v>2558</v>
      </c>
      <c r="F681" s="2" t="s">
        <v>2559</v>
      </c>
      <c r="G681" s="2">
        <v>0</v>
      </c>
      <c r="H681" s="2">
        <v>0</v>
      </c>
      <c r="I681" s="1">
        <v>0</v>
      </c>
      <c r="J681" s="3" t="s">
        <v>207</v>
      </c>
      <c r="K681" s="2" t="str">
        <f>J681*4085.13</f>
        <v>0</v>
      </c>
      <c r="L681" s="5"/>
    </row>
    <row r="682" spans="1:12" customHeight="1" ht="105" outlineLevel="5">
      <c r="A682" s="1"/>
      <c r="B682" s="1">
        <v>884738</v>
      </c>
      <c r="C682" s="1" t="s">
        <v>2560</v>
      </c>
      <c r="D682" s="1" t="s">
        <v>2561</v>
      </c>
      <c r="E682" s="2" t="s">
        <v>2562</v>
      </c>
      <c r="F682" s="2" t="s">
        <v>2563</v>
      </c>
      <c r="G682" s="2">
        <v>0</v>
      </c>
      <c r="H682" s="2">
        <v>0</v>
      </c>
      <c r="I682" s="1">
        <v>0</v>
      </c>
      <c r="J682" s="3" t="s">
        <v>207</v>
      </c>
      <c r="K682" s="2" t="str">
        <f>J682*686.49</f>
        <v>0</v>
      </c>
      <c r="L682" s="5"/>
    </row>
    <row r="683" spans="1:12" customHeight="1" ht="105" outlineLevel="5">
      <c r="A683" s="1"/>
      <c r="B683" s="1">
        <v>884739</v>
      </c>
      <c r="C683" s="1" t="s">
        <v>2564</v>
      </c>
      <c r="D683" s="1" t="s">
        <v>2565</v>
      </c>
      <c r="E683" s="2" t="s">
        <v>2566</v>
      </c>
      <c r="F683" s="2" t="s">
        <v>1948</v>
      </c>
      <c r="G683" s="2" t="s">
        <v>28</v>
      </c>
      <c r="H683" s="2">
        <v>0</v>
      </c>
      <c r="I683" s="1">
        <v>0</v>
      </c>
      <c r="J683" s="3" t="s">
        <v>207</v>
      </c>
      <c r="K683" s="2" t="str">
        <f>J683*205.80</f>
        <v>0</v>
      </c>
      <c r="L683" s="5"/>
    </row>
    <row r="684" spans="1:12" customHeight="1" ht="105" outlineLevel="5">
      <c r="A684" s="1"/>
      <c r="B684" s="1">
        <v>884740</v>
      </c>
      <c r="C684" s="1" t="s">
        <v>2567</v>
      </c>
      <c r="D684" s="1" t="s">
        <v>2568</v>
      </c>
      <c r="E684" s="2" t="s">
        <v>2569</v>
      </c>
      <c r="F684" s="2" t="s">
        <v>2570</v>
      </c>
      <c r="G684" s="2" t="s">
        <v>28</v>
      </c>
      <c r="H684" s="2">
        <v>0</v>
      </c>
      <c r="I684" s="1">
        <v>0</v>
      </c>
      <c r="J684" s="3" t="s">
        <v>207</v>
      </c>
      <c r="K684" s="2" t="str">
        <f>J684*217.56</f>
        <v>0</v>
      </c>
      <c r="L684" s="5"/>
    </row>
    <row r="685" spans="1:12" customHeight="1" ht="105" outlineLevel="5">
      <c r="A685" s="1"/>
      <c r="B685" s="1">
        <v>884741</v>
      </c>
      <c r="C685" s="1" t="s">
        <v>2571</v>
      </c>
      <c r="D685" s="1" t="s">
        <v>2572</v>
      </c>
      <c r="E685" s="2" t="s">
        <v>2573</v>
      </c>
      <c r="F685" s="2" t="s">
        <v>206</v>
      </c>
      <c r="G685" s="2" t="s">
        <v>28</v>
      </c>
      <c r="H685" s="2">
        <v>0</v>
      </c>
      <c r="I685" s="1">
        <v>0</v>
      </c>
      <c r="J685" s="3" t="s">
        <v>207</v>
      </c>
      <c r="K685" s="2" t="str">
        <f>J685*246.96</f>
        <v>0</v>
      </c>
      <c r="L685" s="5"/>
    </row>
    <row r="686" spans="1:12" customHeight="1" ht="105" outlineLevel="5">
      <c r="A686" s="1"/>
      <c r="B686" s="1">
        <v>884742</v>
      </c>
      <c r="C686" s="1" t="s">
        <v>2574</v>
      </c>
      <c r="D686" s="1" t="s">
        <v>2575</v>
      </c>
      <c r="E686" s="2" t="s">
        <v>2576</v>
      </c>
      <c r="F686" s="2" t="s">
        <v>2577</v>
      </c>
      <c r="G686" s="2" t="s">
        <v>33</v>
      </c>
      <c r="H686" s="2">
        <v>0</v>
      </c>
      <c r="I686" s="1">
        <v>0</v>
      </c>
      <c r="J686" s="3" t="s">
        <v>207</v>
      </c>
      <c r="K686" s="2" t="str">
        <f>J686*285.18</f>
        <v>0</v>
      </c>
      <c r="L686" s="5"/>
    </row>
    <row r="687" spans="1:12" customHeight="1" ht="105" outlineLevel="5">
      <c r="A687" s="1"/>
      <c r="B687" s="1">
        <v>884743</v>
      </c>
      <c r="C687" s="1" t="s">
        <v>2578</v>
      </c>
      <c r="D687" s="1" t="s">
        <v>2579</v>
      </c>
      <c r="E687" s="2" t="s">
        <v>2580</v>
      </c>
      <c r="F687" s="2" t="s">
        <v>215</v>
      </c>
      <c r="G687" s="2" t="s">
        <v>28</v>
      </c>
      <c r="H687" s="2">
        <v>0</v>
      </c>
      <c r="I687" s="1">
        <v>0</v>
      </c>
      <c r="J687" s="3" t="s">
        <v>207</v>
      </c>
      <c r="K687" s="2" t="str">
        <f>J687*355.74</f>
        <v>0</v>
      </c>
      <c r="L687" s="5"/>
    </row>
    <row r="688" spans="1:12" customHeight="1" ht="105" outlineLevel="5">
      <c r="A688" s="1"/>
      <c r="B688" s="1">
        <v>884744</v>
      </c>
      <c r="C688" s="1" t="s">
        <v>2581</v>
      </c>
      <c r="D688" s="1" t="s">
        <v>2582</v>
      </c>
      <c r="E688" s="2" t="s">
        <v>2583</v>
      </c>
      <c r="F688" s="2" t="s">
        <v>2070</v>
      </c>
      <c r="G688" s="2" t="s">
        <v>28</v>
      </c>
      <c r="H688" s="2">
        <v>0</v>
      </c>
      <c r="I688" s="1">
        <v>0</v>
      </c>
      <c r="J688" s="3" t="s">
        <v>207</v>
      </c>
      <c r="K688" s="2" t="str">
        <f>J688*343.98</f>
        <v>0</v>
      </c>
      <c r="L688" s="5"/>
    </row>
    <row r="689" spans="1:12" customHeight="1" ht="105" outlineLevel="5">
      <c r="A689" s="1"/>
      <c r="B689" s="1">
        <v>884745</v>
      </c>
      <c r="C689" s="1" t="s">
        <v>2584</v>
      </c>
      <c r="D689" s="1" t="s">
        <v>2585</v>
      </c>
      <c r="E689" s="2" t="s">
        <v>2586</v>
      </c>
      <c r="F689" s="2" t="s">
        <v>1746</v>
      </c>
      <c r="G689" s="2" t="s">
        <v>33</v>
      </c>
      <c r="H689" s="2">
        <v>0</v>
      </c>
      <c r="I689" s="1">
        <v>0</v>
      </c>
      <c r="J689" s="3" t="s">
        <v>207</v>
      </c>
      <c r="K689" s="2" t="str">
        <f>J689*357.21</f>
        <v>0</v>
      </c>
      <c r="L689" s="5"/>
    </row>
    <row r="690" spans="1:12" customHeight="1" ht="105" outlineLevel="5">
      <c r="A690" s="1"/>
      <c r="B690" s="1">
        <v>884746</v>
      </c>
      <c r="C690" s="1" t="s">
        <v>2587</v>
      </c>
      <c r="D690" s="1" t="s">
        <v>2588</v>
      </c>
      <c r="E690" s="2" t="s">
        <v>2589</v>
      </c>
      <c r="F690" s="2" t="s">
        <v>1858</v>
      </c>
      <c r="G690" s="2" t="s">
        <v>33</v>
      </c>
      <c r="H690" s="2">
        <v>0</v>
      </c>
      <c r="I690" s="1">
        <v>0</v>
      </c>
      <c r="J690" s="3" t="s">
        <v>207</v>
      </c>
      <c r="K690" s="2" t="str">
        <f>J690*399.84</f>
        <v>0</v>
      </c>
      <c r="L690" s="5"/>
    </row>
    <row r="691" spans="1:12" customHeight="1" ht="105" outlineLevel="5">
      <c r="A691" s="1"/>
      <c r="B691" s="1">
        <v>884747</v>
      </c>
      <c r="C691" s="1" t="s">
        <v>2590</v>
      </c>
      <c r="D691" s="1" t="s">
        <v>2591</v>
      </c>
      <c r="E691" s="2" t="s">
        <v>2592</v>
      </c>
      <c r="F691" s="2" t="s">
        <v>2593</v>
      </c>
      <c r="G691" s="2">
        <v>9</v>
      </c>
      <c r="H691" s="2">
        <v>0</v>
      </c>
      <c r="I691" s="1">
        <v>0</v>
      </c>
      <c r="J691" s="3" t="s">
        <v>207</v>
      </c>
      <c r="K691" s="2" t="str">
        <f>J691*570.36</f>
        <v>0</v>
      </c>
      <c r="L691" s="5"/>
    </row>
    <row r="692" spans="1:12" customHeight="1" ht="105" outlineLevel="5">
      <c r="A692" s="1"/>
      <c r="B692" s="1">
        <v>884748</v>
      </c>
      <c r="C692" s="1" t="s">
        <v>2594</v>
      </c>
      <c r="D692" s="1" t="s">
        <v>2595</v>
      </c>
      <c r="E692" s="2" t="s">
        <v>2596</v>
      </c>
      <c r="F692" s="2" t="s">
        <v>2597</v>
      </c>
      <c r="G692" s="2">
        <v>6</v>
      </c>
      <c r="H692" s="2">
        <v>0</v>
      </c>
      <c r="I692" s="1">
        <v>0</v>
      </c>
      <c r="J692" s="3" t="s">
        <v>207</v>
      </c>
      <c r="K692" s="2" t="str">
        <f>J692*824.67</f>
        <v>0</v>
      </c>
      <c r="L692" s="5"/>
    </row>
    <row r="693" spans="1:12" customHeight="1" ht="105" outlineLevel="5">
      <c r="A693" s="1"/>
      <c r="B693" s="1">
        <v>884749</v>
      </c>
      <c r="C693" s="1" t="s">
        <v>2598</v>
      </c>
      <c r="D693" s="1" t="s">
        <v>2599</v>
      </c>
      <c r="E693" s="2" t="s">
        <v>2600</v>
      </c>
      <c r="F693" s="2" t="s">
        <v>2117</v>
      </c>
      <c r="G693" s="2">
        <v>4</v>
      </c>
      <c r="H693" s="2">
        <v>0</v>
      </c>
      <c r="I693" s="1">
        <v>0</v>
      </c>
      <c r="J693" s="3" t="s">
        <v>207</v>
      </c>
      <c r="K693" s="2" t="str">
        <f>J693*1093.68</f>
        <v>0</v>
      </c>
      <c r="L693" s="5"/>
    </row>
    <row r="694" spans="1:12" customHeight="1" ht="105" outlineLevel="5">
      <c r="A694" s="1"/>
      <c r="B694" s="1">
        <v>884750</v>
      </c>
      <c r="C694" s="1" t="s">
        <v>2601</v>
      </c>
      <c r="D694" s="1" t="s">
        <v>2602</v>
      </c>
      <c r="E694" s="2" t="s">
        <v>2603</v>
      </c>
      <c r="F694" s="2" t="s">
        <v>2604</v>
      </c>
      <c r="G694" s="2" t="s">
        <v>28</v>
      </c>
      <c r="H694" s="2">
        <v>0</v>
      </c>
      <c r="I694" s="1">
        <v>0</v>
      </c>
      <c r="J694" s="3" t="s">
        <v>207</v>
      </c>
      <c r="K694" s="2" t="str">
        <f>J694*198.45</f>
        <v>0</v>
      </c>
      <c r="L694" s="5"/>
    </row>
    <row r="695" spans="1:12" customHeight="1" ht="105" outlineLevel="5">
      <c r="A695" s="1"/>
      <c r="B695" s="1">
        <v>884751</v>
      </c>
      <c r="C695" s="1" t="s">
        <v>2605</v>
      </c>
      <c r="D695" s="1" t="s">
        <v>2606</v>
      </c>
      <c r="E695" s="2" t="s">
        <v>2607</v>
      </c>
      <c r="F695" s="2" t="s">
        <v>2608</v>
      </c>
      <c r="G695" s="2" t="s">
        <v>28</v>
      </c>
      <c r="H695" s="2">
        <v>0</v>
      </c>
      <c r="I695" s="1">
        <v>0</v>
      </c>
      <c r="J695" s="3" t="s">
        <v>207</v>
      </c>
      <c r="K695" s="2" t="str">
        <f>J695*211.68</f>
        <v>0</v>
      </c>
      <c r="L695" s="5"/>
    </row>
    <row r="696" spans="1:12" customHeight="1" ht="105" outlineLevel="5">
      <c r="A696" s="1"/>
      <c r="B696" s="1">
        <v>884752</v>
      </c>
      <c r="C696" s="1" t="s">
        <v>2609</v>
      </c>
      <c r="D696" s="1" t="s">
        <v>2610</v>
      </c>
      <c r="E696" s="2" t="s">
        <v>2611</v>
      </c>
      <c r="F696" s="2" t="s">
        <v>2015</v>
      </c>
      <c r="G696" s="2" t="s">
        <v>28</v>
      </c>
      <c r="H696" s="2">
        <v>0</v>
      </c>
      <c r="I696" s="1">
        <v>0</v>
      </c>
      <c r="J696" s="3" t="s">
        <v>207</v>
      </c>
      <c r="K696" s="2" t="str">
        <f>J696*232.26</f>
        <v>0</v>
      </c>
      <c r="L696" s="5"/>
    </row>
    <row r="697" spans="1:12" customHeight="1" ht="105" outlineLevel="5">
      <c r="A697" s="1"/>
      <c r="B697" s="1">
        <v>884753</v>
      </c>
      <c r="C697" s="1" t="s">
        <v>2612</v>
      </c>
      <c r="D697" s="1" t="s">
        <v>2613</v>
      </c>
      <c r="E697" s="2" t="s">
        <v>2614</v>
      </c>
      <c r="F697" s="2" t="s">
        <v>2615</v>
      </c>
      <c r="G697" s="2" t="s">
        <v>28</v>
      </c>
      <c r="H697" s="2">
        <v>0</v>
      </c>
      <c r="I697" s="1">
        <v>0</v>
      </c>
      <c r="J697" s="3" t="s">
        <v>207</v>
      </c>
      <c r="K697" s="2" t="str">
        <f>J697*276.36</f>
        <v>0</v>
      </c>
      <c r="L697" s="5"/>
    </row>
    <row r="698" spans="1:12" customHeight="1" ht="105" outlineLevel="5">
      <c r="A698" s="1"/>
      <c r="B698" s="1">
        <v>884754</v>
      </c>
      <c r="C698" s="1" t="s">
        <v>2616</v>
      </c>
      <c r="D698" s="1" t="s">
        <v>2617</v>
      </c>
      <c r="E698" s="2" t="s">
        <v>2618</v>
      </c>
      <c r="F698" s="2" t="s">
        <v>1817</v>
      </c>
      <c r="G698" s="2" t="s">
        <v>28</v>
      </c>
      <c r="H698" s="2">
        <v>0</v>
      </c>
      <c r="I698" s="1">
        <v>0</v>
      </c>
      <c r="J698" s="3" t="s">
        <v>207</v>
      </c>
      <c r="K698" s="2" t="str">
        <f>J698*345.45</f>
        <v>0</v>
      </c>
      <c r="L698" s="5"/>
    </row>
    <row r="699" spans="1:12" customHeight="1" ht="105" outlineLevel="5">
      <c r="A699" s="1"/>
      <c r="B699" s="1">
        <v>884755</v>
      </c>
      <c r="C699" s="1" t="s">
        <v>2619</v>
      </c>
      <c r="D699" s="1" t="s">
        <v>2620</v>
      </c>
      <c r="E699" s="2" t="s">
        <v>2621</v>
      </c>
      <c r="F699" s="2" t="s">
        <v>2193</v>
      </c>
      <c r="G699" s="2" t="s">
        <v>28</v>
      </c>
      <c r="H699" s="2">
        <v>0</v>
      </c>
      <c r="I699" s="1">
        <v>0</v>
      </c>
      <c r="J699" s="3" t="s">
        <v>207</v>
      </c>
      <c r="K699" s="2" t="str">
        <f>J699*333.69</f>
        <v>0</v>
      </c>
      <c r="L699" s="5"/>
    </row>
    <row r="700" spans="1:12" customHeight="1" ht="105" outlineLevel="5">
      <c r="A700" s="1"/>
      <c r="B700" s="1">
        <v>884756</v>
      </c>
      <c r="C700" s="1" t="s">
        <v>2622</v>
      </c>
      <c r="D700" s="1" t="s">
        <v>2623</v>
      </c>
      <c r="E700" s="2" t="s">
        <v>2624</v>
      </c>
      <c r="F700" s="2" t="s">
        <v>64</v>
      </c>
      <c r="G700" s="2" t="s">
        <v>28</v>
      </c>
      <c r="H700" s="2">
        <v>0</v>
      </c>
      <c r="I700" s="1">
        <v>0</v>
      </c>
      <c r="J700" s="3" t="s">
        <v>207</v>
      </c>
      <c r="K700" s="2" t="str">
        <f>J700*346.92</f>
        <v>0</v>
      </c>
      <c r="L700" s="5"/>
    </row>
    <row r="701" spans="1:12" customHeight="1" ht="105" outlineLevel="5">
      <c r="A701" s="1"/>
      <c r="B701" s="1">
        <v>884757</v>
      </c>
      <c r="C701" s="1" t="s">
        <v>2625</v>
      </c>
      <c r="D701" s="1" t="s">
        <v>2626</v>
      </c>
      <c r="E701" s="2" t="s">
        <v>2627</v>
      </c>
      <c r="F701" s="2" t="s">
        <v>2628</v>
      </c>
      <c r="G701" s="2" t="s">
        <v>28</v>
      </c>
      <c r="H701" s="2">
        <v>0</v>
      </c>
      <c r="I701" s="1">
        <v>0</v>
      </c>
      <c r="J701" s="3" t="s">
        <v>207</v>
      </c>
      <c r="K701" s="2" t="str">
        <f>J701*389.55</f>
        <v>0</v>
      </c>
      <c r="L701" s="5"/>
    </row>
    <row r="702" spans="1:12" customHeight="1" ht="105" outlineLevel="5">
      <c r="A702" s="1"/>
      <c r="B702" s="1">
        <v>884758</v>
      </c>
      <c r="C702" s="1" t="s">
        <v>2629</v>
      </c>
      <c r="D702" s="1" t="s">
        <v>2630</v>
      </c>
      <c r="E702" s="2" t="s">
        <v>2631</v>
      </c>
      <c r="F702" s="2" t="s">
        <v>1825</v>
      </c>
      <c r="G702" s="2">
        <v>6</v>
      </c>
      <c r="H702" s="2">
        <v>0</v>
      </c>
      <c r="I702" s="1">
        <v>0</v>
      </c>
      <c r="J702" s="3" t="s">
        <v>207</v>
      </c>
      <c r="K702" s="2" t="str">
        <f>J702*580.65</f>
        <v>0</v>
      </c>
      <c r="L702" s="5"/>
    </row>
    <row r="703" spans="1:12" customHeight="1" ht="105" outlineLevel="5">
      <c r="A703" s="1"/>
      <c r="B703" s="1">
        <v>884759</v>
      </c>
      <c r="C703" s="1" t="s">
        <v>2632</v>
      </c>
      <c r="D703" s="1" t="s">
        <v>2633</v>
      </c>
      <c r="E703" s="2" t="s">
        <v>2634</v>
      </c>
      <c r="F703" s="2" t="s">
        <v>2635</v>
      </c>
      <c r="G703" s="2">
        <v>6</v>
      </c>
      <c r="H703" s="2">
        <v>0</v>
      </c>
      <c r="I703" s="1">
        <v>0</v>
      </c>
      <c r="J703" s="3" t="s">
        <v>207</v>
      </c>
      <c r="K703" s="2" t="str">
        <f>J703*761.46</f>
        <v>0</v>
      </c>
      <c r="L703" s="5"/>
    </row>
    <row r="704" spans="1:12" customHeight="1" ht="105" outlineLevel="5">
      <c r="A704" s="1"/>
      <c r="B704" s="1">
        <v>884760</v>
      </c>
      <c r="C704" s="1" t="s">
        <v>2636</v>
      </c>
      <c r="D704" s="1" t="s">
        <v>2637</v>
      </c>
      <c r="E704" s="2" t="s">
        <v>2638</v>
      </c>
      <c r="F704" s="2" t="s">
        <v>2639</v>
      </c>
      <c r="G704" s="2">
        <v>4</v>
      </c>
      <c r="H704" s="2">
        <v>0</v>
      </c>
      <c r="I704" s="1">
        <v>0</v>
      </c>
      <c r="J704" s="3" t="s">
        <v>207</v>
      </c>
      <c r="K704" s="2" t="str">
        <f>J704*1101.03</f>
        <v>0</v>
      </c>
      <c r="L704" s="5"/>
    </row>
    <row r="705" spans="1:12" customHeight="1" ht="105" outlineLevel="5">
      <c r="A705" s="1"/>
      <c r="B705" s="1">
        <v>884761</v>
      </c>
      <c r="C705" s="1" t="s">
        <v>2640</v>
      </c>
      <c r="D705" s="1" t="s">
        <v>2641</v>
      </c>
      <c r="E705" s="2" t="s">
        <v>2642</v>
      </c>
      <c r="F705" s="2" t="s">
        <v>2643</v>
      </c>
      <c r="G705" s="2">
        <v>9</v>
      </c>
      <c r="H705" s="2">
        <v>0</v>
      </c>
      <c r="I705" s="1">
        <v>0</v>
      </c>
      <c r="J705" s="3" t="s">
        <v>207</v>
      </c>
      <c r="K705" s="2" t="str">
        <f>J705*111.72</f>
        <v>0</v>
      </c>
      <c r="L705" s="5"/>
    </row>
    <row r="706" spans="1:12" customHeight="1" ht="105" outlineLevel="5">
      <c r="A706" s="1"/>
      <c r="B706" s="1">
        <v>884762</v>
      </c>
      <c r="C706" s="1" t="s">
        <v>2644</v>
      </c>
      <c r="D706" s="1" t="s">
        <v>2645</v>
      </c>
      <c r="E706" s="2" t="s">
        <v>2646</v>
      </c>
      <c r="F706" s="2" t="s">
        <v>227</v>
      </c>
      <c r="G706" s="2">
        <v>10</v>
      </c>
      <c r="H706" s="2">
        <v>0</v>
      </c>
      <c r="I706" s="1">
        <v>0</v>
      </c>
      <c r="J706" s="3" t="s">
        <v>207</v>
      </c>
      <c r="K706" s="2" t="str">
        <f>J706*351.33</f>
        <v>0</v>
      </c>
      <c r="L706" s="5"/>
    </row>
    <row r="707" spans="1:12" customHeight="1" ht="105" outlineLevel="5">
      <c r="A707" s="1"/>
      <c r="B707" s="1">
        <v>886035</v>
      </c>
      <c r="C707" s="1" t="s">
        <v>2647</v>
      </c>
      <c r="D707" s="1" t="s">
        <v>2648</v>
      </c>
      <c r="E707" s="2" t="s">
        <v>2649</v>
      </c>
      <c r="F707" s="2" t="s">
        <v>2650</v>
      </c>
      <c r="G707" s="2">
        <v>2</v>
      </c>
      <c r="H707" s="2">
        <v>0</v>
      </c>
      <c r="I707" s="1">
        <v>0</v>
      </c>
      <c r="J707" s="3" t="s">
        <v>207</v>
      </c>
      <c r="K707" s="2" t="str">
        <f>J707*5400.78</f>
        <v>0</v>
      </c>
      <c r="L707" s="5"/>
    </row>
    <row r="708" spans="1:12" customHeight="1" ht="105" outlineLevel="5">
      <c r="A708" s="1"/>
      <c r="B708" s="1">
        <v>886036</v>
      </c>
      <c r="C708" s="1" t="s">
        <v>2651</v>
      </c>
      <c r="D708" s="1" t="s">
        <v>2652</v>
      </c>
      <c r="E708" s="2" t="s">
        <v>2653</v>
      </c>
      <c r="F708" s="2" t="s">
        <v>1738</v>
      </c>
      <c r="G708" s="2">
        <v>9</v>
      </c>
      <c r="H708" s="2">
        <v>0</v>
      </c>
      <c r="I708" s="1">
        <v>0</v>
      </c>
      <c r="J708" s="3" t="s">
        <v>207</v>
      </c>
      <c r="K708" s="2" t="str">
        <f>J708*254.31</f>
        <v>0</v>
      </c>
      <c r="L708" s="5"/>
    </row>
    <row r="709" spans="1:12" customHeight="1" ht="105" outlineLevel="5">
      <c r="A709" s="1"/>
      <c r="B709" s="1">
        <v>886037</v>
      </c>
      <c r="C709" s="1" t="s">
        <v>2654</v>
      </c>
      <c r="D709" s="1" t="s">
        <v>2655</v>
      </c>
      <c r="E709" s="2" t="s">
        <v>2656</v>
      </c>
      <c r="F709" s="2" t="s">
        <v>246</v>
      </c>
      <c r="G709" s="2">
        <v>9</v>
      </c>
      <c r="H709" s="2">
        <v>0</v>
      </c>
      <c r="I709" s="1">
        <v>0</v>
      </c>
      <c r="J709" s="3" t="s">
        <v>207</v>
      </c>
      <c r="K709" s="2" t="str">
        <f>J709*299.88</f>
        <v>0</v>
      </c>
      <c r="L709" s="5"/>
    </row>
    <row r="710" spans="1:12" customHeight="1" ht="105" outlineLevel="5">
      <c r="A710" s="1"/>
      <c r="B710" s="1">
        <v>886038</v>
      </c>
      <c r="C710" s="1" t="s">
        <v>2657</v>
      </c>
      <c r="D710" s="1" t="s">
        <v>2658</v>
      </c>
      <c r="E710" s="2" t="s">
        <v>2659</v>
      </c>
      <c r="F710" s="2" t="s">
        <v>2660</v>
      </c>
      <c r="G710" s="2">
        <v>10</v>
      </c>
      <c r="H710" s="2">
        <v>0</v>
      </c>
      <c r="I710" s="1">
        <v>0</v>
      </c>
      <c r="J710" s="3" t="s">
        <v>207</v>
      </c>
      <c r="K710" s="2" t="str">
        <f>J710*301.35</f>
        <v>0</v>
      </c>
      <c r="L710" s="5"/>
    </row>
    <row r="711" spans="1:12" customHeight="1" ht="105" outlineLevel="5">
      <c r="A711" s="1"/>
      <c r="B711" s="1">
        <v>886039</v>
      </c>
      <c r="C711" s="1" t="s">
        <v>2661</v>
      </c>
      <c r="D711" s="1" t="s">
        <v>2662</v>
      </c>
      <c r="E711" s="2" t="s">
        <v>2663</v>
      </c>
      <c r="F711" s="2" t="s">
        <v>2664</v>
      </c>
      <c r="G711" s="2">
        <v>6</v>
      </c>
      <c r="H711" s="2">
        <v>0</v>
      </c>
      <c r="I711" s="1">
        <v>0</v>
      </c>
      <c r="J711" s="3" t="s">
        <v>207</v>
      </c>
      <c r="K711" s="2" t="str">
        <f>J711*341.04</f>
        <v>0</v>
      </c>
      <c r="L711" s="5"/>
    </row>
    <row r="712" spans="1:12" customHeight="1" ht="105" outlineLevel="5">
      <c r="A712" s="1"/>
      <c r="B712" s="1">
        <v>886040</v>
      </c>
      <c r="C712" s="1" t="s">
        <v>2665</v>
      </c>
      <c r="D712" s="1" t="s">
        <v>2666</v>
      </c>
      <c r="E712" s="2" t="s">
        <v>2667</v>
      </c>
      <c r="F712" s="2" t="s">
        <v>2668</v>
      </c>
      <c r="G712" s="2">
        <v>7</v>
      </c>
      <c r="H712" s="2">
        <v>0</v>
      </c>
      <c r="I712" s="1">
        <v>0</v>
      </c>
      <c r="J712" s="3" t="s">
        <v>207</v>
      </c>
      <c r="K712" s="2" t="str">
        <f>J712*320.46</f>
        <v>0</v>
      </c>
      <c r="L712" s="5"/>
    </row>
    <row r="713" spans="1:12" customHeight="1" ht="105" outlineLevel="5">
      <c r="A713" s="1"/>
      <c r="B713" s="1">
        <v>886041</v>
      </c>
      <c r="C713" s="1" t="s">
        <v>2669</v>
      </c>
      <c r="D713" s="1" t="s">
        <v>2670</v>
      </c>
      <c r="E713" s="2" t="s">
        <v>2671</v>
      </c>
      <c r="F713" s="2" t="s">
        <v>2672</v>
      </c>
      <c r="G713" s="2">
        <v>8</v>
      </c>
      <c r="H713" s="2">
        <v>0</v>
      </c>
      <c r="I713" s="1">
        <v>0</v>
      </c>
      <c r="J713" s="3" t="s">
        <v>207</v>
      </c>
      <c r="K713" s="2" t="str">
        <f>J713*339.57</f>
        <v>0</v>
      </c>
      <c r="L713" s="5"/>
    </row>
    <row r="714" spans="1:12" customHeight="1" ht="105" outlineLevel="5">
      <c r="A714" s="1"/>
      <c r="B714" s="1">
        <v>886042</v>
      </c>
      <c r="C714" s="1" t="s">
        <v>2673</v>
      </c>
      <c r="D714" s="1" t="s">
        <v>2674</v>
      </c>
      <c r="E714" s="2" t="s">
        <v>2675</v>
      </c>
      <c r="F714" s="2" t="s">
        <v>2676</v>
      </c>
      <c r="G714" s="2">
        <v>7</v>
      </c>
      <c r="H714" s="2">
        <v>0</v>
      </c>
      <c r="I714" s="1">
        <v>0</v>
      </c>
      <c r="J714" s="3" t="s">
        <v>207</v>
      </c>
      <c r="K714" s="2" t="str">
        <f>J714*407.19</f>
        <v>0</v>
      </c>
      <c r="L714" s="5"/>
    </row>
    <row r="715" spans="1:12" customHeight="1" ht="105" outlineLevel="5">
      <c r="A715" s="1"/>
      <c r="B715" s="1">
        <v>886043</v>
      </c>
      <c r="C715" s="1" t="s">
        <v>2677</v>
      </c>
      <c r="D715" s="1" t="s">
        <v>2678</v>
      </c>
      <c r="E715" s="2" t="s">
        <v>2679</v>
      </c>
      <c r="F715" s="2" t="s">
        <v>305</v>
      </c>
      <c r="G715" s="2">
        <v>7</v>
      </c>
      <c r="H715" s="2">
        <v>0</v>
      </c>
      <c r="I715" s="1">
        <v>0</v>
      </c>
      <c r="J715" s="3" t="s">
        <v>207</v>
      </c>
      <c r="K715" s="2" t="str">
        <f>J715*408.66</f>
        <v>0</v>
      </c>
      <c r="L715" s="5"/>
    </row>
    <row r="716" spans="1:12" customHeight="1" ht="105" outlineLevel="5">
      <c r="A716" s="1"/>
      <c r="B716" s="1">
        <v>955732</v>
      </c>
      <c r="C716" s="1" t="s">
        <v>2680</v>
      </c>
      <c r="D716" s="1" t="s">
        <v>2681</v>
      </c>
      <c r="E716" s="2" t="s">
        <v>2682</v>
      </c>
      <c r="F716" s="2" t="s">
        <v>2683</v>
      </c>
      <c r="G716" s="2">
        <v>10</v>
      </c>
      <c r="H716" s="2">
        <v>0</v>
      </c>
      <c r="I716" s="1">
        <v>0</v>
      </c>
      <c r="J716" s="3" t="s">
        <v>207</v>
      </c>
      <c r="K716" s="2" t="str">
        <f>J716*1167.18</f>
        <v>0</v>
      </c>
      <c r="L716" s="5"/>
    </row>
    <row r="717" spans="1:12" customHeight="1" ht="105" outlineLevel="5">
      <c r="A717" s="1"/>
      <c r="B717" s="1">
        <v>955733</v>
      </c>
      <c r="C717" s="1" t="s">
        <v>2684</v>
      </c>
      <c r="D717" s="1" t="s">
        <v>2685</v>
      </c>
      <c r="E717" s="2" t="s">
        <v>2686</v>
      </c>
      <c r="F717" s="2" t="s">
        <v>2687</v>
      </c>
      <c r="G717" s="2">
        <v>0</v>
      </c>
      <c r="H717" s="2">
        <v>0</v>
      </c>
      <c r="I717" s="1">
        <v>0</v>
      </c>
      <c r="J717" s="3" t="s">
        <v>207</v>
      </c>
      <c r="K717" s="2" t="str">
        <f>J717*1296.54</f>
        <v>0</v>
      </c>
      <c r="L717" s="5"/>
    </row>
    <row r="718" spans="1:12" customHeight="1" ht="105" outlineLevel="5">
      <c r="A718" s="1"/>
      <c r="B718" s="1">
        <v>955734</v>
      </c>
      <c r="C718" s="1" t="s">
        <v>2688</v>
      </c>
      <c r="D718" s="1" t="s">
        <v>2689</v>
      </c>
      <c r="E718" s="2" t="s">
        <v>2690</v>
      </c>
      <c r="F718" s="2" t="s">
        <v>2691</v>
      </c>
      <c r="G718" s="2">
        <v>0</v>
      </c>
      <c r="H718" s="2">
        <v>0</v>
      </c>
      <c r="I718" s="1">
        <v>0</v>
      </c>
      <c r="J718" s="3" t="s">
        <v>207</v>
      </c>
      <c r="K718" s="2" t="str">
        <f>J718*1340.64</f>
        <v>0</v>
      </c>
      <c r="L718" s="5"/>
    </row>
    <row r="719" spans="1:12" customHeight="1" ht="105" outlineLevel="5">
      <c r="A719" s="1"/>
      <c r="B719" s="1">
        <v>955735</v>
      </c>
      <c r="C719" s="1" t="s">
        <v>2692</v>
      </c>
      <c r="D719" s="1" t="s">
        <v>2693</v>
      </c>
      <c r="E719" s="2" t="s">
        <v>2694</v>
      </c>
      <c r="F719" s="2" t="s">
        <v>2695</v>
      </c>
      <c r="G719" s="2">
        <v>0</v>
      </c>
      <c r="H719" s="2">
        <v>0</v>
      </c>
      <c r="I719" s="1">
        <v>0</v>
      </c>
      <c r="J719" s="3" t="s">
        <v>207</v>
      </c>
      <c r="K719" s="2" t="str">
        <f>J719*1644.93</f>
        <v>0</v>
      </c>
      <c r="L719" s="5"/>
    </row>
    <row r="720" spans="1:12" customHeight="1" ht="105" outlineLevel="5">
      <c r="A720" s="1"/>
      <c r="B720" s="1">
        <v>955736</v>
      </c>
      <c r="C720" s="1" t="s">
        <v>2696</v>
      </c>
      <c r="D720" s="1" t="s">
        <v>2697</v>
      </c>
      <c r="E720" s="2" t="s">
        <v>2698</v>
      </c>
      <c r="F720" s="2" t="s">
        <v>2699</v>
      </c>
      <c r="G720" s="2">
        <v>1</v>
      </c>
      <c r="H720" s="2">
        <v>0</v>
      </c>
      <c r="I720" s="1">
        <v>0</v>
      </c>
      <c r="J720" s="3" t="s">
        <v>207</v>
      </c>
      <c r="K720" s="2" t="str">
        <f>J720*1908.06</f>
        <v>0</v>
      </c>
      <c r="L720" s="5"/>
    </row>
    <row r="721" spans="1:12" customHeight="1" ht="105" outlineLevel="5">
      <c r="A721" s="1"/>
      <c r="B721" s="1">
        <v>955737</v>
      </c>
      <c r="C721" s="1" t="s">
        <v>2700</v>
      </c>
      <c r="D721" s="1" t="s">
        <v>2701</v>
      </c>
      <c r="E721" s="2" t="s">
        <v>2702</v>
      </c>
      <c r="F721" s="2" t="s">
        <v>2703</v>
      </c>
      <c r="G721" s="2">
        <v>5</v>
      </c>
      <c r="H721" s="2">
        <v>0</v>
      </c>
      <c r="I721" s="1">
        <v>0</v>
      </c>
      <c r="J721" s="3" t="s">
        <v>207</v>
      </c>
      <c r="K721" s="2" t="str">
        <f>J721*2516.64</f>
        <v>0</v>
      </c>
      <c r="L721" s="5"/>
    </row>
    <row r="722" spans="1:12" customHeight="1" ht="105" outlineLevel="5">
      <c r="A722" s="1"/>
      <c r="B722" s="1">
        <v>954104</v>
      </c>
      <c r="C722" s="1" t="s">
        <v>2704</v>
      </c>
      <c r="D722" s="1" t="s">
        <v>2705</v>
      </c>
      <c r="E722" s="2" t="s">
        <v>2706</v>
      </c>
      <c r="F722" s="2" t="s">
        <v>2030</v>
      </c>
      <c r="G722" s="2">
        <v>9</v>
      </c>
      <c r="H722" s="2">
        <v>0</v>
      </c>
      <c r="I722" s="1">
        <v>0</v>
      </c>
      <c r="J722" s="3" t="s">
        <v>207</v>
      </c>
      <c r="K722" s="2" t="str">
        <f>J722*286.65</f>
        <v>0</v>
      </c>
      <c r="L722" s="5"/>
    </row>
    <row r="723" spans="1:12" customHeight="1" ht="105" outlineLevel="5">
      <c r="A723" s="1"/>
      <c r="B723" s="1">
        <v>954105</v>
      </c>
      <c r="C723" s="1" t="s">
        <v>2707</v>
      </c>
      <c r="D723" s="1" t="s">
        <v>2708</v>
      </c>
      <c r="E723" s="2" t="s">
        <v>2709</v>
      </c>
      <c r="F723" s="2" t="s">
        <v>1750</v>
      </c>
      <c r="G723" s="2">
        <v>4</v>
      </c>
      <c r="H723" s="2">
        <v>0</v>
      </c>
      <c r="I723" s="1">
        <v>0</v>
      </c>
      <c r="J723" s="3" t="s">
        <v>207</v>
      </c>
      <c r="K723" s="2" t="str">
        <f>J723*482.16</f>
        <v>0</v>
      </c>
      <c r="L723" s="5"/>
    </row>
    <row r="724" spans="1:12" customHeight="1" ht="105" outlineLevel="5">
      <c r="A724" s="1"/>
      <c r="B724" s="1">
        <v>954106</v>
      </c>
      <c r="C724" s="1" t="s">
        <v>2710</v>
      </c>
      <c r="D724" s="1" t="s">
        <v>2711</v>
      </c>
      <c r="E724" s="2" t="s">
        <v>2712</v>
      </c>
      <c r="F724" s="2" t="s">
        <v>2713</v>
      </c>
      <c r="G724" s="2">
        <v>5</v>
      </c>
      <c r="H724" s="2">
        <v>0</v>
      </c>
      <c r="I724" s="1">
        <v>0</v>
      </c>
      <c r="J724" s="3" t="s">
        <v>207</v>
      </c>
      <c r="K724" s="2" t="str">
        <f>J724*329.28</f>
        <v>0</v>
      </c>
      <c r="L724" s="5"/>
    </row>
    <row r="725" spans="1:12" customHeight="1" ht="105" outlineLevel="5">
      <c r="A725" s="1"/>
      <c r="B725" s="1">
        <v>954107</v>
      </c>
      <c r="C725" s="1" t="s">
        <v>2714</v>
      </c>
      <c r="D725" s="1" t="s">
        <v>2715</v>
      </c>
      <c r="E725" s="2" t="s">
        <v>2716</v>
      </c>
      <c r="F725" s="2" t="s">
        <v>1742</v>
      </c>
      <c r="G725" s="2">
        <v>10</v>
      </c>
      <c r="H725" s="2">
        <v>0</v>
      </c>
      <c r="I725" s="1">
        <v>0</v>
      </c>
      <c r="J725" s="3" t="s">
        <v>207</v>
      </c>
      <c r="K725" s="2" t="str">
        <f>J725*318.99</f>
        <v>0</v>
      </c>
      <c r="L725" s="5"/>
    </row>
    <row r="726" spans="1:12" customHeight="1" ht="105" outlineLevel="5">
      <c r="A726" s="1"/>
      <c r="B726" s="1">
        <v>954108</v>
      </c>
      <c r="C726" s="1" t="s">
        <v>2717</v>
      </c>
      <c r="D726" s="1" t="s">
        <v>2718</v>
      </c>
      <c r="E726" s="2" t="s">
        <v>2719</v>
      </c>
      <c r="F726" s="2" t="s">
        <v>2720</v>
      </c>
      <c r="G726" s="2">
        <v>4</v>
      </c>
      <c r="H726" s="2">
        <v>0</v>
      </c>
      <c r="I726" s="1">
        <v>0</v>
      </c>
      <c r="J726" s="3" t="s">
        <v>207</v>
      </c>
      <c r="K726" s="2" t="str">
        <f>J726*589.47</f>
        <v>0</v>
      </c>
      <c r="L726" s="5"/>
    </row>
    <row r="727" spans="1:12" customHeight="1" ht="105" outlineLevel="5">
      <c r="A727" s="1"/>
      <c r="B727" s="1">
        <v>954109</v>
      </c>
      <c r="C727" s="1" t="s">
        <v>2721</v>
      </c>
      <c r="D727" s="1" t="s">
        <v>2722</v>
      </c>
      <c r="E727" s="2" t="s">
        <v>2723</v>
      </c>
      <c r="F727" s="2" t="s">
        <v>2724</v>
      </c>
      <c r="G727" s="2">
        <v>10</v>
      </c>
      <c r="H727" s="2">
        <v>0</v>
      </c>
      <c r="I727" s="1">
        <v>0</v>
      </c>
      <c r="J727" s="3" t="s">
        <v>207</v>
      </c>
      <c r="K727" s="2" t="str">
        <f>J727*292.53</f>
        <v>0</v>
      </c>
      <c r="L727" s="5"/>
    </row>
    <row r="728" spans="1:12" customHeight="1" ht="105" outlineLevel="5">
      <c r="A728" s="1"/>
      <c r="B728" s="1">
        <v>954110</v>
      </c>
      <c r="C728" s="1" t="s">
        <v>2725</v>
      </c>
      <c r="D728" s="1" t="s">
        <v>2726</v>
      </c>
      <c r="E728" s="2" t="s">
        <v>2727</v>
      </c>
      <c r="F728" s="2" t="s">
        <v>2728</v>
      </c>
      <c r="G728" s="2">
        <v>4</v>
      </c>
      <c r="H728" s="2">
        <v>0</v>
      </c>
      <c r="I728" s="1">
        <v>0</v>
      </c>
      <c r="J728" s="3" t="s">
        <v>207</v>
      </c>
      <c r="K728" s="2" t="str">
        <f>J728*571.83</f>
        <v>0</v>
      </c>
      <c r="L728" s="5"/>
    </row>
    <row r="729" spans="1:12" customHeight="1" ht="105" outlineLevel="5">
      <c r="A729" s="1"/>
      <c r="B729" s="1">
        <v>954111</v>
      </c>
      <c r="C729" s="1" t="s">
        <v>2729</v>
      </c>
      <c r="D729" s="1" t="s">
        <v>2730</v>
      </c>
      <c r="E729" s="2" t="s">
        <v>2731</v>
      </c>
      <c r="F729" s="2" t="s">
        <v>2732</v>
      </c>
      <c r="G729" s="2">
        <v>3</v>
      </c>
      <c r="H729" s="2">
        <v>0</v>
      </c>
      <c r="I729" s="1">
        <v>0</v>
      </c>
      <c r="J729" s="3" t="s">
        <v>207</v>
      </c>
      <c r="K729" s="2" t="str">
        <f>J729*388.08</f>
        <v>0</v>
      </c>
      <c r="L729" s="5"/>
    </row>
    <row r="730" spans="1:12" customHeight="1" ht="105" outlineLevel="5">
      <c r="A730" s="1"/>
      <c r="B730" s="1">
        <v>955838</v>
      </c>
      <c r="C730" s="1" t="s">
        <v>2733</v>
      </c>
      <c r="D730" s="1" t="s">
        <v>2734</v>
      </c>
      <c r="E730" s="2" t="s">
        <v>2735</v>
      </c>
      <c r="F730" s="2" t="s">
        <v>2736</v>
      </c>
      <c r="G730" s="2">
        <v>10</v>
      </c>
      <c r="H730" s="2">
        <v>0</v>
      </c>
      <c r="I730" s="1">
        <v>0</v>
      </c>
      <c r="J730" s="3" t="s">
        <v>207</v>
      </c>
      <c r="K730" s="2" t="str">
        <f>J730*364.56</f>
        <v>0</v>
      </c>
      <c r="L730" s="5"/>
    </row>
    <row r="731" spans="1:12" customHeight="1" ht="105" outlineLevel="5">
      <c r="A731" s="1"/>
      <c r="B731" s="1">
        <v>955839</v>
      </c>
      <c r="C731" s="1" t="s">
        <v>2737</v>
      </c>
      <c r="D731" s="1" t="s">
        <v>2738</v>
      </c>
      <c r="E731" s="2" t="s">
        <v>2739</v>
      </c>
      <c r="F731" s="2" t="s">
        <v>2157</v>
      </c>
      <c r="G731" s="2">
        <v>10</v>
      </c>
      <c r="H731" s="2">
        <v>0</v>
      </c>
      <c r="I731" s="1">
        <v>0</v>
      </c>
      <c r="J731" s="3" t="s">
        <v>207</v>
      </c>
      <c r="K731" s="2" t="str">
        <f>J731*413.07</f>
        <v>0</v>
      </c>
      <c r="L731" s="5"/>
    </row>
    <row r="732" spans="1:12" customHeight="1" ht="105" outlineLevel="5">
      <c r="A732" s="1"/>
      <c r="B732" s="1">
        <v>955840</v>
      </c>
      <c r="C732" s="1" t="s">
        <v>2740</v>
      </c>
      <c r="D732" s="1" t="s">
        <v>2741</v>
      </c>
      <c r="E732" s="2" t="s">
        <v>2742</v>
      </c>
      <c r="F732" s="2" t="s">
        <v>2743</v>
      </c>
      <c r="G732" s="2">
        <v>8</v>
      </c>
      <c r="H732" s="2">
        <v>0</v>
      </c>
      <c r="I732" s="1">
        <v>0</v>
      </c>
      <c r="J732" s="3" t="s">
        <v>207</v>
      </c>
      <c r="K732" s="2" t="str">
        <f>J732*532.14</f>
        <v>0</v>
      </c>
      <c r="L732" s="5"/>
    </row>
    <row r="733" spans="1:12" customHeight="1" ht="105" outlineLevel="5">
      <c r="A733" s="1"/>
      <c r="B733" s="1">
        <v>955841</v>
      </c>
      <c r="C733" s="1" t="s">
        <v>2744</v>
      </c>
      <c r="D733" s="1" t="s">
        <v>2745</v>
      </c>
      <c r="E733" s="2" t="s">
        <v>2746</v>
      </c>
      <c r="F733" s="2" t="s">
        <v>277</v>
      </c>
      <c r="G733" s="2">
        <v>6</v>
      </c>
      <c r="H733" s="2">
        <v>0</v>
      </c>
      <c r="I733" s="1">
        <v>0</v>
      </c>
      <c r="J733" s="3" t="s">
        <v>207</v>
      </c>
      <c r="K733" s="2" t="str">
        <f>J733*695.31</f>
        <v>0</v>
      </c>
      <c r="L733" s="5"/>
    </row>
    <row r="734" spans="1:12" customHeight="1" ht="105" outlineLevel="5">
      <c r="A734" s="1"/>
      <c r="B734" s="1">
        <v>955842</v>
      </c>
      <c r="C734" s="1" t="s">
        <v>2747</v>
      </c>
      <c r="D734" s="1" t="s">
        <v>2748</v>
      </c>
      <c r="E734" s="2" t="s">
        <v>2749</v>
      </c>
      <c r="F734" s="2" t="s">
        <v>2750</v>
      </c>
      <c r="G734" s="2">
        <v>0</v>
      </c>
      <c r="H734" s="2">
        <v>0</v>
      </c>
      <c r="I734" s="1">
        <v>0</v>
      </c>
      <c r="J734" s="3" t="s">
        <v>207</v>
      </c>
      <c r="K734" s="2" t="str">
        <f>J734*2177.07</f>
        <v>0</v>
      </c>
      <c r="L7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0:K60"/>
    <mergeCell ref="A4:K4"/>
    <mergeCell ref="A39:K39"/>
    <mergeCell ref="A61:K61"/>
    <mergeCell ref="A149:K149"/>
    <mergeCell ref="A5:K5"/>
    <mergeCell ref="A16:K16"/>
    <mergeCell ref="A30:K30"/>
    <mergeCell ref="A40:K40"/>
    <mergeCell ref="A47:K47"/>
    <mergeCell ref="A52:K52"/>
    <mergeCell ref="A62:K62"/>
    <mergeCell ref="A114:K114"/>
    <mergeCell ref="A146:K146"/>
    <mergeCell ref="A150:K150"/>
    <mergeCell ref="A460:K4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2026-06-15T21:14:56+03:00</dcterms:created>
  <dcterms:modified xsi:type="dcterms:W3CDTF">2026-06-15T21:14:56+03:00</dcterms:modified>
  <dc:title>Untitled Spreadsheet</dc:title>
  <dc:description/>
  <dc:subject/>
  <cp:keywords/>
  <cp:category/>
</cp:coreProperties>
</file>