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<sst xmlns="http://schemas.openxmlformats.org/spreadsheetml/2006/main" uniqueCount="994">
  <si>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</si>
  <si>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</si>
  <si>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</si>
  <si>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</si>
  <si>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</si>
  <si>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</si>
  <si>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</si>
  <si>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</si>
  <si>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</si>
  <si>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</si>
  <si>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</si>
  <si>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</si>
  <si>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VIEIR</t>
  </si>
  <si>
    <t>Смесители для ванны VIEIR (латунь)</t>
  </si>
  <si>
    <t>SMS-160001</t>
  </si>
  <si>
    <t>V113531</t>
  </si>
  <si>
    <t>Смеситель одноручковый для  ванны с коротким изливом VIEIR (1/10шт)</t>
  </si>
  <si>
    <t>7 815.80 руб.</t>
  </si>
  <si>
    <t>шт</t>
  </si>
  <si>
    <t>SMS-160002</t>
  </si>
  <si>
    <t>V093542</t>
  </si>
  <si>
    <t>Смеситель одноручковый для  ванны с длинным поворотным плоским изливом VIEIR (1/10шт)</t>
  </si>
  <si>
    <t>4 935.80 руб.</t>
  </si>
  <si>
    <t>SMS-160003</t>
  </si>
  <si>
    <t>V103542</t>
  </si>
  <si>
    <t>Смеситель одноручковый для ванны с длинным поворотным плоским изливом VIEIR (1/10шт)</t>
  </si>
  <si>
    <t>4 488.81 руб.</t>
  </si>
  <si>
    <t>SMS-160004</t>
  </si>
  <si>
    <t>V113541</t>
  </si>
  <si>
    <t>Смеситель одноручковый для  ванны с длинным повортным плоским изливом VIEIR (1/10шт)</t>
  </si>
  <si>
    <t>6 269.63 руб.</t>
  </si>
  <si>
    <t>SMS-160005</t>
  </si>
  <si>
    <t>V174041</t>
  </si>
  <si>
    <t>5 209.52 руб.</t>
  </si>
  <si>
    <t>SMS-160006</t>
  </si>
  <si>
    <t>V184041</t>
  </si>
  <si>
    <t>5 725.40 руб.</t>
  </si>
  <si>
    <t>SMS-160007</t>
  </si>
  <si>
    <t>V194041</t>
  </si>
  <si>
    <t>5 604.87 руб.</t>
  </si>
  <si>
    <t>SMS-160008</t>
  </si>
  <si>
    <t>V204041</t>
  </si>
  <si>
    <t>5 634.17 руб.</t>
  </si>
  <si>
    <t>SMS-160009</t>
  </si>
  <si>
    <t>V184012</t>
  </si>
  <si>
    <t>Смеситель одноручковый для умывальника VIEIR (1/10шт)</t>
  </si>
  <si>
    <t>2 522.95 руб.</t>
  </si>
  <si>
    <t>SMS-160010</t>
  </si>
  <si>
    <t>V103511</t>
  </si>
  <si>
    <t>2 515.85 руб.</t>
  </si>
  <si>
    <t>SMS-160011</t>
  </si>
  <si>
    <t>V093511</t>
  </si>
  <si>
    <t>2 966.51 руб.</t>
  </si>
  <si>
    <t>SMS-160012</t>
  </si>
  <si>
    <t>V174012</t>
  </si>
  <si>
    <t>2 313.45 руб.</t>
  </si>
  <si>
    <t>SMS-160013</t>
  </si>
  <si>
    <t>V194012</t>
  </si>
  <si>
    <t>2 341.83 руб.</t>
  </si>
  <si>
    <t>SMS-160014</t>
  </si>
  <si>
    <t>V204012</t>
  </si>
  <si>
    <t>2 722.71 руб.</t>
  </si>
  <si>
    <t>SMS-160015</t>
  </si>
  <si>
    <t>V013541</t>
  </si>
  <si>
    <t>6 345.13 руб.</t>
  </si>
  <si>
    <t>SMS-160016</t>
  </si>
  <si>
    <t>V023531</t>
  </si>
  <si>
    <t>6 236.60 руб.</t>
  </si>
  <si>
    <t>SMS-160017</t>
  </si>
  <si>
    <t>V023541</t>
  </si>
  <si>
    <t>6 084.03 руб.</t>
  </si>
  <si>
    <t>SMS-160018</t>
  </si>
  <si>
    <t>V033531</t>
  </si>
  <si>
    <t>5 912.58 руб.</t>
  </si>
  <si>
    <t>SMS-160019</t>
  </si>
  <si>
    <t>V053541</t>
  </si>
  <si>
    <t>6 340.41 руб.</t>
  </si>
  <si>
    <t>SMS-160020</t>
  </si>
  <si>
    <t>V073531</t>
  </si>
  <si>
    <t>5 270.05 руб.</t>
  </si>
  <si>
    <t>SMS-160021</t>
  </si>
  <si>
    <t>V073541</t>
  </si>
  <si>
    <t>5 213.30 руб.</t>
  </si>
  <si>
    <t>SMS-160022</t>
  </si>
  <si>
    <t>V083532</t>
  </si>
  <si>
    <t>9 724.82 руб.</t>
  </si>
  <si>
    <t>SMS-160023</t>
  </si>
  <si>
    <t>V243531</t>
  </si>
  <si>
    <t>6 058.86 руб.</t>
  </si>
  <si>
    <t>SMS-160024</t>
  </si>
  <si>
    <t>V243541</t>
  </si>
  <si>
    <t>6 652.83 руб.</t>
  </si>
  <si>
    <t>SMS-160025</t>
  </si>
  <si>
    <t>V093531</t>
  </si>
  <si>
    <t>Смеситель одноручковый для ванны с коротким поворотным плоским изливом VIEIR (1/5шт)</t>
  </si>
  <si>
    <t>5 734.84 руб.</t>
  </si>
  <si>
    <t>SMS-160026</t>
  </si>
  <si>
    <t>V093541</t>
  </si>
  <si>
    <t>Смеситель одноручковый для ванны с длинным поворотным плоским изливом VIEIR (1/5шт)</t>
  </si>
  <si>
    <t>5 799.33 руб.</t>
  </si>
  <si>
    <t>SMS-160027</t>
  </si>
  <si>
    <t>V130141</t>
  </si>
  <si>
    <t>Смеситель двуручковый для ванны с длинным поворотным круглым изливом VIEIR (1/5шт)</t>
  </si>
  <si>
    <t>5 042.76 руб.</t>
  </si>
  <si>
    <t>SMS-160028</t>
  </si>
  <si>
    <t>V013531</t>
  </si>
  <si>
    <t>6 481.97 руб.</t>
  </si>
  <si>
    <t>SMS-160029</t>
  </si>
  <si>
    <t>V033541</t>
  </si>
  <si>
    <t>6 047.85 руб.</t>
  </si>
  <si>
    <t>SMS-160030</t>
  </si>
  <si>
    <t>V043531</t>
  </si>
  <si>
    <t>6 412.77 руб.</t>
  </si>
  <si>
    <t>SMS-160031</t>
  </si>
  <si>
    <t>V043541</t>
  </si>
  <si>
    <t>6 257.05 руб.</t>
  </si>
  <si>
    <t>SMS-160032</t>
  </si>
  <si>
    <t>V063541</t>
  </si>
  <si>
    <t>5 009.73 руб.</t>
  </si>
  <si>
    <t>SMS-160033</t>
  </si>
  <si>
    <t>V103531</t>
  </si>
  <si>
    <t>Смеситель одноручковый для ванны с коротким поворотным плоским изливом VIEIR (1/10шт)</t>
  </si>
  <si>
    <t>4 708.24 руб.</t>
  </si>
  <si>
    <t>SMS-160034</t>
  </si>
  <si>
    <t>V103541</t>
  </si>
  <si>
    <t>4 780.12 руб.</t>
  </si>
  <si>
    <t>SMS-160035</t>
  </si>
  <si>
    <t>V120131</t>
  </si>
  <si>
    <t>Смеситель двуручковый для ванны с коротким поворотным круглым изливом VIEIR (1/10шт)</t>
  </si>
  <si>
    <t>5 273.98 руб.</t>
  </si>
  <si>
    <t>SMS-160036</t>
  </si>
  <si>
    <t>V120141</t>
  </si>
  <si>
    <t>Смеситель двуручковый для ванны с длинным поворотным круглым изливом VIEIR (1/10шт)</t>
  </si>
  <si>
    <t>5 209.49 руб.</t>
  </si>
  <si>
    <t>SMS-160037</t>
  </si>
  <si>
    <t>V120142</t>
  </si>
  <si>
    <t>Смеситель двуручковый для ванны с длинным поворотным плоским изливом VIEIR (1/10шт)</t>
  </si>
  <si>
    <t>5 244.09 руб.</t>
  </si>
  <si>
    <t>SMS-160038</t>
  </si>
  <si>
    <t>V120162</t>
  </si>
  <si>
    <t>Смеситель двуруч. для ванны с кор. пов. плоским изливом с душ.стойкой "тропический душ"  VIEIR (1/10</t>
  </si>
  <si>
    <t>13 467.28 руб.</t>
  </si>
  <si>
    <t>SMS-160039</t>
  </si>
  <si>
    <t>V130142</t>
  </si>
  <si>
    <t>5 091.52 руб.</t>
  </si>
  <si>
    <t>SMS-160040</t>
  </si>
  <si>
    <t>V150131</t>
  </si>
  <si>
    <t>Смеситель двуручковый для  ванны с коротким изливом VIEIR (1/10шт)</t>
  </si>
  <si>
    <t>6 043.13 руб.</t>
  </si>
  <si>
    <t>SMS-160041</t>
  </si>
  <si>
    <t>V150142</t>
  </si>
  <si>
    <t>5 876.40 руб.</t>
  </si>
  <si>
    <t>SMS-160042</t>
  </si>
  <si>
    <t>V130131</t>
  </si>
  <si>
    <t>Смеситель двуручковый для  ванны с коротким поворотным изливом VIEIR (1/10шт)</t>
  </si>
  <si>
    <t>5 269.26 руб.</t>
  </si>
  <si>
    <t>SMS-160043</t>
  </si>
  <si>
    <t>V023552</t>
  </si>
  <si>
    <t>Смеситель одноручковый с гигиеническим душем (метал лейка) VIEIR (1/10шт)</t>
  </si>
  <si>
    <t>5 240.95 руб.</t>
  </si>
  <si>
    <t>SMS-160044</t>
  </si>
  <si>
    <t>V023561</t>
  </si>
  <si>
    <t>Смеситель одноручковый для душа VIEIR (1/10шт)</t>
  </si>
  <si>
    <t>4 795.81 руб.</t>
  </si>
  <si>
    <t>SMS-160045</t>
  </si>
  <si>
    <t>V033552</t>
  </si>
  <si>
    <t>Смеситель одноручковый для биде VIEIR (1/10шт)</t>
  </si>
  <si>
    <t>5 225.22 руб.</t>
  </si>
  <si>
    <t>SMS-160046</t>
  </si>
  <si>
    <t>V073561</t>
  </si>
  <si>
    <t>4 773.79 руб.</t>
  </si>
  <si>
    <t>SMS-160047</t>
  </si>
  <si>
    <t>V243552</t>
  </si>
  <si>
    <t>Смеситель одноручковый скрытой установки с гигиеническим душем метал лейка VIEIR (1/10шт)</t>
  </si>
  <si>
    <t>6 130.74 руб.</t>
  </si>
  <si>
    <t>SMS-160048</t>
  </si>
  <si>
    <t>V033561</t>
  </si>
  <si>
    <t>4 556.73 руб.</t>
  </si>
  <si>
    <t>SMS-160049</t>
  </si>
  <si>
    <t>V043532</t>
  </si>
  <si>
    <t>Смеситель одноручковый для душа с плоским поворотным  изливом VIEIR (1/10шт)</t>
  </si>
  <si>
    <t>9 629.37 руб.</t>
  </si>
  <si>
    <t>SMS-160050</t>
  </si>
  <si>
    <t>V063561</t>
  </si>
  <si>
    <t>3 878.80 руб.</t>
  </si>
  <si>
    <t>SMS-160051</t>
  </si>
  <si>
    <t>V013511</t>
  </si>
  <si>
    <t>3 899.25 руб.</t>
  </si>
  <si>
    <t>SMS-160052</t>
  </si>
  <si>
    <t>V033512</t>
  </si>
  <si>
    <t>Смеситель одноручковый для умывальника с плоским поворотным средним изливом VIEIR (1/10шт)</t>
  </si>
  <si>
    <t>2 717.99 руб.</t>
  </si>
  <si>
    <t>SMS-160053</t>
  </si>
  <si>
    <t>V043511</t>
  </si>
  <si>
    <t>4 161.93 руб.</t>
  </si>
  <si>
    <t>SMS-160054</t>
  </si>
  <si>
    <t>V053511</t>
  </si>
  <si>
    <t>3 929.14 руб.</t>
  </si>
  <si>
    <t>SMS-160055</t>
  </si>
  <si>
    <t>V063511</t>
  </si>
  <si>
    <t>2 747.88 руб.</t>
  </si>
  <si>
    <t>SMS-160056</t>
  </si>
  <si>
    <t>V073511</t>
  </si>
  <si>
    <t>3 136.31 руб.</t>
  </si>
  <si>
    <t>SMS-160057</t>
  </si>
  <si>
    <t>V073512</t>
  </si>
  <si>
    <t>2 627.46 руб.</t>
  </si>
  <si>
    <t>SMS-160058</t>
  </si>
  <si>
    <t>V083511</t>
  </si>
  <si>
    <t>4 068.87 руб.</t>
  </si>
  <si>
    <t>SMS-160059</t>
  </si>
  <si>
    <t>V243522</t>
  </si>
  <si>
    <t>Смеситель одноручковый для умывальника с плоским поворотным длинным изливом VIEIR (1/10шт)</t>
  </si>
  <si>
    <t>2 598.45 руб.</t>
  </si>
  <si>
    <t>SMS-160060</t>
  </si>
  <si>
    <t>V113512</t>
  </si>
  <si>
    <t>4 481.23 руб.</t>
  </si>
  <si>
    <t>SMS-160061</t>
  </si>
  <si>
    <t>V023511</t>
  </si>
  <si>
    <t>3 715.22 руб.</t>
  </si>
  <si>
    <t>SMS-160062</t>
  </si>
  <si>
    <t>V033511</t>
  </si>
  <si>
    <t>3 737.24 руб.</t>
  </si>
  <si>
    <t>SMS-160063</t>
  </si>
  <si>
    <t>V063512</t>
  </si>
  <si>
    <t>2 263.42 руб.</t>
  </si>
  <si>
    <t>SMS-160064</t>
  </si>
  <si>
    <t>V113511</t>
  </si>
  <si>
    <t>Смеситель одноручковый для умывальника с плоским поворотным изливом VIEIR (1/10шт)</t>
  </si>
  <si>
    <t>3 792.29 руб.</t>
  </si>
  <si>
    <t>SMS-160065</t>
  </si>
  <si>
    <t>V113521</t>
  </si>
  <si>
    <t>4 001.49 руб.</t>
  </si>
  <si>
    <t>SMS-160066</t>
  </si>
  <si>
    <t>V120111</t>
  </si>
  <si>
    <t>Смеситель двуручковый для умывальника VIEIR (1/10шт)</t>
  </si>
  <si>
    <t>3 257.50 руб.</t>
  </si>
  <si>
    <t>SMS-160067</t>
  </si>
  <si>
    <t>V120112</t>
  </si>
  <si>
    <t>Смеситель двуручковый для умывальника средний поворотный излив VIEIR (1/10шт)</t>
  </si>
  <si>
    <t>3 432.10 руб.</t>
  </si>
  <si>
    <t>SMS-160068</t>
  </si>
  <si>
    <t>V150111</t>
  </si>
  <si>
    <t>3 690.05 руб.</t>
  </si>
  <si>
    <t>SMS-160069</t>
  </si>
  <si>
    <t>V243512</t>
  </si>
  <si>
    <t>2 689.88 руб.</t>
  </si>
  <si>
    <t>SMS-160070</t>
  </si>
  <si>
    <t>V130111</t>
  </si>
  <si>
    <t>3 260.65 руб.</t>
  </si>
  <si>
    <t>SMS-160104</t>
  </si>
  <si>
    <t>V263531C</t>
  </si>
  <si>
    <t>Смеситель для ванны “VIEIR  (10/1шт)  (10/1шт)</t>
  </si>
  <si>
    <t>5 656.19 руб.</t>
  </si>
  <si>
    <t>SMS-160118</t>
  </si>
  <si>
    <t>V273541</t>
  </si>
  <si>
    <t>Смеситель для ванны “VIEIR  (8/1шт)  (8/1шт)</t>
  </si>
  <si>
    <t>6 464.67 руб.</t>
  </si>
  <si>
    <t>SMS-160126</t>
  </si>
  <si>
    <t>V150141</t>
  </si>
  <si>
    <t>Смеситель для ванны, длинный с поворотным изливом 320мм   (10/1шт)</t>
  </si>
  <si>
    <t>5 841.80 руб.</t>
  </si>
  <si>
    <t>SMS-160127</t>
  </si>
  <si>
    <t>V233541</t>
  </si>
  <si>
    <t>5 874.83 руб.</t>
  </si>
  <si>
    <t>SMS-160130</t>
  </si>
  <si>
    <t>V140142</t>
  </si>
  <si>
    <t>Смеситель для ванны, с плоским длинным поворотным изливом 310мм   (10/1шт)</t>
  </si>
  <si>
    <t>SMS-160131</t>
  </si>
  <si>
    <t>V140143</t>
  </si>
  <si>
    <t>Смеситель для ванны, круглый, длинный с поворотным изливом 310мм   (10/1шт)</t>
  </si>
  <si>
    <t>5 977.07 руб.</t>
  </si>
  <si>
    <t>SMS-160132</t>
  </si>
  <si>
    <t>V043531C</t>
  </si>
  <si>
    <t>Смеситель для ванны, литой с коротким изливом (10/1шт)</t>
  </si>
  <si>
    <t>SMS-160143</t>
  </si>
  <si>
    <t>V333541</t>
  </si>
  <si>
    <t>Смеситель для ванны“VIEIR  (10/1шт)  (10/1шт)</t>
  </si>
  <si>
    <t>6 971.15 руб.</t>
  </si>
  <si>
    <t>SMS-160149</t>
  </si>
  <si>
    <t>V263511C</t>
  </si>
  <si>
    <t>Смеситель для раковины “VIEIR  (10/1шт)  (10/1шт)</t>
  </si>
  <si>
    <t>3 556.36 руб.</t>
  </si>
  <si>
    <t>SMS-160151</t>
  </si>
  <si>
    <t>V273511D</t>
  </si>
  <si>
    <t>5 280.27 руб.</t>
  </si>
  <si>
    <t>SMS-160161</t>
  </si>
  <si>
    <t>V293511CL</t>
  </si>
  <si>
    <t>4 753.34 руб.</t>
  </si>
  <si>
    <t>SMS-160162</t>
  </si>
  <si>
    <t>V293511FL</t>
  </si>
  <si>
    <t>SMS-160165</t>
  </si>
  <si>
    <t>V332511C</t>
  </si>
  <si>
    <t>3 716.79 руб.</t>
  </si>
  <si>
    <t>SMS-160500</t>
  </si>
  <si>
    <t>V313531</t>
  </si>
  <si>
    <t>Смеситель из нержавеющей стали для ванны “VIEIR  (8/1шт)  (8/1шт)</t>
  </si>
  <si>
    <t>5 782.03 руб.</t>
  </si>
  <si>
    <t>SMS-160501</t>
  </si>
  <si>
    <t>V313541</t>
  </si>
  <si>
    <t>5 604.29 руб.</t>
  </si>
  <si>
    <t>SMS-260018</t>
  </si>
  <si>
    <t>V243511</t>
  </si>
  <si>
    <t>Смеситель одноручковый для умывальника  VIEIR (1/10шт)</t>
  </si>
  <si>
    <t>4 089.68 руб.</t>
  </si>
  <si>
    <t>SMS-260166</t>
  </si>
  <si>
    <t>V15006G</t>
  </si>
  <si>
    <t>Смеситель для кухни с фильтром,  с гибким изливом (10/1шт)</t>
  </si>
  <si>
    <t>6 678.59 руб.</t>
  </si>
  <si>
    <t>VER-100083</t>
  </si>
  <si>
    <t>V210143</t>
  </si>
  <si>
    <t>Смеситель для ванны</t>
  </si>
  <si>
    <t>6 287.74 руб.</t>
  </si>
  <si>
    <t>VER-100103</t>
  </si>
  <si>
    <t>V273553D</t>
  </si>
  <si>
    <t>Смеситель для биде “VIEIR" (10/1шт)</t>
  </si>
  <si>
    <t>7 990.40 руб.</t>
  </si>
  <si>
    <t>VER-100129</t>
  </si>
  <si>
    <t>V333531C</t>
  </si>
  <si>
    <t>Смеситель для ванны“VIEIR" (10/1шт)</t>
  </si>
  <si>
    <t>5 495.76 руб.</t>
  </si>
  <si>
    <t>VER-100240</t>
  </si>
  <si>
    <t>V013552</t>
  </si>
  <si>
    <t>Смеситель для биде</t>
  </si>
  <si>
    <t>5 995.94 руб.</t>
  </si>
  <si>
    <t>Смесители для ванны SOLONE</t>
  </si>
  <si>
    <t>Смесители для ванны SOLONE (нерж сталь)</t>
  </si>
  <si>
    <t>SMS-180801</t>
  </si>
  <si>
    <t>EZA7-B090</t>
  </si>
  <si>
    <t>Смеситель для ванны с пов. изл, ø35, встр. дивертор, SOLONE S (1/8шт)</t>
  </si>
  <si>
    <t>3 481.19 руб.</t>
  </si>
  <si>
    <t>SMS-190020</t>
  </si>
  <si>
    <t>EZA1-B090</t>
  </si>
  <si>
    <t>см-ль для умывальника монолитный, ø35, нерж. cталь, EZA1-B090</t>
  </si>
  <si>
    <t>1 595.65 руб.</t>
  </si>
  <si>
    <t>SMS-190021</t>
  </si>
  <si>
    <t>EZA1-C090</t>
  </si>
  <si>
    <t>(В)смеситель Solone для раковины-чаши монолитный, ø35, нерж. cталь, EZA1-С090</t>
  </si>
  <si>
    <t>2 409.51 руб.</t>
  </si>
  <si>
    <t>SMS-190023</t>
  </si>
  <si>
    <t>JAT1-A094</t>
  </si>
  <si>
    <t>см-ль для умывальника монолитный, ø35, нерж. cталь, JAT1-A094</t>
  </si>
  <si>
    <t>1 901.65 руб.</t>
  </si>
  <si>
    <t>SMS-190024</t>
  </si>
  <si>
    <t>JAT1-B094</t>
  </si>
  <si>
    <t>(В)смеситель Solone для раковины-чаши, ø35, нерж. cталь, JAT1-B094</t>
  </si>
  <si>
    <t>2 607.78 руб.</t>
  </si>
  <si>
    <t>SMS-190025</t>
  </si>
  <si>
    <t>JAT3-A094</t>
  </si>
  <si>
    <t>см-ль для ванны с кор. с пов. изл, ø35, перекл. изливом, нерж. cталь, JAT3-A094</t>
  </si>
  <si>
    <t>3 522.08 руб.</t>
  </si>
  <si>
    <t>SMS-190026</t>
  </si>
  <si>
    <t>JAT7-A094</t>
  </si>
  <si>
    <t>см-ль для ванны, ø35, нерж. cталь, JAT7-A094</t>
  </si>
  <si>
    <t>4 570.15 руб.</t>
  </si>
  <si>
    <t>SMS-290062</t>
  </si>
  <si>
    <t>EZA5-D090</t>
  </si>
  <si>
    <t>см-ль для душа без излива, ø35, нерж. cталь, EZA5-D090</t>
  </si>
  <si>
    <t>2 813.45 руб.</t>
  </si>
  <si>
    <t>Смесители для ванны SOLONE (цинк)</t>
  </si>
  <si>
    <t>SMS-180797</t>
  </si>
  <si>
    <t>KAG-6010</t>
  </si>
  <si>
    <t>Смеситель для ванны, кер. карт. ⌀35, выносн. карт. дивертор, плоский излив, хром SOLONE Z (1/12шт)</t>
  </si>
  <si>
    <t>1 494.16 руб.</t>
  </si>
  <si>
    <t>&gt;50</t>
  </si>
  <si>
    <t>SMS-190001</t>
  </si>
  <si>
    <t>FAB1-A020</t>
  </si>
  <si>
    <t>см-ль для умывальника, кер. картридж ⌀25, крепление на гайке-втулке, хром FAB1-A020</t>
  </si>
  <si>
    <t>1 232.66 руб.</t>
  </si>
  <si>
    <t>&gt;25</t>
  </si>
  <si>
    <t>SMS-190002</t>
  </si>
  <si>
    <t>FAB5-A020</t>
  </si>
  <si>
    <t>(В)смеситель Solone для ванной, кер. картридж ⌀25, хром FAB5-A020</t>
  </si>
  <si>
    <t>1 949.40 руб.</t>
  </si>
  <si>
    <t>SMS-190003</t>
  </si>
  <si>
    <t>FAB6-A020</t>
  </si>
  <si>
    <t>см-ль для ванной, кер. картридж ⌀25, карт. дивертор, излив 350мм, хром FAB6-A020</t>
  </si>
  <si>
    <t>2 109.77 руб.</t>
  </si>
  <si>
    <t>SMS-190004</t>
  </si>
  <si>
    <t>FAB7-A020</t>
  </si>
  <si>
    <t>см-ль для ванной, кер. картридж ⌀25, встр. дивертор, излив 350мм, хром FAB7-A020</t>
  </si>
  <si>
    <t>2 119.69 руб.</t>
  </si>
  <si>
    <t>&gt;10</t>
  </si>
  <si>
    <t>SMS-190005</t>
  </si>
  <si>
    <t>SIT1-A182</t>
  </si>
  <si>
    <t>см-ль для умывальника, кер. картридж ⌀40, гайка кор., хром SIT1-A182</t>
  </si>
  <si>
    <t>1 781.48 руб.</t>
  </si>
  <si>
    <t>SMS-190007</t>
  </si>
  <si>
    <t>SIT5-A182</t>
  </si>
  <si>
    <t>см-ль для душ-кабины, кер. картридж ⌀40, хром SIT5-A182</t>
  </si>
  <si>
    <t>1 980.94 руб.</t>
  </si>
  <si>
    <t>SMS-190008</t>
  </si>
  <si>
    <t>SIT7-A182</t>
  </si>
  <si>
    <t>см-ль для ванной, картридж ⌀40 в корпусе, излив 350мм, хром (ИЗЛИВ ОТДЕЛЬНО ПОЛОЖИТЬ)</t>
  </si>
  <si>
    <t>3 199.98 руб.</t>
  </si>
  <si>
    <t>SMS-190009</t>
  </si>
  <si>
    <t>SIT1-A182YB</t>
  </si>
  <si>
    <t>(В)смеситель Solone для умывальника, кер. картридж ⌀40, гайка кор., черный SIT1-A182YB</t>
  </si>
  <si>
    <t>0.00 руб.</t>
  </si>
  <si>
    <t>SMS-190014</t>
  </si>
  <si>
    <t>LUN1-A031</t>
  </si>
  <si>
    <t>см-ль для умывальника, кер. картридж ⌀40, шпилька, хром LUN1-A031</t>
  </si>
  <si>
    <t>1 302.04 руб.</t>
  </si>
  <si>
    <t>SMS-190015</t>
  </si>
  <si>
    <t>LUN3-A031</t>
  </si>
  <si>
    <t>см-ль для ванной, кер. картридж ⌀40, клапанный пер. в корпусе, хром LUN3-A031</t>
  </si>
  <si>
    <t>2 221.28 руб.</t>
  </si>
  <si>
    <t>SMS-190016</t>
  </si>
  <si>
    <t>LUN5-A031</t>
  </si>
  <si>
    <t>см-ль для душ-кабины, кер. картридж ⌀40, хром LUN5-A031</t>
  </si>
  <si>
    <t>1 552.28 руб.</t>
  </si>
  <si>
    <t>SMS-190017</t>
  </si>
  <si>
    <t>LUN6-A031</t>
  </si>
  <si>
    <t>см-ль для ванной, кер. карт. ⌀40, выносн. карт. дивертор, излив 350мм, хром LUN6-A031</t>
  </si>
  <si>
    <t>2 372.42 руб.</t>
  </si>
  <si>
    <t>SMS-190018</t>
  </si>
  <si>
    <t>LUN7-A031</t>
  </si>
  <si>
    <t>см-ль для ванной, кер. картридж ⌀40, карт. пер. в корпусе, излив 350мм, хром LUN7-A031</t>
  </si>
  <si>
    <t>2 462.86 руб.</t>
  </si>
  <si>
    <t>SMS-190019</t>
  </si>
  <si>
    <t>SUP1-A045</t>
  </si>
  <si>
    <t>(В)смеситель Solone для умывальника, кер. картридж ⌀35, шпилька, хром SUP1-A045</t>
  </si>
  <si>
    <t>1 272.86 руб.</t>
  </si>
  <si>
    <t>SMS-190034</t>
  </si>
  <si>
    <t>JIK3-A102-A</t>
  </si>
  <si>
    <t>см-ль для ванной, шаровое переключение, кер. (1/2) 90° JIK3-A102-A</t>
  </si>
  <si>
    <t>1 634.06 руб.</t>
  </si>
  <si>
    <t>SMS-190035</t>
  </si>
  <si>
    <t>JIK5-A102-A</t>
  </si>
  <si>
    <t>см-ль для душ.кабины с шланг., кер.(1/2) 90° JIK5-A102-A</t>
  </si>
  <si>
    <t>1 300.80 руб.</t>
  </si>
  <si>
    <t>SMS-190036</t>
  </si>
  <si>
    <t>JIK7-A102-A</t>
  </si>
  <si>
    <t>см-ль для ванной длинный излив, шаровое переключение, кер. (1/2) 90° JIK7-A102-A</t>
  </si>
  <si>
    <t>1 538.66 руб.</t>
  </si>
  <si>
    <t>SMS-190050</t>
  </si>
  <si>
    <t>SITB3-A182</t>
  </si>
  <si>
    <t>см-ль для ванной, кер. картридж ⌀40, картриджный пер. в корпусе, хром SITB3-A182</t>
  </si>
  <si>
    <t>3 976.00 руб.</t>
  </si>
  <si>
    <t>Смесители для ванны SOLONE (ABS пластик)</t>
  </si>
  <si>
    <t>SMS-180749</t>
  </si>
  <si>
    <t>PLA-1101</t>
  </si>
  <si>
    <t>Смеситель ABS пластик для умывальника, картридж ø35, гайка, БЕЛЫЙ мат, БЕЗ подводки (1/30шт)</t>
  </si>
  <si>
    <t>966.55 руб.</t>
  </si>
  <si>
    <t>SMS-180750</t>
  </si>
  <si>
    <t>PLA-3101</t>
  </si>
  <si>
    <t>Смеситель ABS пластик для ванны кор. излив, картридж ø35, БЕЛЫЙ мат (1/24шт)</t>
  </si>
  <si>
    <t>1 669.45 руб.</t>
  </si>
  <si>
    <t>SMS-180752</t>
  </si>
  <si>
    <t>PLA-7101</t>
  </si>
  <si>
    <t>Смеситель ABS пластик для ванны длинный излив, картридж ø35, БЕЛЫЙ мат (1/24шт)</t>
  </si>
  <si>
    <t>1 633.60 руб.</t>
  </si>
  <si>
    <t>SMS-180753</t>
  </si>
  <si>
    <t>PLA-7201</t>
  </si>
  <si>
    <t>SMS-180754</t>
  </si>
  <si>
    <t>PLA-1102</t>
  </si>
  <si>
    <t>Смеситель ABS пластик для умывальника, картридж ø35, гайка, ХРОМ, БЕЗ подводки (1/30шт)</t>
  </si>
  <si>
    <t>1 074.10 руб.</t>
  </si>
  <si>
    <t>SMS-180755</t>
  </si>
  <si>
    <t>PLA-3102</t>
  </si>
  <si>
    <t>Смеситель ABS пластик для ванны кор. излив, картридж ø35, ХРОМ (1/24шт)</t>
  </si>
  <si>
    <t>1 770.49 руб.</t>
  </si>
  <si>
    <t>SMS-180757</t>
  </si>
  <si>
    <t>PLA-7102</t>
  </si>
  <si>
    <t>Смеситель ABS пластик для ванны длинный излив, картридж ø35, ХРОМ (1/24шт)</t>
  </si>
  <si>
    <t>1 734.64 руб.</t>
  </si>
  <si>
    <t>SMS-180758</t>
  </si>
  <si>
    <t>PLA-7202</t>
  </si>
  <si>
    <t>SMS-180760</t>
  </si>
  <si>
    <t>LAP7-B611</t>
  </si>
  <si>
    <t>Смеситель ABS пластик для ванны кор. излив, кер. (1/2) 180°, БЕЛЫЙ мат (1/24шт)</t>
  </si>
  <si>
    <t>1 396.04 руб.</t>
  </si>
  <si>
    <t>Смесители для ванны G.Lauf</t>
  </si>
  <si>
    <t>Смесители для ванны G.Lauf (латунь)</t>
  </si>
  <si>
    <t>SMS-180123</t>
  </si>
  <si>
    <t>LWZ7-A182</t>
  </si>
  <si>
    <t>смеситель G.Lauf для ванны с плоским пов. изливом (Lt), ø40 встр.перекл. LWZ7-A182 (1/6шт)</t>
  </si>
  <si>
    <t>4 339.72 руб.</t>
  </si>
  <si>
    <t>SMS-180124</t>
  </si>
  <si>
    <t>LWF1-A113</t>
  </si>
  <si>
    <t>смеситель G.Lauf для умывальника монолитный (Lt), ø35 шпилька LWF1-A113</t>
  </si>
  <si>
    <t>2 174.19 руб.</t>
  </si>
  <si>
    <t>SMS-180125</t>
  </si>
  <si>
    <t>LWF3-A113</t>
  </si>
  <si>
    <t>смеситель G.Lauf для ванны с монолитным изливом (Lt), ø35 встр. перекл. LWF3-A113</t>
  </si>
  <si>
    <t>3 826.83 руб.</t>
  </si>
  <si>
    <t>SMS-180127</t>
  </si>
  <si>
    <t>LWF7-A113</t>
  </si>
  <si>
    <t>смеситель G.Lauf для ванны с плоским пов. изливом (Lt), ø35 встр. перекл. LWF7-A113</t>
  </si>
  <si>
    <t>4 002.75 руб.</t>
  </si>
  <si>
    <t>SMS-180254</t>
  </si>
  <si>
    <t>QSL7-A827</t>
  </si>
  <si>
    <t>смеситель G.Lauf для ванны с плоским пов. изливом (Lt), кер. (1/2) 180°,  3х-поз. Карт. Перекл. QSL7</t>
  </si>
  <si>
    <t>4 103.10 руб.</t>
  </si>
  <si>
    <t>SMS-180262</t>
  </si>
  <si>
    <t>QST7-A827</t>
  </si>
  <si>
    <t>смеситель G.Lauf для ванны с плоский пов. изливом, кер. (1/2) 180°, двухпозиц. Карт. перекл.  (Lt) Q</t>
  </si>
  <si>
    <t>3 891.25 руб.</t>
  </si>
  <si>
    <t>SMS-180263</t>
  </si>
  <si>
    <t>QFU7-A827</t>
  </si>
  <si>
    <t>(В)смеситель для ванны с плоский пов. изливом, кер. (1/2) 180°, двухпозиц. Карт. перекл.  (Lt) QFU7-</t>
  </si>
  <si>
    <t>4 629.83 руб.</t>
  </si>
  <si>
    <t>SMS-180720</t>
  </si>
  <si>
    <t>ZOK1-A036YB</t>
  </si>
  <si>
    <t>см-ль для раковины  картридж 3 ступени ø35, цвет ХРОМ+ЧЕРНЫЙ мат,  гайка корона (1/10шт)</t>
  </si>
  <si>
    <t>3 261.91 руб.</t>
  </si>
  <si>
    <t>SMS-180722</t>
  </si>
  <si>
    <t>ZOK7-A036YB</t>
  </si>
  <si>
    <t>см-ль для ванны с длин плоским изливом, картридж 3 ступени ø35, цвет ХРОМ+ЧЕРНЫЙ мат (1/8шт)</t>
  </si>
  <si>
    <t>4 939.34 руб.</t>
  </si>
  <si>
    <t>SMS-180733</t>
  </si>
  <si>
    <t>ZOK7-A036PW</t>
  </si>
  <si>
    <t>см-ль для ванны с длин плоским изливом, картридж 3 ступени ø35, цвет ХРОМ+БЕЛЫЙ мат (1/10шт)</t>
  </si>
  <si>
    <t>SMS-180777</t>
  </si>
  <si>
    <t>GBS1-A279</t>
  </si>
  <si>
    <t>Смеситель для умывальника монолитный, ø35, верхнее крепление,  G.Lauf Lt (1/10шт)</t>
  </si>
  <si>
    <t>3 364.96 руб.</t>
  </si>
  <si>
    <t>SMS-180778</t>
  </si>
  <si>
    <t>GBS1-C279</t>
  </si>
  <si>
    <t>Смеситель для умывальника монолитный, ВЫСОКИЙ, ø35, верхнее крепление,  G.Lauf Lt (1/10шт)</t>
  </si>
  <si>
    <t>5 058.59 руб.</t>
  </si>
  <si>
    <t>SMS-180779</t>
  </si>
  <si>
    <t>GBS3-A279</t>
  </si>
  <si>
    <t>Cмеситель для ванны монолитный, ø35, встр. переключение, G.Lauf Lt (1/6шт)</t>
  </si>
  <si>
    <t>5 665.68 руб.</t>
  </si>
  <si>
    <t>SMS-180780</t>
  </si>
  <si>
    <t>GBS7-A279</t>
  </si>
  <si>
    <t>Смеситель для ванны с плоским пов. изливом, ø35, встр. картридж. переключение, G.Lauf Lt  (1/10шт)</t>
  </si>
  <si>
    <t>5 856.46 руб.</t>
  </si>
  <si>
    <t>Смесители для ванны G.Lauf (нерж сталь)</t>
  </si>
  <si>
    <t>SMS-180188</t>
  </si>
  <si>
    <t>ZAP1-A090</t>
  </si>
  <si>
    <t>смеситель G.Lauf для умывальника с пов. изл, ø35, нерж. Сталь, гайка ZAP1-A090</t>
  </si>
  <si>
    <t>2 088.71 руб.</t>
  </si>
  <si>
    <t>SMS-180189</t>
  </si>
  <si>
    <t>ZAP1-B090</t>
  </si>
  <si>
    <t>смеситель G.Lauf для умывальника с пов. изл, ø35, нерж. Сталь, гайка ZAP1-B090</t>
  </si>
  <si>
    <t>1 615.47 руб.</t>
  </si>
  <si>
    <t>SMS-180192</t>
  </si>
  <si>
    <t>ZAP3-A090</t>
  </si>
  <si>
    <t>смеситель G.Lauf для ванны с кор. пов. изл, ø35, нерж. сталь,  ZAP3-A090</t>
  </si>
  <si>
    <t>4 255.48 руб.</t>
  </si>
  <si>
    <t>SMS-180426</t>
  </si>
  <si>
    <t>GOF1-B095</t>
  </si>
  <si>
    <t>- Смеситель для раковины-чаши, кер. картридж ⌀35, крепление на гайке-втулке, нерж. сталь, GOF1-B095</t>
  </si>
  <si>
    <t>2 592.93 руб.</t>
  </si>
  <si>
    <t>SMS-180614</t>
  </si>
  <si>
    <t>ZAP7-A090</t>
  </si>
  <si>
    <t>смеситель для ванны с пов. изл, ø35, встр. Пер. нерж. сталь,  ZAP7-A090</t>
  </si>
  <si>
    <t>4 727.49 руб.</t>
  </si>
  <si>
    <t>Смесители для ванны G.Lauf (цинк)</t>
  </si>
  <si>
    <t>SMS-180001</t>
  </si>
  <si>
    <t>NUD1-A045</t>
  </si>
  <si>
    <t>смеситель G.Lauf для умывальника монолитный, ø35, гайка(корона) NUD1-A045</t>
  </si>
  <si>
    <t>2 103.86 руб.</t>
  </si>
  <si>
    <t>SMS-180002</t>
  </si>
  <si>
    <t>NUD1-A146</t>
  </si>
  <si>
    <t>смеситель G.Lauf для умывальника монолитный, ø35, гайка(корона) NUD1-A146</t>
  </si>
  <si>
    <t>SMS-180003</t>
  </si>
  <si>
    <t>NUD2-A045</t>
  </si>
  <si>
    <t>(В)смеситель для биде, ø35, гайка(корона) NUD2-A045</t>
  </si>
  <si>
    <t>SMS-180004</t>
  </si>
  <si>
    <t>NUD2-A146</t>
  </si>
  <si>
    <t>(В)смеситель для биде, ø35, гайка(корона) NUD2-A146</t>
  </si>
  <si>
    <t>SMS-180005</t>
  </si>
  <si>
    <t>NUD3-A045</t>
  </si>
  <si>
    <t>смеситель G.Lauf для ванны с литым пов. изливом 150мм, ø35, встр. переключение NUD3-A045</t>
  </si>
  <si>
    <t>3 259.44 руб.</t>
  </si>
  <si>
    <t>SMS-180006</t>
  </si>
  <si>
    <t>NUD3-A146</t>
  </si>
  <si>
    <t>(В)смеситель для ванны с литым пов. изливом 150мм, ø35, встр. переключение NUD3-A146</t>
  </si>
  <si>
    <t>SMS-180009</t>
  </si>
  <si>
    <t>NUD5-A045</t>
  </si>
  <si>
    <t>смеситель G.Lauf для душа,  ø35 NUD5-A045</t>
  </si>
  <si>
    <t>2 222.77 руб.</t>
  </si>
  <si>
    <t>SMS-180010</t>
  </si>
  <si>
    <t>NUD5-A146</t>
  </si>
  <si>
    <t>(В)смеситель для душа,  ø35 NUD5-A146</t>
  </si>
  <si>
    <t>SMS-180011</t>
  </si>
  <si>
    <t>NUD6-A045</t>
  </si>
  <si>
    <t>смеситель G.Lauf для ванны с плоским пов. изливом, ø35, выносной дивертор NUD6-A045</t>
  </si>
  <si>
    <t>3 042.64 руб.</t>
  </si>
  <si>
    <t>SMS-180012</t>
  </si>
  <si>
    <t>NUD6-A146</t>
  </si>
  <si>
    <t>(В)смеситель для ванны с плоским пов. изливом, ø35, выносной дивертор NUD6-A146</t>
  </si>
  <si>
    <t>3 717.19 руб.</t>
  </si>
  <si>
    <t>SMS-180013</t>
  </si>
  <si>
    <t>NUD7-A045</t>
  </si>
  <si>
    <t>смеситель G.Lauf для ванны с плоским пов. изливом, ø35, встр. переключение NUD7-A045</t>
  </si>
  <si>
    <t>3 038.28 руб.</t>
  </si>
  <si>
    <t>SMS-180014</t>
  </si>
  <si>
    <t>NUD7-A146</t>
  </si>
  <si>
    <t>смеситель G.Lauf для ванны с плоским пов. изливом, ø35, встр. переключение NUD7-A146</t>
  </si>
  <si>
    <t>SMS-180015</t>
  </si>
  <si>
    <t>NUD1-A045KH</t>
  </si>
  <si>
    <t>(В)смеситель для умывальника монолитный, ø35, гайка(корона), сатин NUD1-A045KH</t>
  </si>
  <si>
    <t>3 355.27 руб.</t>
  </si>
  <si>
    <t>SMS-180016</t>
  </si>
  <si>
    <t>NUD1-A045KT</t>
  </si>
  <si>
    <t>(В)смеситель для умывальника монолитный, ø35, гайка(корона), бронза NUD1-A045KT</t>
  </si>
  <si>
    <t>SMS-180018</t>
  </si>
  <si>
    <t>NUD3-A045KT</t>
  </si>
  <si>
    <t>(В)смеситель для ванны с литым пов. изливом 150мм, ø35, встр. переключение, бронза NUD3-A045KT</t>
  </si>
  <si>
    <t>5 886.44 руб.</t>
  </si>
  <si>
    <t>SMS-180021</t>
  </si>
  <si>
    <t>NUD5-A045KT</t>
  </si>
  <si>
    <t>(В)смеситель для душа,  ø35 бронза NUD5-A045KT</t>
  </si>
  <si>
    <t>SMS-180022</t>
  </si>
  <si>
    <t>NUD7-A045KH</t>
  </si>
  <si>
    <t>(В)смеситель для ванны с плоским пов. изливом, ø35, встр. переключение, сатин NUD7-A045KH</t>
  </si>
  <si>
    <t>6 203.54 руб.</t>
  </si>
  <si>
    <t>SMS-180023</t>
  </si>
  <si>
    <t>NUD7-A045KT</t>
  </si>
  <si>
    <t>(В)смеситель для ванны с плоским пов. изливом, ø35, встр. переключение, бронза NUD7-A045KT</t>
  </si>
  <si>
    <t>SMS-180024</t>
  </si>
  <si>
    <t>NUD1-A045YB</t>
  </si>
  <si>
    <t>смеситель G.Lauf для умывальника монолитный, ø35, гайка(корона), черный NUD1-A045YB</t>
  </si>
  <si>
    <t>2 315.09 руб.</t>
  </si>
  <si>
    <t>SMS-180025</t>
  </si>
  <si>
    <t>NUD3-A045YB</t>
  </si>
  <si>
    <t>(В)смеситель для ванны с литым пов. изливом 150мм, ø35, встр. переключение, черный NUD3-A045YB</t>
  </si>
  <si>
    <t>SMS-180027</t>
  </si>
  <si>
    <t>NUD7-A045YB</t>
  </si>
  <si>
    <t>смеситель G.Lauf для ванны с плоским пов. изливом, ø35, встр. переключение, черный NUD7-A045YB</t>
  </si>
  <si>
    <t>3 085.52 руб.</t>
  </si>
  <si>
    <t>SMS-180028</t>
  </si>
  <si>
    <t>NUD1-A045YW</t>
  </si>
  <si>
    <t>смеситель G.Lauf для умывальника монолитный, ø35, гайка(корона), белый NUD1-A045YW</t>
  </si>
  <si>
    <t>SMS-180029</t>
  </si>
  <si>
    <t>NUD3-A045YW</t>
  </si>
  <si>
    <t>(В)смеситель для ванны с литым пов. изливом 150мм, ø35, встр. переключение, белый NUD3-A045YW</t>
  </si>
  <si>
    <t>SMS-180031</t>
  </si>
  <si>
    <t>NUD7-A045YW</t>
  </si>
  <si>
    <t>смеситель G.Lauf для ванны с плоским пов. изливом, ø35, встр. переключение, белый NUD7-A045YW</t>
  </si>
  <si>
    <t>SMS-180032</t>
  </si>
  <si>
    <t>ZOP1-A045</t>
  </si>
  <si>
    <t>смеситель G.Lauf для умывальника с пов. изливом, ø35, гайка(корона) ZOP1-A045</t>
  </si>
  <si>
    <t>1 987.13 руб.</t>
  </si>
  <si>
    <t>SMS-180044</t>
  </si>
  <si>
    <t>NEB1-A123</t>
  </si>
  <si>
    <t>смеситель G.Lauf для умывальника, ø35, гайка NEB1-A123</t>
  </si>
  <si>
    <t>2 689.56 руб.</t>
  </si>
  <si>
    <t>SMS-180046</t>
  </si>
  <si>
    <t>NEB3-A123</t>
  </si>
  <si>
    <t>смеситель G.Lauf для ванны с литым пов. изливом 150мм, ø35, встр. переключение NEB3-A123</t>
  </si>
  <si>
    <t>5 047.11 руб.</t>
  </si>
  <si>
    <t>SMS-180048</t>
  </si>
  <si>
    <t>NEB5-A123</t>
  </si>
  <si>
    <t>смеситель G.Lauf для душа, ø35, NEB5-A123</t>
  </si>
  <si>
    <t>3 297.84 руб.</t>
  </si>
  <si>
    <t>SMS-180049</t>
  </si>
  <si>
    <t>NEB7-A123</t>
  </si>
  <si>
    <t xml:space="preserve">смеситель G.Lauf для ванны с плоским пов. изливом, ø35, встр. Переключение, Шланг G.Lauf из корпуса </t>
  </si>
  <si>
    <t>4 487.15 руб.</t>
  </si>
  <si>
    <t>SMS-180050</t>
  </si>
  <si>
    <t>NEB7-B123</t>
  </si>
  <si>
    <t>смеситель G.Lauf для ванны с плоским пов. изливом, ø35, встр. Перекл., Шланг через излив NEB7-B123</t>
  </si>
  <si>
    <t>SMS-180054</t>
  </si>
  <si>
    <t>NEB7-B123KG</t>
  </si>
  <si>
    <t>(В)смеситель для ванны с плоским пов. изливом, ø35, встр. Переключение,  золото NEB7-B123KG</t>
  </si>
  <si>
    <t>SMS-180059</t>
  </si>
  <si>
    <t>NEB5-A123KH</t>
  </si>
  <si>
    <t>(В)смеситель для душа, ø35, сатин NEB5-A123KH</t>
  </si>
  <si>
    <t>SMS-180060</t>
  </si>
  <si>
    <t>NEB7-A123KH</t>
  </si>
  <si>
    <t>(В)смеситель для ванны с плоским пов. изливом, ø35, встр. Переключение ,сатин  NEB7-A123KH</t>
  </si>
  <si>
    <t>SMS-180063</t>
  </si>
  <si>
    <t>NEB3-A123KT</t>
  </si>
  <si>
    <t>(В)смеситель для ванны с литым пов. изливом 150мм, ø35, встр. Переключение,бронза NEB3-A123KT</t>
  </si>
  <si>
    <t>SMS-180065</t>
  </si>
  <si>
    <t>NEB5-A123KT</t>
  </si>
  <si>
    <t>(В)смеситель для душа, ø35,бронза NEB5-A123KT</t>
  </si>
  <si>
    <t>SMS-180066</t>
  </si>
  <si>
    <t>NEB7-B123KT</t>
  </si>
  <si>
    <t>(В)смеситель для ванны с плоским пов. изливом, ø35, встр. Переключение,бронза NEB7-A123KT</t>
  </si>
  <si>
    <t>SMS-180067</t>
  </si>
  <si>
    <t>NOB1-A128</t>
  </si>
  <si>
    <t>смеситель G.Lauf для умывальника, ø35, втулка NOB1-A128</t>
  </si>
  <si>
    <t>2 373.66 руб.</t>
  </si>
  <si>
    <t>SMS-180069</t>
  </si>
  <si>
    <t>NOB3-A128</t>
  </si>
  <si>
    <t>(В)смеситель для ванны с литым пов. изливом 150мм, ø35, встр. переключение NOB3-A128</t>
  </si>
  <si>
    <t>5 917.83 руб.</t>
  </si>
  <si>
    <t>SMS-180072</t>
  </si>
  <si>
    <t>NOB7-A128</t>
  </si>
  <si>
    <t>смеситель G.Lauf для ванны с плоским пов. изливом, ø35, встр. переключение NOB7-A128</t>
  </si>
  <si>
    <t>4 386.79 руб.</t>
  </si>
  <si>
    <t>SMS-180082</t>
  </si>
  <si>
    <t>GOB1-A134</t>
  </si>
  <si>
    <t>смеситель G.Lauf для умывальника, ø35, гайка-корона, GOB1-A134</t>
  </si>
  <si>
    <t>1 917.75 руб.</t>
  </si>
  <si>
    <t>SMS-180084</t>
  </si>
  <si>
    <t>GOB3-A134</t>
  </si>
  <si>
    <t>смеситель G.Lauf для ванны с кор. пов. изливом, ø35, встр. переключение GOB3-A134</t>
  </si>
  <si>
    <t>3 279.26 руб.</t>
  </si>
  <si>
    <t>SMS-180088</t>
  </si>
  <si>
    <t>GOB7-A134</t>
  </si>
  <si>
    <t>смеситель G.Lauf для ванны с плоским пов. изливом, ø35, встр. переключение GOB7-A134</t>
  </si>
  <si>
    <t>3 021.58 руб.</t>
  </si>
  <si>
    <t>SMS-180090</t>
  </si>
  <si>
    <t>GOR1-A058</t>
  </si>
  <si>
    <t>смеситель G.Lauf для умывальника, ø35, гайка-корона GOR1-A058</t>
  </si>
  <si>
    <t>2 175.43 руб.</t>
  </si>
  <si>
    <t>SMS-180092</t>
  </si>
  <si>
    <t>GOR3-A058</t>
  </si>
  <si>
    <t>смеситель G.Lauf для ванны с кор. пов. изливом, ø35, GOR3-A058</t>
  </si>
  <si>
    <t>4 405.39 руб.</t>
  </si>
  <si>
    <t>SMS-180101</t>
  </si>
  <si>
    <t>GOR5-A058</t>
  </si>
  <si>
    <t>(В)смеситель для душа, ø35, GOR5-A058</t>
  </si>
  <si>
    <t>3 535.56 руб.</t>
  </si>
  <si>
    <t>SMS-180102</t>
  </si>
  <si>
    <t>GOR7-A058</t>
  </si>
  <si>
    <t>смеситель G.Lauf для ванны с пов. изливом, ø35, GOR7-A058</t>
  </si>
  <si>
    <t>4 276.54 руб.</t>
  </si>
  <si>
    <t>SMS-180103</t>
  </si>
  <si>
    <t>LEF1-A232</t>
  </si>
  <si>
    <t>смеситель G.Lauf для умывальника, ø35, шпилька LEF1-A232</t>
  </si>
  <si>
    <t>2 492.59 руб.</t>
  </si>
  <si>
    <t>SMS-180105</t>
  </si>
  <si>
    <t>LEF3-A232</t>
  </si>
  <si>
    <t>(В)смеситель для ванны с литым пов. изливом 150мм, ø35, встр. переключение LEF3-A232</t>
  </si>
  <si>
    <t>5 283.67 руб.</t>
  </si>
  <si>
    <t>SMS-180108</t>
  </si>
  <si>
    <t>LEF6-A232</t>
  </si>
  <si>
    <t>(В)смеситель для ванны с плоским пов. изливом, ø35 LEF6-A232</t>
  </si>
  <si>
    <t>5 173.18 руб.</t>
  </si>
  <si>
    <t>SMS-180109</t>
  </si>
  <si>
    <t>LEF7-A232</t>
  </si>
  <si>
    <t>смеситель G.Lauf для ванны с плоским пов. изливом, ø35, встр. переключение LEF7-A232</t>
  </si>
  <si>
    <t>4 798.09 руб.</t>
  </si>
  <si>
    <t>SMS-180111</t>
  </si>
  <si>
    <t>LOF1-A033</t>
  </si>
  <si>
    <t>смеситель G.Lauf для умывальника, ø35, шпилька LOF1-A033</t>
  </si>
  <si>
    <t>SMS-180112</t>
  </si>
  <si>
    <t>LOF3-A033</t>
  </si>
  <si>
    <t>смеситель G.Lauf для ванны с литым пов. изливом 150мм, ø35, встр. переключение LOF3-A033</t>
  </si>
  <si>
    <t>4 022.58 руб.</t>
  </si>
  <si>
    <t>SMS-180115</t>
  </si>
  <si>
    <t>LOF5-A033</t>
  </si>
  <si>
    <t>(В)смеситель для душа, ø35 LOF5-A033</t>
  </si>
  <si>
    <t>3 462.92 руб.</t>
  </si>
  <si>
    <t>SMS-180116</t>
  </si>
  <si>
    <t>LOF6-A033</t>
  </si>
  <si>
    <t>смеситель G.Lauf для ванны с плоским пов. изливом, ø35 LOF6-A033</t>
  </si>
  <si>
    <t>3 509.69 руб.</t>
  </si>
  <si>
    <t>SMS-180117</t>
  </si>
  <si>
    <t>LOF7-A033</t>
  </si>
  <si>
    <t>смеситель G.Lauf для ванны с плоским пов. изливом, ø35, встр. переключение LOF7-A033</t>
  </si>
  <si>
    <t>4 007.71 руб.</t>
  </si>
  <si>
    <t>SMS-180119</t>
  </si>
  <si>
    <t>LWZ1-A182</t>
  </si>
  <si>
    <t>смеситель G.Lauf для умывальника монолитный, ø40 гайка (корона) LWZ1-A182</t>
  </si>
  <si>
    <t>2 011.91 руб.</t>
  </si>
  <si>
    <t>SMS-180122</t>
  </si>
  <si>
    <t>LWZ5-A182</t>
  </si>
  <si>
    <t>смеситель G.Lauf для душа, ø40 LWZ5-A182</t>
  </si>
  <si>
    <t>1 809.98 руб.</t>
  </si>
  <si>
    <t>SMS-180129</t>
  </si>
  <si>
    <t>KLO1-A048</t>
  </si>
  <si>
    <t>смеситель G.Lauf для умывальника монолитный, ø40 гайка KLO1-A048</t>
  </si>
  <si>
    <t>1 705.91 руб.</t>
  </si>
  <si>
    <t>SMS-180132</t>
  </si>
  <si>
    <t>KLO3-A048</t>
  </si>
  <si>
    <t>смеситель G.Lauf для ванны с монолитным изливом, ø40 встр. перекл. KLO3-A048</t>
  </si>
  <si>
    <t>3 046.36 руб.</t>
  </si>
  <si>
    <t>SMS-180135</t>
  </si>
  <si>
    <t>KLO5-A048</t>
  </si>
  <si>
    <t>смеситель G.Lauf для душа, ø40 KLO5-A048</t>
  </si>
  <si>
    <t>1 818.64 руб.</t>
  </si>
  <si>
    <t>SMS-180137</t>
  </si>
  <si>
    <t>KLO6-A048</t>
  </si>
  <si>
    <t>смеситель G.Lauf для ванны с плоским пов. изливом, ø40, клапанный дивертор KLO6-A048</t>
  </si>
  <si>
    <t>2 362.50 руб.</t>
  </si>
  <si>
    <t>SMS-180138</t>
  </si>
  <si>
    <t>KLO6-B048</t>
  </si>
  <si>
    <t>(В)смеситель для ванны с плоским пов. изливом, ø40, поворотный дивертор KLO6-B048</t>
  </si>
  <si>
    <t>2 886.27 руб.</t>
  </si>
  <si>
    <t>SMS-180140</t>
  </si>
  <si>
    <t>KLO6-C048</t>
  </si>
  <si>
    <t>смеситель G.Lauf для ванны с изогнутым пов. изливом, ø40, поворотный дивертор KLO6-C048</t>
  </si>
  <si>
    <t>2 511.17 руб.</t>
  </si>
  <si>
    <t>SMS-180142</t>
  </si>
  <si>
    <t>KLO7-A048</t>
  </si>
  <si>
    <t>смеситель G.Lauf для ванны с плоским пов. изливом, ø40, встр. переключение KLO7-A048</t>
  </si>
  <si>
    <t>2 863.00 руб.</t>
  </si>
  <si>
    <t>SMS-180143</t>
  </si>
  <si>
    <t>KLO7-A149</t>
  </si>
  <si>
    <t>смеситель G.Lauf для ванны с плоским пов. изливом, ø40, встр. переключение KLO7-A149</t>
  </si>
  <si>
    <t>SMS-180144</t>
  </si>
  <si>
    <t>KLO7-B048</t>
  </si>
  <si>
    <t>смеситель G.Lauf для ванны с плоским пов. изливом, ø40, встр. переключение в корпусе KLO7-B048</t>
  </si>
  <si>
    <t>SMS-180204</t>
  </si>
  <si>
    <t>ZDN6-A183</t>
  </si>
  <si>
    <t>смеситель G.Lauf для ванны с плоским пов. изливом, ø40, выносн. Дивертор ZDN6-A183</t>
  </si>
  <si>
    <t>3 347.40 руб.</t>
  </si>
  <si>
    <t>SMS-180205</t>
  </si>
  <si>
    <t>QMT1-A722</t>
  </si>
  <si>
    <t>смеситель G.Lauf для умывальника монолитный, кер. (1/2) 180°, шпилька QMT1-A722</t>
  </si>
  <si>
    <t>1 636.54 руб.</t>
  </si>
  <si>
    <t>SMS-180206</t>
  </si>
  <si>
    <t>QMT3-A722</t>
  </si>
  <si>
    <t>смеситель G.Lauf для ванны с плоским пов. изливом 150мм, кер. (1/2) 180° двухпозиц. Карт. перекл. QM</t>
  </si>
  <si>
    <t>2 666.03 руб.</t>
  </si>
  <si>
    <t>SMS-180210</t>
  </si>
  <si>
    <t>QMT7-A722</t>
  </si>
  <si>
    <t>смеситель G.Lauf для ванны с круглым пов. изливом, кер. (1/2) 180°, двухпозиц. Карт. перекл. QMT7-A7</t>
  </si>
  <si>
    <t>2 281.98 руб.</t>
  </si>
  <si>
    <t>SMS-180211</t>
  </si>
  <si>
    <t>QMT7-A827</t>
  </si>
  <si>
    <t>смеситель G.Lauf для ванны с круглым пов. изливом, кер. (1/2) 180°, двухпозиц. Карт. перекл. QMT7-A8</t>
  </si>
  <si>
    <t>SMS-180212</t>
  </si>
  <si>
    <t>QMT7-B722</t>
  </si>
  <si>
    <t>смеситель G.Lauf для ванны с плоским пов. изливом, кер. (1/2) 180°, двухпозиц. карт. перекл. QMT7-B7</t>
  </si>
  <si>
    <t>SMS-180215</t>
  </si>
  <si>
    <t>QFR7-A722</t>
  </si>
  <si>
    <t>смеситель G.Lauf для ванны с круглым пов. изл.,кер. (1/2) 180°, шар. переключение QFR7-A722</t>
  </si>
  <si>
    <t>2 156.85 руб.</t>
  </si>
  <si>
    <t>SMS-180216</t>
  </si>
  <si>
    <t>QFR7-A827</t>
  </si>
  <si>
    <t>смеситель G.Lauf для ванны с круглым пов. изл.,кер. (1/2) 180°, шар. переключение QFR7-A827</t>
  </si>
  <si>
    <t>SMS-180217</t>
  </si>
  <si>
    <t>QFR7-C722</t>
  </si>
  <si>
    <t>смеситель G.Lauf для ванны с плоским пов. изл., кер. (1/2) 180°,шар. переключение QFR7-C722</t>
  </si>
  <si>
    <t>2 253.49 руб.</t>
  </si>
  <si>
    <t>SMS-180218</t>
  </si>
  <si>
    <t>QFR7-C827</t>
  </si>
  <si>
    <t>смеситель G.Lauf для ванны с плоским пов. изл., кер. (1/2) 180°,шар. переключение QFR7-C827</t>
  </si>
  <si>
    <t>SMS-180233</t>
  </si>
  <si>
    <t>QTZ5-A827</t>
  </si>
  <si>
    <t>смеситель G.Lauf для душа двуручковый ,без извива, кер. (1/2) 180°,  QTZ5-A827</t>
  </si>
  <si>
    <t>2 078.81 руб.</t>
  </si>
  <si>
    <t>SMS-180234</t>
  </si>
  <si>
    <t>QTZ7-A827</t>
  </si>
  <si>
    <t>смеситель G.Lauf для ванны с плоским пов. изливом, кер. (1/2) 180°, шар. Переключение QTZ7-A827</t>
  </si>
  <si>
    <t>3 294.12 руб.</t>
  </si>
  <si>
    <t>SMS-180235</t>
  </si>
  <si>
    <t>QTZ7-A856</t>
  </si>
  <si>
    <t>смеситель G.Lauf для ванны с плоским пов. изливом, кер. (1/2) 180°, шар. Переключение QTZ7-A856</t>
  </si>
  <si>
    <t>SMS-180236</t>
  </si>
  <si>
    <t>QTZ7-B827</t>
  </si>
  <si>
    <t>смеситель G.Lauf для ванны с круглым пов. изливом, кер. (1/2) 180°, шар. Переключение QTZ7-B827</t>
  </si>
  <si>
    <t>2 797.34 руб.</t>
  </si>
  <si>
    <t>SMS-180237</t>
  </si>
  <si>
    <t>QTZ7-B856</t>
  </si>
  <si>
    <t>смеситель G.Lauf для ванны с круглым пов. изливом, кер. (1/2) 180°, шар. Переключение QTZ7-B856</t>
  </si>
  <si>
    <t>SMS-180240</t>
  </si>
  <si>
    <t>QML1-A827</t>
  </si>
  <si>
    <t>смеситель G.Lauf для умывальника с литым пов. изливом кер. (1/2) 180°, гайка (корона)  QML1-A827</t>
  </si>
  <si>
    <t>2 830.79 руб.</t>
  </si>
  <si>
    <t>SMS-180242</t>
  </si>
  <si>
    <t>QML3-A827</t>
  </si>
  <si>
    <t>смеситель G.Lauf для ванны с литым пов. изливом 150мм, кер. (1/2) 180°, встр. карт. перекл. QML3-A82</t>
  </si>
  <si>
    <t>3 375.90 руб.</t>
  </si>
  <si>
    <t>SMS-180246</t>
  </si>
  <si>
    <t>QML7-A827</t>
  </si>
  <si>
    <t>смеситель G.Lauf для ванны с круг. пов. изливом, кер. (1/2) 180°, встр. карт. перекл. QML7-A827</t>
  </si>
  <si>
    <t>2 937.33 руб.</t>
  </si>
  <si>
    <t>SMS-180250</t>
  </si>
  <si>
    <t>QSL1-A827</t>
  </si>
  <si>
    <t>(В)смеситель для умывальника монолитный, кер. (1/2) 180°, QSL1-A827</t>
  </si>
  <si>
    <t>SMS-180256</t>
  </si>
  <si>
    <t>JML7-A605</t>
  </si>
  <si>
    <t>смеситель G.Lauf для ванны с круглым пов. изливом, резиновая (3/8)), штоковое переключение JML7-A605</t>
  </si>
  <si>
    <t>1 964.82 руб.</t>
  </si>
  <si>
    <t>SMS-180258</t>
  </si>
  <si>
    <t>JMX7-A605</t>
  </si>
  <si>
    <t>смеситель G.Lauf для ванны с круглым пов. изливом, кер. (1/2) 180°, штоковое переключение JMX7-A605</t>
  </si>
  <si>
    <t>1 963.58 руб.</t>
  </si>
  <si>
    <t>SMS-180600</t>
  </si>
  <si>
    <t>LOT1-A010</t>
  </si>
  <si>
    <t>смеситель G.Lauf ручка джойстик для умывальника монолитный, ø35, гайка(корона) LOT1-A010</t>
  </si>
  <si>
    <t>2 205.16 руб.</t>
  </si>
  <si>
    <t>SMS-180601</t>
  </si>
  <si>
    <t>ZIG7-A166</t>
  </si>
  <si>
    <t>смеситель G.Lauf для ванны с плоским пов. изливом, ø40, встр. переключение, эко-аэратор ZIG7-A166</t>
  </si>
  <si>
    <t>2 994.31 руб.</t>
  </si>
  <si>
    <t>SMS-180606</t>
  </si>
  <si>
    <t>NEB1-B123</t>
  </si>
  <si>
    <t>(В)см-ль для умывальника, ø35, гайка NEB1-B123</t>
  </si>
  <si>
    <t>SMS-180607</t>
  </si>
  <si>
    <t>GOG10-A012</t>
  </si>
  <si>
    <t>Смеситель G.Lauf  для умывальника с выдвижным изливом + ФОНТАН, ø35, гайка корона GOG10-A012</t>
  </si>
  <si>
    <t>3 699.24 руб.</t>
  </si>
  <si>
    <t>SMS-180613</t>
  </si>
  <si>
    <t>LOT7-A010</t>
  </si>
  <si>
    <t>смеситель для ванны с плоским пов. изливом, ø35, кноп. переключение LOT7-A010</t>
  </si>
  <si>
    <t>3 714.10 руб.</t>
  </si>
  <si>
    <t>SMS-180703</t>
  </si>
  <si>
    <t>ZIG7-B166</t>
  </si>
  <si>
    <t>см-ль для ванны с плоским пов. изливом, ø40, встр., кноп. переключение ZIG7-B166</t>
  </si>
  <si>
    <t>3 473.76 руб.</t>
  </si>
  <si>
    <t>SMS-180704</t>
  </si>
  <si>
    <t>ZDN3-A183</t>
  </si>
  <si>
    <t>см-ль для ванны с кор. изл., ø40, встроен. дивертор G.Lauf Z/SUS (1/10шт)</t>
  </si>
  <si>
    <t>3 471.28 руб.</t>
  </si>
  <si>
    <t>SMS-180705</t>
  </si>
  <si>
    <t>ZDN7-A184</t>
  </si>
  <si>
    <t>(В)см-ль для ванны с плоским пов. изливом, ø40, встроен. Дивертор ZDN7-A184</t>
  </si>
  <si>
    <t>SMS-180707</t>
  </si>
  <si>
    <t>LOT1-A010PW</t>
  </si>
  <si>
    <t>(В)см-ль для умывальника монолитный, ø35 гайка (корона) бел. LOT1-A010PW</t>
  </si>
  <si>
    <t>3 405.40 руб.</t>
  </si>
  <si>
    <t>SMS-180708</t>
  </si>
  <si>
    <t>LOT1-A010YB</t>
  </si>
  <si>
    <t>(В)см-ль для умывальника монолитный, ø35 гайка (корона) черн. LOT1-A010WB</t>
  </si>
  <si>
    <t>SMS-180710</t>
  </si>
  <si>
    <t>ZDN7-A183</t>
  </si>
  <si>
    <t>смеситель G.Lauf для ванны с плоским пов. изливом, ø40, ZDN7-A183</t>
  </si>
  <si>
    <t>3 429.16 руб.</t>
  </si>
  <si>
    <t>SMS-180713</t>
  </si>
  <si>
    <t>LOT3-A010</t>
  </si>
  <si>
    <t>(В)смеситель G.Lauf для ванны с литым изливом, ø35 кнопочное переключение, ручка джойстик</t>
  </si>
  <si>
    <t>4 331.67 руб.</t>
  </si>
  <si>
    <t>SMS-180719</t>
  </si>
  <si>
    <t>GOB1-B134</t>
  </si>
  <si>
    <t>(В)смеситель G.Lauf высокий для умывальника, ø35, гайка-корона, GOB1-B134</t>
  </si>
  <si>
    <t>2 342.92 руб.</t>
  </si>
  <si>
    <t>SMS-180743</t>
  </si>
  <si>
    <t>NUD1-A045MG</t>
  </si>
  <si>
    <t>Смеситель G.Lauf для умывальника монолитный, ø35, гайка(корона) ГРАФИТ (1/10шт), NUD1-A045</t>
  </si>
  <si>
    <t>2 725.49 руб.</t>
  </si>
  <si>
    <t>SMS-180744</t>
  </si>
  <si>
    <t>NUD5-A045MG</t>
  </si>
  <si>
    <t>Смеситель G.Lauf для душа,  Ø35 ГРАФИТ (1/10шт), NUD5-A045</t>
  </si>
  <si>
    <t>2 779.18 руб.</t>
  </si>
  <si>
    <t>SMS-180745</t>
  </si>
  <si>
    <t>ZOK1-A036PW</t>
  </si>
  <si>
    <t>см-ль для раковины  картридж 3 ступени ø35, цвет ХРОМ+БЕЛЫЙ мат,  гайка корона (1/10шт)</t>
  </si>
  <si>
    <t>SMS-180746</t>
  </si>
  <si>
    <t>NEB1-B123MG</t>
  </si>
  <si>
    <t>Смеситель G.Lauf  для умывальника ВЫСОКИЙ монолитный, ø35, гайка(корона) ГРАФИТ (1/10шт), NEB1-B123</t>
  </si>
  <si>
    <t>4 145.21 руб.</t>
  </si>
  <si>
    <t>SMS-180762</t>
  </si>
  <si>
    <t>NUD3-A045MG</t>
  </si>
  <si>
    <t>Cмеситель для ванны с литым пов. изливом 150мм, ø35, встр. переключение, ГРАФИТ, G.Lauf Z (1/10шт)</t>
  </si>
  <si>
    <t>5 088.71 руб.</t>
  </si>
  <si>
    <t>SMS-180764</t>
  </si>
  <si>
    <t>NUD7-A045MG</t>
  </si>
  <si>
    <t>Смеситель для ванны с плоским пов. изливом, ø35, встр. картридж. переключение, ГРАФИТ, G.Lauf Z  (1/</t>
  </si>
  <si>
    <t>5 018.76 руб.</t>
  </si>
  <si>
    <t>SMS-180765</t>
  </si>
  <si>
    <t>NUD1-A145 Elite</t>
  </si>
  <si>
    <t>Смеситель для умывальника монолитный, ø35, гайка(корона) G.Lauf Z (1/10шт)</t>
  </si>
  <si>
    <t>1 780.35 руб.</t>
  </si>
  <si>
    <t>SMS-180771</t>
  </si>
  <si>
    <t>NEB1-A123MG</t>
  </si>
  <si>
    <t>Смеситель для умывальника монолитный, ø35, гайка(корона), ГРАФИТ, G.Lauf Z (1/10шт)</t>
  </si>
  <si>
    <t>3 346.16 руб.</t>
  </si>
  <si>
    <t>SMS-180772</t>
  </si>
  <si>
    <t>NEB3-A123MG</t>
  </si>
  <si>
    <t>Cмеситель для ванны с литым пов. изливом 150мм, ø35, встр. переключение ГРАФИТ G.Lauf Z (1/8шт)</t>
  </si>
  <si>
    <t>5 557.31 руб.</t>
  </si>
  <si>
    <t>SMS-180773</t>
  </si>
  <si>
    <t>NEB7-A123MG</t>
  </si>
  <si>
    <t>5 442.71 руб.</t>
  </si>
  <si>
    <t>SMS-180774</t>
  </si>
  <si>
    <t>NEB7-B123MG</t>
  </si>
  <si>
    <t>5 023.91 руб.</t>
  </si>
  <si>
    <t>SMS-180775</t>
  </si>
  <si>
    <t>GKE1-B168</t>
  </si>
  <si>
    <t>Смеситель для умывальника монолитный, ø40, G.Lauf Z (1/10шт)</t>
  </si>
  <si>
    <t>2 417.18 руб.</t>
  </si>
  <si>
    <t>SMS-180776</t>
  </si>
  <si>
    <t>GKE3-A168</t>
  </si>
  <si>
    <t>Cмеситель для ванны монолитный, ø40, встр. переключение, G.Lauf Z (1/6шт)</t>
  </si>
  <si>
    <t>3 098.59 руб.</t>
  </si>
  <si>
    <t>SMS-180782</t>
  </si>
  <si>
    <t>ZEN1-A275</t>
  </si>
  <si>
    <t>Смеситель для умывальника монолитный, ø35, гайка(корона), G.Lauf Z (1/10шт)</t>
  </si>
  <si>
    <t>2 589.38 руб.</t>
  </si>
  <si>
    <t>SMS-180783</t>
  </si>
  <si>
    <t>ZEN3-A275</t>
  </si>
  <si>
    <t>Cмеситель для ванны с литым пов. изливом 150мм, ø35, встр. Переключение, G.Lauf Z (1/6шт)</t>
  </si>
  <si>
    <t>4 186.37 руб.</t>
  </si>
  <si>
    <t>SMS-180785</t>
  </si>
  <si>
    <t>ZDN1-B183</t>
  </si>
  <si>
    <t>Смеситель для умывальника монолитный, ø40, верхнее крепление,  G.Lauf Z (1/10шт)</t>
  </si>
  <si>
    <t>2 351.51 руб.</t>
  </si>
  <si>
    <t>SMS-180786</t>
  </si>
  <si>
    <t>ZDN1-D156</t>
  </si>
  <si>
    <t>Смеситель для умывальника монолитный, ø40, гайка (корона),  G.Lauf Z (1/10шт)</t>
  </si>
  <si>
    <t>2 230.09 руб.</t>
  </si>
  <si>
    <t>SMS-180787</t>
  </si>
  <si>
    <t>ZDN3-B183</t>
  </si>
  <si>
    <t>Cмеситель для ванны монолитный, ø40, встр. переключение, G.Lauf Z/S (1/6шт)</t>
  </si>
  <si>
    <t>3 480.18 руб.</t>
  </si>
  <si>
    <t>SMS-180792</t>
  </si>
  <si>
    <t>ZDN1-B183YB</t>
  </si>
  <si>
    <t>Смеситель для умывальника монолитный, ø40, верхнее крепление, ЧЕРНЫЙ, G.Lauf Z (1/10шт)</t>
  </si>
  <si>
    <t>2 413.45 руб.</t>
  </si>
  <si>
    <t>УТ000001676</t>
  </si>
  <si>
    <t>NUD2-A045YB</t>
  </si>
  <si>
    <t>смеситель G.Lauf для биде, ø35, гайка(корона)  ЧЕРНЫЙ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</si>
</sst>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6041df_77ea_11ea_8111_003048fd731b_8c533372_5a46_11f0_a775_047c1617b1431.jpeg"/><Relationship Id="rId2" Type="http://schemas.openxmlformats.org/officeDocument/2006/relationships/image" Target="../media/f46041e1_77ea_11ea_8111_003048fd731b_8c533365_5a46_11f0_a775_047c1617b1432.jpeg"/><Relationship Id="rId3" Type="http://schemas.openxmlformats.org/officeDocument/2006/relationships/image" Target="../media/f46041e3_77ea_11ea_8111_003048fd731b_8c53336b_5a46_11f0_a775_047c1617b1433.jpeg"/><Relationship Id="rId4" Type="http://schemas.openxmlformats.org/officeDocument/2006/relationships/image" Target="../media/f46041e5_77ea_11ea_8111_003048fd731b_8c533374_5a46_11f0_a775_047c1617b1434.jpeg"/><Relationship Id="rId5" Type="http://schemas.openxmlformats.org/officeDocument/2006/relationships/image" Target="../media/f46041e7_77ea_11ea_8111_003048fd731b_8c533398_5a46_11f0_a775_047c1617b1435.jpeg"/><Relationship Id="rId6" Type="http://schemas.openxmlformats.org/officeDocument/2006/relationships/image" Target="../media/f46041e9_77ea_11ea_8111_003048fd731b_8c53339b_5a46_11f0_a775_047c1617b1436.jpeg"/><Relationship Id="rId7" Type="http://schemas.openxmlformats.org/officeDocument/2006/relationships/image" Target="../media/f46041eb_77ea_11ea_8111_003048fd731b_8c53339f_5a46_11f0_a775_047c1617b1437.jpeg"/><Relationship Id="rId8" Type="http://schemas.openxmlformats.org/officeDocument/2006/relationships/image" Target="../media/f46041ed_77ea_11ea_8111_003048fd731b_8c5333a2_5a46_11f0_a775_047c1617b1438.jpeg"/><Relationship Id="rId9" Type="http://schemas.openxmlformats.org/officeDocument/2006/relationships/image" Target="../media/f46041ef_77ea_11ea_8111_003048fd731b_8c533399_5a46_11f0_a775_047c1617b1439.jpeg"/><Relationship Id="rId10" Type="http://schemas.openxmlformats.org/officeDocument/2006/relationships/image" Target="../media/f46041f1_77ea_11ea_8111_003048fd731b_8c533367_5a46_11f0_a775_047c1617b14310.jpeg"/><Relationship Id="rId11" Type="http://schemas.openxmlformats.org/officeDocument/2006/relationships/image" Target="../media/f46041f3_77ea_11ea_8111_003048fd731b_8c53335f_5a46_11f0_a775_047c1617b14311.jpeg"/><Relationship Id="rId12" Type="http://schemas.openxmlformats.org/officeDocument/2006/relationships/image" Target="../media/f46041f5_77ea_11ea_8111_003048fd731b_8c533397_5a46_11f0_a775_047c1617b14312.jpeg"/><Relationship Id="rId13" Type="http://schemas.openxmlformats.org/officeDocument/2006/relationships/image" Target="../media/f46041f7_77ea_11ea_8111_003048fd731b_8c53339d_5a46_11f0_a775_047c1617b14313.jpeg"/><Relationship Id="rId14" Type="http://schemas.openxmlformats.org/officeDocument/2006/relationships/image" Target="../media/f46041f9_77ea_11ea_8111_003048fd731b_8c5333a0_5a46_11f0_a775_047c1617b14314.jpeg"/><Relationship Id="rId15" Type="http://schemas.openxmlformats.org/officeDocument/2006/relationships/image" Target="../media/f46041fb_77ea_11ea_8111_003048fd731b_8c533326_5a46_11f0_a775_047c1617b14315.jpeg"/><Relationship Id="rId16" Type="http://schemas.openxmlformats.org/officeDocument/2006/relationships/image" Target="../media/f46041fd_77ea_11ea_8111_003048fd731b_8c53332c_5a46_11f0_a775_047c1617b14316.jpeg"/><Relationship Id="rId17" Type="http://schemas.openxmlformats.org/officeDocument/2006/relationships/image" Target="../media/f46041ff_77ea_11ea_8111_003048fd731b_8c53332e_5a46_11f0_a775_047c1617b14317.jpeg"/><Relationship Id="rId18" Type="http://schemas.openxmlformats.org/officeDocument/2006/relationships/image" Target="../media/f4604201_77ea_11ea_8111_003048fd731b_8c533338_5a46_11f0_a775_047c1617b14318.jpeg"/><Relationship Id="rId19" Type="http://schemas.openxmlformats.org/officeDocument/2006/relationships/image" Target="../media/f4604203_77ea_11ea_8111_003048fd731b_8c53334c_5a46_11f0_a775_047c1617b14319.jpeg"/><Relationship Id="rId20" Type="http://schemas.openxmlformats.org/officeDocument/2006/relationships/image" Target="../media/f4604205_77ea_11ea_8111_003048fd731b_8c533358_5a46_11f0_a775_047c1617b14320.jpeg"/><Relationship Id="rId21" Type="http://schemas.openxmlformats.org/officeDocument/2006/relationships/image" Target="../media/f4604207_77ea_11ea_8111_003048fd731b_8c533359_5a46_11f0_a775_047c1617b14321.jpeg"/><Relationship Id="rId22" Type="http://schemas.openxmlformats.org/officeDocument/2006/relationships/image" Target="../media/f4604209_77ea_11ea_8111_003048fd731b_8c53335d_5a46_11f0_a775_047c1617b14322.jpeg"/><Relationship Id="rId23" Type="http://schemas.openxmlformats.org/officeDocument/2006/relationships/image" Target="../media/f460420b_77ea_11ea_8111_003048fd731b_8c5333ac_5a46_11f0_a775_047c1617b14323.jpeg"/><Relationship Id="rId24" Type="http://schemas.openxmlformats.org/officeDocument/2006/relationships/image" Target="../media/f460420d_77ea_11ea_8111_003048fd731b_8c5333ae_5a46_11f0_a775_047c1617b14324.jpeg"/><Relationship Id="rId25" Type="http://schemas.openxmlformats.org/officeDocument/2006/relationships/image" Target="../media/f460420f_77ea_11ea_8111_003048fd731b_8c533361_5a46_11f0_a775_047c1617b14325.jpeg"/><Relationship Id="rId26" Type="http://schemas.openxmlformats.org/officeDocument/2006/relationships/image" Target="../media/f4604211_77ea_11ea_8111_003048fd731b_8c533363_5a46_11f0_a775_047c1617b14326.jpeg"/><Relationship Id="rId27" Type="http://schemas.openxmlformats.org/officeDocument/2006/relationships/image" Target="../media/f4604213_77ea_11ea_8111_003048fd731b_8c533386_5a46_11f0_a775_047c1617b14327.jpeg"/><Relationship Id="rId28" Type="http://schemas.openxmlformats.org/officeDocument/2006/relationships/image" Target="../media/f4604215_77ea_11ea_8111_003048fd731b_8c533324_5a46_11f0_a775_047c1617b14328.jpeg"/><Relationship Id="rId29" Type="http://schemas.openxmlformats.org/officeDocument/2006/relationships/image" Target="../media/f4604217_77ea_11ea_8111_003048fd731b_8c53333a_5a46_11f0_a775_047c1617b14329.jpeg"/><Relationship Id="rId30" Type="http://schemas.openxmlformats.org/officeDocument/2006/relationships/image" Target="../media/f4604219_77ea_11ea_8111_003048fd731b_8c533342_5a46_11f0_a775_047c1617b14330.jpeg"/><Relationship Id="rId31" Type="http://schemas.openxmlformats.org/officeDocument/2006/relationships/image" Target="../media/f460421b_77ea_11ea_8111_003048fd731b_8c533348_5a46_11f0_a775_047c1617b14331.jpeg"/><Relationship Id="rId32" Type="http://schemas.openxmlformats.org/officeDocument/2006/relationships/image" Target="../media/f460421d_77ea_11ea_8111_003048fd731b_8c533352_5a46_11f0_a775_047c1617b14332.jpeg"/><Relationship Id="rId33" Type="http://schemas.openxmlformats.org/officeDocument/2006/relationships/image" Target="../media/f460421f_77ea_11ea_8111_003048fd731b_8c533369_5a46_11f0_a775_047c1617b14333.jpeg"/><Relationship Id="rId34" Type="http://schemas.openxmlformats.org/officeDocument/2006/relationships/image" Target="../media/f4604221_77ea_11ea_8111_003048fd731b_8c53336a_5a46_11f0_a775_047c1617b14334.jpeg"/><Relationship Id="rId35" Type="http://schemas.openxmlformats.org/officeDocument/2006/relationships/image" Target="../media/f4604223_77ea_11ea_8111_003048fd731b_8c53337a_5a46_11f0_a775_047c1617b14335.jpeg"/><Relationship Id="rId36" Type="http://schemas.openxmlformats.org/officeDocument/2006/relationships/image" Target="../media/f4604225_77ea_11ea_8111_003048fd731b_8c53337c_5a46_11f0_a775_047c1617b14336.jpeg"/><Relationship Id="rId37" Type="http://schemas.openxmlformats.org/officeDocument/2006/relationships/image" Target="../media/f4604227_77ea_11ea_8111_003048fd731b_8c53337e_5a46_11f0_a775_047c1617b14337.jpeg"/><Relationship Id="rId38" Type="http://schemas.openxmlformats.org/officeDocument/2006/relationships/image" Target="../media/f4604229_77ea_11ea_8111_003048fd731b_19e968e1_793a_11f0_a79f_047c1617b14338.jpeg"/><Relationship Id="rId39" Type="http://schemas.openxmlformats.org/officeDocument/2006/relationships/image" Target="../media/f460422b_77ea_11ea_8111_003048fd731b_8c533388_5a46_11f0_a775_047c1617b14339.jpeg"/><Relationship Id="rId40" Type="http://schemas.openxmlformats.org/officeDocument/2006/relationships/image" Target="../media/f460422d_77ea_11ea_8111_003048fd731b_8c533391_5a46_11f0_a775_047c1617b14340.jpeg"/><Relationship Id="rId41" Type="http://schemas.openxmlformats.org/officeDocument/2006/relationships/image" Target="../media/f460422f_77ea_11ea_8111_003048fd731b_8c533395_5a46_11f0_a775_047c1617b14341.jpeg"/><Relationship Id="rId42" Type="http://schemas.openxmlformats.org/officeDocument/2006/relationships/image" Target="../media/f4604231_77ea_11ea_8111_003048fd731b_8c533384_5a46_11f0_a775_047c1617b14342.jpeg"/><Relationship Id="rId43" Type="http://schemas.openxmlformats.org/officeDocument/2006/relationships/image" Target="../media/f4604233_77ea_11ea_8111_003048fd731b_8c533330_5a46_11f0_a775_047c1617b14343.jpeg"/><Relationship Id="rId44" Type="http://schemas.openxmlformats.org/officeDocument/2006/relationships/image" Target="../media/f4604235_77ea_11ea_8111_003048fd731b_8c533332_5a46_11f0_a775_047c1617b14344.jpeg"/><Relationship Id="rId45" Type="http://schemas.openxmlformats.org/officeDocument/2006/relationships/image" Target="../media/f4604237_77ea_11ea_8111_003048fd731b_8c53333c_5a46_11f0_a775_047c1617b14345.jpeg"/><Relationship Id="rId46" Type="http://schemas.openxmlformats.org/officeDocument/2006/relationships/image" Target="../media/f4604239_77ea_11ea_8111_003048fd731b_8c53335a_5a46_11f0_a775_047c1617b14346.jpeg"/><Relationship Id="rId47" Type="http://schemas.openxmlformats.org/officeDocument/2006/relationships/image" Target="../media/f460423b_77ea_11ea_8111_003048fd731b_8c5333af_5a46_11f0_a775_047c1617b14347.jpeg"/><Relationship Id="rId48" Type="http://schemas.openxmlformats.org/officeDocument/2006/relationships/image" Target="../media/f460423d_77ea_11ea_8111_003048fd731b_8c53333e_5a46_11f0_a775_047c1617b14348.jpeg"/><Relationship Id="rId49" Type="http://schemas.openxmlformats.org/officeDocument/2006/relationships/image" Target="../media/f460423f_77ea_11ea_8111_003048fd731b_8c533346_5a46_11f0_a775_047c1617b14349.jpeg"/><Relationship Id="rId50" Type="http://schemas.openxmlformats.org/officeDocument/2006/relationships/image" Target="../media/f4604241_77ea_11ea_8111_003048fd731b_8c533354_5a46_11f0_a775_047c1617b14350.jpeg"/><Relationship Id="rId51" Type="http://schemas.openxmlformats.org/officeDocument/2006/relationships/image" Target="../media/f4604243_77ea_11ea_8111_003048fd731b_8c533322_5a46_11f0_a775_047c1617b14351.jpeg"/><Relationship Id="rId52" Type="http://schemas.openxmlformats.org/officeDocument/2006/relationships/image" Target="../media/f4604245_77ea_11ea_8111_003048fd731b_8c533336_5a46_11f0_a775_047c1617b14352.jpeg"/><Relationship Id="rId53" Type="http://schemas.openxmlformats.org/officeDocument/2006/relationships/image" Target="../media/f4604247_77ea_11ea_8111_003048fd731b_8c533340_5a46_11f0_a775_047c1617b14353.jpeg"/><Relationship Id="rId54" Type="http://schemas.openxmlformats.org/officeDocument/2006/relationships/image" Target="../media/f4604249_77ea_11ea_8111_003048fd731b_8c53334a_5a46_11f0_a775_047c1617b14354.jpeg"/><Relationship Id="rId55" Type="http://schemas.openxmlformats.org/officeDocument/2006/relationships/image" Target="../media/f460424b_77ea_11ea_8111_003048fd731b_8c53334e_5a46_11f0_a775_047c1617b14355.jpeg"/><Relationship Id="rId56" Type="http://schemas.openxmlformats.org/officeDocument/2006/relationships/image" Target="../media/f460424d_77ea_11ea_8111_003048fd731b_8c533356_5a46_11f0_a775_047c1617b14356.jpeg"/><Relationship Id="rId57" Type="http://schemas.openxmlformats.org/officeDocument/2006/relationships/image" Target="../media/f460424f_77ea_11ea_8111_003048fd731b_8c533357_5a46_11f0_a775_047c1617b14357.jpeg"/><Relationship Id="rId58" Type="http://schemas.openxmlformats.org/officeDocument/2006/relationships/image" Target="../media/f4604251_77ea_11ea_8111_003048fd731b_8c53335c_5a46_11f0_a775_047c1617b14358.jpeg"/><Relationship Id="rId59" Type="http://schemas.openxmlformats.org/officeDocument/2006/relationships/image" Target="../media/f4604253_77ea_11ea_8111_003048fd731b_8c5333ab_5a46_11f0_a775_047c1617b14359.jpeg"/><Relationship Id="rId60" Type="http://schemas.openxmlformats.org/officeDocument/2006/relationships/image" Target="../media/f4604255_77ea_11ea_8111_003048fd731b_8c53336e_5a46_11f0_a775_047c1617b14360.jpeg"/><Relationship Id="rId61" Type="http://schemas.openxmlformats.org/officeDocument/2006/relationships/image" Target="../media/f4604257_77ea_11ea_8111_003048fd731b_8c53332a_5a46_11f0_a775_047c1617b14361.jpeg"/><Relationship Id="rId62" Type="http://schemas.openxmlformats.org/officeDocument/2006/relationships/image" Target="../media/f4604259_77ea_11ea_8111_003048fd731b_8c533334_5a46_11f0_a775_047c1617b14362.jpeg"/><Relationship Id="rId63" Type="http://schemas.openxmlformats.org/officeDocument/2006/relationships/image" Target="../media/f460425b_77ea_11ea_8111_003048fd731b_8c533350_5a46_11f0_a775_047c1617b14363.jpeg"/><Relationship Id="rId64" Type="http://schemas.openxmlformats.org/officeDocument/2006/relationships/image" Target="../media/f460425d_77ea_11ea_8111_003048fd731b_8c53336c_5a46_11f0_a775_047c1617b14364.jpeg"/><Relationship Id="rId65" Type="http://schemas.openxmlformats.org/officeDocument/2006/relationships/image" Target="../media/f460425f_77ea_11ea_8111_003048fd731b_8c533370_5a46_11f0_a775_047c1617b14365.jpeg"/><Relationship Id="rId66" Type="http://schemas.openxmlformats.org/officeDocument/2006/relationships/image" Target="../media/f4604261_77ea_11ea_8111_003048fd731b_8c533376_5a46_11f0_a775_047c1617b14366.jpeg"/><Relationship Id="rId67" Type="http://schemas.openxmlformats.org/officeDocument/2006/relationships/image" Target="../media/f4604263_77ea_11ea_8111_003048fd731b_8c533378_5a46_11f0_a775_047c1617b14367.jpeg"/><Relationship Id="rId68" Type="http://schemas.openxmlformats.org/officeDocument/2006/relationships/image" Target="../media/f4604265_77ea_11ea_8111_003048fd731b_8c53338f_5a46_11f0_a775_047c1617b14368.jpeg"/><Relationship Id="rId69" Type="http://schemas.openxmlformats.org/officeDocument/2006/relationships/image" Target="../media/f4604267_77ea_11ea_8111_003048fd731b_8c5333aa_5a46_11f0_a775_047c1617b14369.jpeg"/><Relationship Id="rId70" Type="http://schemas.openxmlformats.org/officeDocument/2006/relationships/image" Target="../media/f4604269_77ea_11ea_8111_003048fd731b_8c533382_5a46_11f0_a775_047c1617b14370.jpeg"/><Relationship Id="rId71" Type="http://schemas.openxmlformats.org/officeDocument/2006/relationships/image" Target="../media/b60c0f6a_5f8e_11eb_822d_003048fd731b_8c5333b2_5a46_11f0_a775_047c1617b14371.jpeg"/><Relationship Id="rId72" Type="http://schemas.openxmlformats.org/officeDocument/2006/relationships/image" Target="../media/b60c0f86_5f8e_11eb_822d_003048fd731b_8c5333b6_5a46_11f0_a775_047c1617b14372.jpeg"/><Relationship Id="rId73" Type="http://schemas.openxmlformats.org/officeDocument/2006/relationships/image" Target="../media/b60c0f96_5f8e_11eb_822d_003048fd731b_8c533393_5a46_11f0_a775_047c1617b14373.jpeg"/><Relationship Id="rId74" Type="http://schemas.openxmlformats.org/officeDocument/2006/relationships/image" Target="../media/b60c0f98_5f8e_11eb_822d_003048fd731b_8c5333a6_5a46_11f0_a775_047c1617b14374.jpeg"/><Relationship Id="rId75" Type="http://schemas.openxmlformats.org/officeDocument/2006/relationships/image" Target="../media/b60c0f9e_5f8e_11eb_822d_003048fd731b_8c53338a_5a46_11f0_a775_047c1617b14375.jpeg"/><Relationship Id="rId76" Type="http://schemas.openxmlformats.org/officeDocument/2006/relationships/image" Target="../media/b60c0fa0_5f8e_11eb_822d_003048fd731b_8c53338c_5a46_11f0_a775_047c1617b14376.jpeg"/><Relationship Id="rId77" Type="http://schemas.openxmlformats.org/officeDocument/2006/relationships/image" Target="../media/b60c0fa2_5f8e_11eb_822d_003048fd731b_8c533344_5a46_11f0_a775_047c1617b14377.jpeg"/><Relationship Id="rId78" Type="http://schemas.openxmlformats.org/officeDocument/2006/relationships/image" Target="../media/b60c0fb8_5f8e_11eb_822d_003048fd731b_8c5333c4_5a46_11f0_a775_047c1617b14378.jpeg"/><Relationship Id="rId79" Type="http://schemas.openxmlformats.org/officeDocument/2006/relationships/image" Target="../media/b60c104a_5f8e_11eb_822d_003048fd731b_8c5333b0_5a46_11f0_a775_047c1617b14379.jpeg"/><Relationship Id="rId80" Type="http://schemas.openxmlformats.org/officeDocument/2006/relationships/image" Target="../media/b60c104e_5f8e_11eb_822d_003048fd731b_8c5333b4_5a46_11f0_a775_047c1617b14380.jpeg"/><Relationship Id="rId81" Type="http://schemas.openxmlformats.org/officeDocument/2006/relationships/image" Target="../media/b60c1062_5f8e_11eb_822d_003048fd731b_8c5333ba_5a46_11f0_a775_047c1617b14381.jpeg"/><Relationship Id="rId82" Type="http://schemas.openxmlformats.org/officeDocument/2006/relationships/image" Target="../media/b60c1064_5f8e_11eb_822d_003048fd731b_8c5333bb_5a46_11f0_a775_047c1617b14382.jpeg"/><Relationship Id="rId83" Type="http://schemas.openxmlformats.org/officeDocument/2006/relationships/image" Target="../media/b60c106a_5f8e_11eb_822d_003048fd731b_8c5333c1_5a46_11f0_a775_047c1617b14383.jpeg"/><Relationship Id="rId84" Type="http://schemas.openxmlformats.org/officeDocument/2006/relationships/image" Target="../media/b60c10b2_5f8e_11eb_822d_003048fd731b_8c5333bd_5a46_11f0_a775_047c1617b14384.jpeg"/><Relationship Id="rId85" Type="http://schemas.openxmlformats.org/officeDocument/2006/relationships/image" Target="../media/b60c10b4_5f8e_11eb_822d_003048fd731b_8c5333bf_5a46_11f0_a775_047c1617b14385.jpeg"/><Relationship Id="rId86" Type="http://schemas.openxmlformats.org/officeDocument/2006/relationships/image" Target="../media/febcf9bc_77ea_11ea_8111_003048fd731b_8c5333a8_5a46_11f0_a775_047c1617b14386.jpeg"/><Relationship Id="rId87" Type="http://schemas.openxmlformats.org/officeDocument/2006/relationships/image" Target="../media/b60c1044_5f8e_11eb_822d_003048fd731b_8c53338e_5a46_11f0_a775_047c1617b14387.jpeg"/><Relationship Id="rId88" Type="http://schemas.openxmlformats.org/officeDocument/2006/relationships/image" Target="../media/9311f95a_40dc_11ec_8373_003048fd731b_8c5333a4_5a46_11f0_a775_047c1617b14388.jpeg"/><Relationship Id="rId89" Type="http://schemas.openxmlformats.org/officeDocument/2006/relationships/image" Target="../media/9311f982_40dc_11ec_8373_003048fd731b_8c5333b8_5a46_11f0_a775_047c1617b14389.jpeg"/><Relationship Id="rId90" Type="http://schemas.openxmlformats.org/officeDocument/2006/relationships/image" Target="../media/9311f9b6_40dc_11ec_8373_003048fd731b_8c5333c3_5a46_11f0_a775_047c1617b14390.jpeg"/><Relationship Id="rId91" Type="http://schemas.openxmlformats.org/officeDocument/2006/relationships/image" Target="../media/e0b7e470_be5d_11ec_a276_00259070b487_8c533328_5a46_11f0_a775_047c1617b14391.jpeg"/><Relationship Id="rId92" Type="http://schemas.openxmlformats.org/officeDocument/2006/relationships/image" Target="../media/66efaf61_6e51_11f1_a8ed_047c1617b143_dee899bf_7155_11f1_a8f1_047c1617b14392.jpeg"/><Relationship Id="rId93" Type="http://schemas.openxmlformats.org/officeDocument/2006/relationships/image" Target="../media/40b139a6_ad61_11ea_813b_003048fd731b_b93eaf20_7e65_11eb_8259_003048fd731b93.jpeg"/><Relationship Id="rId94" Type="http://schemas.openxmlformats.org/officeDocument/2006/relationships/image" Target="../media/40b139a8_ad61_11ea_813b_003048fd731b_b93eaf21_7e65_11eb_8259_003048fd731b94.jpeg"/><Relationship Id="rId95" Type="http://schemas.openxmlformats.org/officeDocument/2006/relationships/image" Target="../media/3fc0ec83_ad62_11ea_813b_003048fd731b_b93eaf22_7e65_11eb_8259_003048fd731b95.jpeg"/><Relationship Id="rId96" Type="http://schemas.openxmlformats.org/officeDocument/2006/relationships/image" Target="../media/3fc0ec85_ad62_11ea_813b_003048fd731b_b93eaf23_7e65_11eb_8259_003048fd731b96.jpeg"/><Relationship Id="rId97" Type="http://schemas.openxmlformats.org/officeDocument/2006/relationships/image" Target="../media/3fc0ec87_ad62_11ea_813b_003048fd731b_b93eaf24_7e65_11eb_8259_003048fd731b97.jpeg"/><Relationship Id="rId98" Type="http://schemas.openxmlformats.org/officeDocument/2006/relationships/image" Target="../media/3fc0ec89_ad62_11ea_813b_003048fd731b_b93eaf25_7e65_11eb_8259_003048fd731b98.jpeg"/><Relationship Id="rId99" Type="http://schemas.openxmlformats.org/officeDocument/2006/relationships/image" Target="../media/604c4ea0_d7b4_11ed_a417_047c1617b143_daef3f56_f115_11ee_a58b_047c1617b14399.jpeg"/><Relationship Id="rId100" Type="http://schemas.openxmlformats.org/officeDocument/2006/relationships/image" Target="../media/6685bcbb_6e51_11f1_a8ed_047c1617b143_dee899cb_7155_11f1_a8f1_047c1617b143100.jpeg"/><Relationship Id="rId101" Type="http://schemas.openxmlformats.org/officeDocument/2006/relationships/image" Target="../media/40b13980_ad61_11ea_813b_003048fd731b_b93eaf0b_7e65_11eb_8259_003048fd731b101.jpeg"/><Relationship Id="rId102" Type="http://schemas.openxmlformats.org/officeDocument/2006/relationships/image" Target="../media/40b13982_ad61_11ea_813b_003048fd731b_b93eaf0c_7e65_11eb_8259_003048fd731b102.jpeg"/><Relationship Id="rId103" Type="http://schemas.openxmlformats.org/officeDocument/2006/relationships/image" Target="../media/40b13984_ad61_11ea_813b_003048fd731b_b93eaf0d_7e65_11eb_8259_003048fd731b103.jpeg"/><Relationship Id="rId104" Type="http://schemas.openxmlformats.org/officeDocument/2006/relationships/image" Target="../media/40b13986_ad61_11ea_813b_003048fd731b_b93eaf0e_7e65_11eb_8259_003048fd731b104.jpeg"/><Relationship Id="rId105" Type="http://schemas.openxmlformats.org/officeDocument/2006/relationships/image" Target="../media/40b13988_ad61_11ea_813b_003048fd731b_b93eaf0f_7e65_11eb_8259_003048fd731b105.jpeg"/><Relationship Id="rId106" Type="http://schemas.openxmlformats.org/officeDocument/2006/relationships/image" Target="../media/40b1398c_ad61_11ea_813b_003048fd731b_b93eaf10_7e65_11eb_8259_003048fd731b106.jpeg"/><Relationship Id="rId107" Type="http://schemas.openxmlformats.org/officeDocument/2006/relationships/image" Target="../media/40b1398e_ad61_11ea_813b_003048fd731b_b93eaf11_7e65_11eb_8259_003048fd731b107.jpeg"/><Relationship Id="rId108" Type="http://schemas.openxmlformats.org/officeDocument/2006/relationships/image" Target="../media/40b13990_ad61_11ea_813b_003048fd731b_b93eaf12_7e65_11eb_8259_003048fd731b108.jpeg"/><Relationship Id="rId109" Type="http://schemas.openxmlformats.org/officeDocument/2006/relationships/image" Target="../media/40b1399a_ad61_11ea_813b_003048fd731b_b93eaf17_7e65_11eb_8259_003048fd731b109.jpeg"/><Relationship Id="rId110" Type="http://schemas.openxmlformats.org/officeDocument/2006/relationships/image" Target="../media/40b1399c_ad61_11ea_813b_003048fd731b_b93eaf18_7e65_11eb_8259_003048fd731b110.jpeg"/><Relationship Id="rId111" Type="http://schemas.openxmlformats.org/officeDocument/2006/relationships/image" Target="../media/40b1399e_ad61_11ea_813b_003048fd731b_b93eaf19_7e65_11eb_8259_003048fd731b111.jpeg"/><Relationship Id="rId112" Type="http://schemas.openxmlformats.org/officeDocument/2006/relationships/image" Target="../media/40b139a0_ad61_11ea_813b_003048fd731b_b93eaf1a_7e65_11eb_8259_003048fd731b112.jpeg"/><Relationship Id="rId113" Type="http://schemas.openxmlformats.org/officeDocument/2006/relationships/image" Target="../media/40b139a2_ad61_11ea_813b_003048fd731b_b93eaf1b_7e65_11eb_8259_003048fd731b113.jpeg"/><Relationship Id="rId114" Type="http://schemas.openxmlformats.org/officeDocument/2006/relationships/image" Target="../media/40b139a4_ad61_11ea_813b_003048fd731b_b93eaf1c_7e65_11eb_8259_003048fd731b114.jpeg"/><Relationship Id="rId115" Type="http://schemas.openxmlformats.org/officeDocument/2006/relationships/image" Target="../media/3fc0ec99_ad62_11ea_813b_003048fd731b_b93eaf1d_7e65_11eb_8259_003048fd731b115.jpeg"/><Relationship Id="rId116" Type="http://schemas.openxmlformats.org/officeDocument/2006/relationships/image" Target="../media/3fc0ec9b_ad62_11ea_813b_003048fd731b_b93eaf1e_7e65_11eb_8259_003048fd731b116.jpeg"/><Relationship Id="rId117" Type="http://schemas.openxmlformats.org/officeDocument/2006/relationships/image" Target="../media/3fc0ec9d_ad62_11ea_813b_003048fd731b_b93eaf1f_7e65_11eb_8259_003048fd731b117.jpeg"/><Relationship Id="rId118" Type="http://schemas.openxmlformats.org/officeDocument/2006/relationships/image" Target="../media/f8d83f4a_0ad6_11ec_831e_003048fd731b_f01e389e_67f8_11ec_a210_00259070b487118.jpeg"/><Relationship Id="rId119" Type="http://schemas.openxmlformats.org/officeDocument/2006/relationships/image" Target="../media/ee1596ac_91f2_11f0_a7bf_047c1617b143_703303e1_d01e_11f0_a810_047c1617b143119.png"/><Relationship Id="rId120" Type="http://schemas.openxmlformats.org/officeDocument/2006/relationships/image" Target="../media/ee1596ae_91f2_11f0_a7bf_047c1617b143_d79fde43_96ec_11f0_a7c5_047c1617b143120.jpeg"/><Relationship Id="rId121" Type="http://schemas.openxmlformats.org/officeDocument/2006/relationships/image" Target="../media/ee1596b2_91f2_11f0_a7bf_047c1617b143_da38618c_96e8_11f0_a7c5_047c1617b143121.jpeg"/><Relationship Id="rId122" Type="http://schemas.openxmlformats.org/officeDocument/2006/relationships/image" Target="../media/ee1596b4_91f2_11f0_a7bf_047c1617b143_da38618d_96e8_11f0_a7c5_047c1617b143122.jpeg"/><Relationship Id="rId123" Type="http://schemas.openxmlformats.org/officeDocument/2006/relationships/image" Target="../media/ee1596b6_91f2_11f0_a7bf_047c1617b143_d79fde4a_96ec_11f0_a7c5_047c1617b143123.jpeg"/><Relationship Id="rId124" Type="http://schemas.openxmlformats.org/officeDocument/2006/relationships/image" Target="../media/ee1596b8_91f2_11f0_a7bf_047c1617b143_d79fde44_96ec_11f0_a7c5_047c1617b143124.jpeg"/><Relationship Id="rId125" Type="http://schemas.openxmlformats.org/officeDocument/2006/relationships/image" Target="../media/ee1596bc_91f2_11f0_a7bf_047c1617b143_da38618e_96e8_11f0_a7c5_047c1617b143125.jpeg"/><Relationship Id="rId126" Type="http://schemas.openxmlformats.org/officeDocument/2006/relationships/image" Target="../media/ee1596be_91f2_11f0_a7bf_047c1617b143_da38618f_96e8_11f0_a7c5_047c1617b143126.jpeg"/><Relationship Id="rId127" Type="http://schemas.openxmlformats.org/officeDocument/2006/relationships/image" Target="../media/ee1596c2_91f2_11f0_a7bf_047c1617b143_d79fde45_96ec_11f0_a7c5_047c1617b143127.jpeg"/><Relationship Id="rId128" Type="http://schemas.openxmlformats.org/officeDocument/2006/relationships/image" Target="../media/5f0751d2_a8d2_11ea_8135_003048fd731b_c206fa4c_7e65_11eb_8259_003048fd731b128.jpeg"/><Relationship Id="rId129" Type="http://schemas.openxmlformats.org/officeDocument/2006/relationships/image" Target="../media/5f0751d4_a8d2_11ea_8135_003048fd731b_c206fa4d_7e65_11eb_8259_003048fd731b129.jpeg"/><Relationship Id="rId130" Type="http://schemas.openxmlformats.org/officeDocument/2006/relationships/image" Target="../media/5f0751d6_a8d2_11ea_8135_003048fd731b_c206fa4e_7e65_11eb_8259_003048fd731b130.jpeg"/><Relationship Id="rId131" Type="http://schemas.openxmlformats.org/officeDocument/2006/relationships/image" Target="../media/5f0751da_a8d2_11ea_8135_003048fd731b_c206fa4f_7e65_11eb_8259_003048fd731b131.jpeg"/><Relationship Id="rId132" Type="http://schemas.openxmlformats.org/officeDocument/2006/relationships/image" Target="../media/658053da_a8d2_11ea_8135_003048fd731b_c206fa52_7e65_11eb_8259_003048fd731b132.jpeg"/><Relationship Id="rId133" Type="http://schemas.openxmlformats.org/officeDocument/2006/relationships/image" Target="../media/658053ea_a8d2_11ea_8135_003048fd731b_c206fa53_7e65_11eb_8259_003048fd731b133.jpeg"/><Relationship Id="rId134" Type="http://schemas.openxmlformats.org/officeDocument/2006/relationships/image" Target="../media/658053ec_a8d2_11ea_8135_003048fd731b_c206fa54_7e65_11eb_8259_003048fd731b134.jpeg"/><Relationship Id="rId135" Type="http://schemas.openxmlformats.org/officeDocument/2006/relationships/image" Target="../media/e3aadac9_3a25_11ef_a5ec_047c1617b143_14e1e09a_f93d_11ef_a6ea_047c1617b143135.jpeg"/><Relationship Id="rId136" Type="http://schemas.openxmlformats.org/officeDocument/2006/relationships/image" Target="../media/e3aadacd_3a25_11ef_a5ec_047c1617b143_14e1e099_f93d_11ef_a6ea_047c1617b143136.jpeg"/><Relationship Id="rId137" Type="http://schemas.openxmlformats.org/officeDocument/2006/relationships/image" Target="../media/bff41ff3_d75a_11ef_a6bf_047c1617b143_14e1e098_f93d_11ef_a6ea_047c1617b143137.jpeg"/><Relationship Id="rId138" Type="http://schemas.openxmlformats.org/officeDocument/2006/relationships/image" Target="../media/6685bc93_6e51_11f1_a8ed_047c1617b143_dee899c1_7155_11f1_a8f1_047c1617b143138.jpeg"/><Relationship Id="rId139" Type="http://schemas.openxmlformats.org/officeDocument/2006/relationships/image" Target="../media/6685bc95_6e51_11f1_a8ed_047c1617b143_dee899c2_7155_11f1_a8f1_047c1617b143139.jpeg"/><Relationship Id="rId140" Type="http://schemas.openxmlformats.org/officeDocument/2006/relationships/image" Target="../media/6685bc97_6e51_11f1_a8ed_047c1617b143_dee899c3_7155_11f1_a8f1_047c1617b143140.jpeg"/><Relationship Id="rId141" Type="http://schemas.openxmlformats.org/officeDocument/2006/relationships/image" Target="../media/6685bc99_6e51_11f1_a8ed_047c1617b143_dee899c4_7155_11f1_a8f1_047c1617b143141.jpeg"/><Relationship Id="rId142" Type="http://schemas.openxmlformats.org/officeDocument/2006/relationships/image" Target="../media/5f075254_a8d2_11ea_8135_003048fd731b_c206fa45_7e65_11eb_8259_003048fd731b142.jpeg"/><Relationship Id="rId143" Type="http://schemas.openxmlformats.org/officeDocument/2006/relationships/image" Target="../media/5f075256_a8d2_11ea_8135_003048fd731b_c206fa46_7e65_11eb_8259_003048fd731b143.jpeg"/><Relationship Id="rId144" Type="http://schemas.openxmlformats.org/officeDocument/2006/relationships/image" Target="../media/5f07525c_a8d2_11ea_8135_003048fd731b_c206fa48_7e65_11eb_8259_003048fd731b144.jpeg"/><Relationship Id="rId145" Type="http://schemas.openxmlformats.org/officeDocument/2006/relationships/image" Target="../media/394bab2e_c392_11ea_8157_003048fd731b_64c8baf0_5a46_11f0_a775_047c1617b143145.jpeg"/><Relationship Id="rId146" Type="http://schemas.openxmlformats.org/officeDocument/2006/relationships/image" Target="../media/f8d83f48_0ad6_11ec_831e_003048fd731b_f01e389d_67f8_11ec_a210_00259070b487146.jpeg"/><Relationship Id="rId147" Type="http://schemas.openxmlformats.org/officeDocument/2006/relationships/image" Target="../media/4ce16182_a88f_11ea_8135_003048fd731b_b93eaf26_7e65_11eb_8259_003048fd731b147.jpeg"/><Relationship Id="rId148" Type="http://schemas.openxmlformats.org/officeDocument/2006/relationships/image" Target="../media/4ce16184_a88f_11ea_8135_003048fd731b_b93eaf27_7e65_11eb_8259_003048fd731b148.jpeg"/><Relationship Id="rId149" Type="http://schemas.openxmlformats.org/officeDocument/2006/relationships/image" Target="../media/4ce16186_a88f_11ea_8135_003048fd731b_b93eaf28_7e65_11eb_8259_003048fd731b149.jpeg"/><Relationship Id="rId150" Type="http://schemas.openxmlformats.org/officeDocument/2006/relationships/image" Target="../media/4ce16188_a88f_11ea_8135_003048fd731b_b93eaf29_7e65_11eb_8259_003048fd731b150.jpeg"/><Relationship Id="rId151" Type="http://schemas.openxmlformats.org/officeDocument/2006/relationships/image" Target="../media/4ce1618a_a88f_11ea_8135_003048fd731b_b93eaf2a_7e65_11eb_8259_003048fd731b151.jpeg"/><Relationship Id="rId152" Type="http://schemas.openxmlformats.org/officeDocument/2006/relationships/image" Target="../media/4ce1618c_a88f_11ea_8135_003048fd731b_b93eaf2b_7e65_11eb_8259_003048fd731b152.jpeg"/><Relationship Id="rId153" Type="http://schemas.openxmlformats.org/officeDocument/2006/relationships/image" Target="../media/4ce16192_a88f_11ea_8135_003048fd731b_b93eaf2c_7e65_11eb_8259_003048fd731b153.jpeg"/><Relationship Id="rId154" Type="http://schemas.openxmlformats.org/officeDocument/2006/relationships/image" Target="../media/4ce16194_a88f_11ea_8135_003048fd731b_b93eaf2d_7e65_11eb_8259_003048fd731b154.jpeg"/><Relationship Id="rId155" Type="http://schemas.openxmlformats.org/officeDocument/2006/relationships/image" Target="../media/4ce16196_a88f_11ea_8135_003048fd731b_b93eaf2e_7e65_11eb_8259_003048fd731b155.jpeg"/><Relationship Id="rId156" Type="http://schemas.openxmlformats.org/officeDocument/2006/relationships/image" Target="../media/4ce16198_a88f_11ea_8135_003048fd731b_b93eaf2f_7e65_11eb_8259_003048fd731b156.jpeg"/><Relationship Id="rId157" Type="http://schemas.openxmlformats.org/officeDocument/2006/relationships/image" Target="../media/4ce1619a_a88f_11ea_8135_003048fd731b_b93eaf30_7e65_11eb_8259_003048fd731b157.jpeg"/><Relationship Id="rId158" Type="http://schemas.openxmlformats.org/officeDocument/2006/relationships/image" Target="../media/4ce1619c_a88f_11ea_8135_003048fd731b_b93eaf31_7e65_11eb_8259_003048fd731b158.jpeg"/><Relationship Id="rId159" Type="http://schemas.openxmlformats.org/officeDocument/2006/relationships/image" Target="../media/4ce1619e_a88f_11ea_8135_003048fd731b_00bb7a44_a8d8_11ea_8135_003048fd731b159.jpeg"/><Relationship Id="rId160" Type="http://schemas.openxmlformats.org/officeDocument/2006/relationships/image" Target="../media/4ce161a0_a88f_11ea_8135_003048fd731b_b93eaf33_7e65_11eb_8259_003048fd731b160.jpeg"/><Relationship Id="rId161" Type="http://schemas.openxmlformats.org/officeDocument/2006/relationships/image" Target="../media/4ce161a4_a88f_11ea_8135_003048fd731b_b93eaf35_7e65_11eb_8259_003048fd731b161.jpeg"/><Relationship Id="rId162" Type="http://schemas.openxmlformats.org/officeDocument/2006/relationships/image" Target="../media/4ce161aa_a88f_11ea_8135_003048fd731b_b93eaf36_7e65_11eb_8259_003048fd731b162.jpeg"/><Relationship Id="rId163" Type="http://schemas.openxmlformats.org/officeDocument/2006/relationships/image" Target="../media/4ce161ac_a88f_11ea_8135_003048fd731b_b93eaf37_7e65_11eb_8259_003048fd731b163.jpeg"/><Relationship Id="rId164" Type="http://schemas.openxmlformats.org/officeDocument/2006/relationships/image" Target="../media/4ce161ae_a88f_11ea_8135_003048fd731b_b93eaf38_7e65_11eb_8259_003048fd731b164.jpeg"/><Relationship Id="rId165" Type="http://schemas.openxmlformats.org/officeDocument/2006/relationships/image" Target="../media/4ce161b0_a88f_11ea_8135_003048fd731b_b93eaf39_7e65_11eb_8259_003048fd731b165.jpeg"/><Relationship Id="rId166" Type="http://schemas.openxmlformats.org/officeDocument/2006/relationships/image" Target="../media/4ce161b2_a88f_11ea_8135_003048fd731b_b93eaf3a_7e65_11eb_8259_003048fd731b166.jpeg"/><Relationship Id="rId167" Type="http://schemas.openxmlformats.org/officeDocument/2006/relationships/image" Target="../media/4ce161b6_a88f_11ea_8135_003048fd731b_b93eaf3b_7e65_11eb_8259_003048fd731b167.jpeg"/><Relationship Id="rId168" Type="http://schemas.openxmlformats.org/officeDocument/2006/relationships/image" Target="../media/4ce161b8_a88f_11ea_8135_003048fd731b_b93eaf3c_7e65_11eb_8259_003048fd731b168.jpeg"/><Relationship Id="rId169" Type="http://schemas.openxmlformats.org/officeDocument/2006/relationships/image" Target="../media/4ce161ba_a88f_11ea_8135_003048fd731b_b93eaf3d_7e65_11eb_8259_003048fd731b169.jpeg"/><Relationship Id="rId170" Type="http://schemas.openxmlformats.org/officeDocument/2006/relationships/image" Target="../media/4ce161be_a88f_11ea_8135_003048fd731b_b93eaf3e_7e65_11eb_8259_003048fd731b170.jpeg"/><Relationship Id="rId171" Type="http://schemas.openxmlformats.org/officeDocument/2006/relationships/image" Target="../media/5f07511c_a8d2_11ea_8135_003048fd731b_b93eaf3f_7e65_11eb_8259_003048fd731b171.jpeg"/><Relationship Id="rId172" Type="http://schemas.openxmlformats.org/officeDocument/2006/relationships/image" Target="../media/5f075134_a8d2_11ea_8135_003048fd731b_b93eaf40_7e65_11eb_8259_003048fd731b172.jpeg"/><Relationship Id="rId173" Type="http://schemas.openxmlformats.org/officeDocument/2006/relationships/image" Target="../media/5f075138_a8d2_11ea_8135_003048fd731b_b93eaf42_7e65_11eb_8259_003048fd731b173.jpeg"/><Relationship Id="rId174" Type="http://schemas.openxmlformats.org/officeDocument/2006/relationships/image" Target="../media/5f07513c_a8d2_11ea_8135_003048fd731b_b93eaf43_7e65_11eb_8259_003048fd731b174.jpeg"/><Relationship Id="rId175" Type="http://schemas.openxmlformats.org/officeDocument/2006/relationships/image" Target="../media/5f07513e_a8d2_11ea_8135_003048fd731b_b93eaf44_7e65_11eb_8259_003048fd731b175.jpeg"/><Relationship Id="rId176" Type="http://schemas.openxmlformats.org/officeDocument/2006/relationships/image" Target="../media/5f075140_a8d2_11ea_8135_003048fd731b_c206f9f2_7e65_11eb_8259_003048fd731b176.jpeg"/><Relationship Id="rId177" Type="http://schemas.openxmlformats.org/officeDocument/2006/relationships/image" Target="../media/5f075148_a8d2_11ea_8135_003048fd731b_00bb7a6b_a8d8_11ea_8135_003048fd731b177.jpeg"/><Relationship Id="rId178" Type="http://schemas.openxmlformats.org/officeDocument/2006/relationships/image" Target="../media/5f075152_a8d2_11ea_8135_003048fd731b_c206f9f8_7e65_11eb_8259_003048fd731b178.jpeg"/><Relationship Id="rId179" Type="http://schemas.openxmlformats.org/officeDocument/2006/relationships/image" Target="../media/5f075154_a8d2_11ea_8135_003048fd731b_c206f9f9_7e65_11eb_8259_003048fd731b179.jpeg"/><Relationship Id="rId180" Type="http://schemas.openxmlformats.org/officeDocument/2006/relationships/image" Target="../media/5f07515a_a8d2_11ea_8135_003048fd731b_c206f9fc_7e65_11eb_8259_003048fd731b180.jpeg"/><Relationship Id="rId181" Type="http://schemas.openxmlformats.org/officeDocument/2006/relationships/image" Target="../media/5f07515e_a8d2_11ea_8135_003048fd731b_c206f9fd_7e65_11eb_8259_003048fd731b181.jpeg"/><Relationship Id="rId182" Type="http://schemas.openxmlformats.org/officeDocument/2006/relationships/image" Target="../media/5f075160_a8d2_11ea_8135_003048fd731b_00bb7a77_a8d8_11ea_8135_003048fd731b182.jpeg"/><Relationship Id="rId183" Type="http://schemas.openxmlformats.org/officeDocument/2006/relationships/image" Target="../media/5f075162_a8d2_11ea_8135_003048fd731b_c206f9fe_7e65_11eb_8259_003048fd731b183.jpeg"/><Relationship Id="rId184" Type="http://schemas.openxmlformats.org/officeDocument/2006/relationships/image" Target="../media/5f075166_a8d2_11ea_8135_003048fd731b_c206fa00_7e65_11eb_8259_003048fd731b184.jpeg"/><Relationship Id="rId185" Type="http://schemas.openxmlformats.org/officeDocument/2006/relationships/image" Target="../media/5f07516c_a8d2_11ea_8135_003048fd731b_c206fa02_7e65_11eb_8259_003048fd731b185.jpeg"/><Relationship Id="rId186" Type="http://schemas.openxmlformats.org/officeDocument/2006/relationships/image" Target="../media/5f075180_a8d2_11ea_8135_003048fd731b_c206fa0a_7e65_11eb_8259_003048fd731b186.jpeg"/><Relationship Id="rId187" Type="http://schemas.openxmlformats.org/officeDocument/2006/relationships/image" Target="../media/5f075184_a8d2_11ea_8135_003048fd731b_c206fa0c_7e65_11eb_8259_003048fd731b187.jpeg"/><Relationship Id="rId188" Type="http://schemas.openxmlformats.org/officeDocument/2006/relationships/image" Target="../media/5f07518c_a8d2_11ea_8135_003048fd731b_c206fa0e_7e65_11eb_8259_003048fd731b188.jpeg"/><Relationship Id="rId189" Type="http://schemas.openxmlformats.org/officeDocument/2006/relationships/image" Target="../media/5f075190_a8d2_11ea_8135_003048fd731b_a73d6ba8_3fbb_11ef_a5f3_047c1617b143189.jpeg"/><Relationship Id="rId190" Type="http://schemas.openxmlformats.org/officeDocument/2006/relationships/image" Target="../media/5f075194_a8d2_11ea_8135_003048fd731b_a73d6baa_3fbb_11ef_a5f3_047c1617b143190.jpeg"/><Relationship Id="rId191" Type="http://schemas.openxmlformats.org/officeDocument/2006/relationships/image" Target="../media/5f0751a6_a8d2_11ea_8135_003048fd731b_a73d6bac_3fbb_11ef_a5f3_047c1617b143191.jpeg"/><Relationship Id="rId192" Type="http://schemas.openxmlformats.org/officeDocument/2006/relationships/image" Target="../media/5f0751a8_a8d2_11ea_8135_003048fd731b_a73d6bae_3fbb_11ef_a5f3_047c1617b143192.jpeg"/><Relationship Id="rId193" Type="http://schemas.openxmlformats.org/officeDocument/2006/relationships/image" Target="../media/5f0751aa_a8d2_11ea_8135_003048fd731b_c206fa14_7e65_11eb_8259_003048fd731b193.jpeg"/><Relationship Id="rId194" Type="http://schemas.openxmlformats.org/officeDocument/2006/relationships/image" Target="../media/5f0751ae_a8d2_11ea_8135_003048fd731b_c206fa16_7e65_11eb_8259_003048fd731b194.jpeg"/><Relationship Id="rId195" Type="http://schemas.openxmlformats.org/officeDocument/2006/relationships/image" Target="../media/5f0751b4_a8d2_11ea_8135_003048fd731b_c206fa18_7e65_11eb_8259_003048fd731b195.jpeg"/><Relationship Id="rId196" Type="http://schemas.openxmlformats.org/officeDocument/2006/relationships/image" Target="../media/5f0751b6_a8d2_11ea_8135_003048fd731b_c206fa19_7e65_11eb_8259_003048fd731b196.jpeg"/><Relationship Id="rId197" Type="http://schemas.openxmlformats.org/officeDocument/2006/relationships/image" Target="../media/5f0751ba_a8d2_11ea_8135_003048fd731b_c206fa1a_7e65_11eb_8259_003048fd731b197.jpeg"/><Relationship Id="rId198" Type="http://schemas.openxmlformats.org/officeDocument/2006/relationships/image" Target="../media/5f0751bc_a8d2_11ea_8135_003048fd731b_c206fa1b_7e65_11eb_8259_003048fd731b198.jpeg"/><Relationship Id="rId199" Type="http://schemas.openxmlformats.org/officeDocument/2006/relationships/image" Target="../media/5f0751c2_a8d2_11ea_8135_003048fd731b_c206fa1c_7e65_11eb_8259_003048fd731b199.jpeg"/><Relationship Id="rId200" Type="http://schemas.openxmlformats.org/officeDocument/2006/relationships/image" Target="../media/5f0751c4_a8d2_11ea_8135_003048fd731b_c206fa1d_7e65_11eb_8259_003048fd731b200.jpeg"/><Relationship Id="rId201" Type="http://schemas.openxmlformats.org/officeDocument/2006/relationships/image" Target="../media/5f0751c6_a8d2_11ea_8135_003048fd731b_c206fa1e_7e65_11eb_8259_003048fd731b201.jpeg"/><Relationship Id="rId202" Type="http://schemas.openxmlformats.org/officeDocument/2006/relationships/image" Target="../media/5f0751ca_a8d2_11ea_8135_003048fd731b_c206fa1f_7e65_11eb_8259_003048fd731b202.jpeg"/><Relationship Id="rId203" Type="http://schemas.openxmlformats.org/officeDocument/2006/relationships/image" Target="../media/5f0751d0_a8d2_11ea_8135_003048fd731b_00bb7aac_a8d8_11ea_8135_003048fd731b203.jpeg"/><Relationship Id="rId204" Type="http://schemas.openxmlformats.org/officeDocument/2006/relationships/image" Target="../media/5f0751de_a8d2_11ea_8135_003048fd731b_c206fa20_7e65_11eb_8259_003048fd731b204.jpeg"/><Relationship Id="rId205" Type="http://schemas.openxmlformats.org/officeDocument/2006/relationships/image" Target="../media/5f0751e4_a8d2_11ea_8135_003048fd731b_c206fa23_7e65_11eb_8259_003048fd731b205.jpeg"/><Relationship Id="rId206" Type="http://schemas.openxmlformats.org/officeDocument/2006/relationships/image" Target="../media/5f0751ea_a8d2_11ea_8135_003048fd731b_cfa971b9_7e65_11eb_8259_003048fd731b206.jpeg"/><Relationship Id="rId207" Type="http://schemas.openxmlformats.org/officeDocument/2006/relationships/image" Target="../media/5f0751ee_a8d2_11ea_8135_003048fd731b_c206fa25_7e65_11eb_8259_003048fd731b207.jpeg"/><Relationship Id="rId208" Type="http://schemas.openxmlformats.org/officeDocument/2006/relationships/image" Target="../media/5f0751f0_a8d2_11ea_8135_003048fd731b_c206fa26_7e65_11eb_8259_003048fd731b208.jpeg"/><Relationship Id="rId209" Type="http://schemas.openxmlformats.org/officeDocument/2006/relationships/image" Target="../media/5f0751f4_a8d2_11ea_8135_003048fd731b_c206fa27_7e65_11eb_8259_003048fd731b209.jpeg"/><Relationship Id="rId210" Type="http://schemas.openxmlformats.org/officeDocument/2006/relationships/image" Target="../media/5f0751f8_a8d2_11ea_8135_003048fd731b_c206fa29_7e65_11eb_8259_003048fd731b210.jpeg"/><Relationship Id="rId211" Type="http://schemas.openxmlformats.org/officeDocument/2006/relationships/image" Target="../media/5f0751fa_a8d2_11ea_8135_003048fd731b_00bb7ac1_a8d8_11ea_8135_003048fd731b211.jpeg"/><Relationship Id="rId212" Type="http://schemas.openxmlformats.org/officeDocument/2006/relationships/image" Target="../media/5f0751fc_a8d2_11ea_8135_003048fd731b_c206fa2b_7e65_11eb_8259_003048fd731b212.jpeg"/><Relationship Id="rId213" Type="http://schemas.openxmlformats.org/officeDocument/2006/relationships/image" Target="../media/5f075274_a8d2_11ea_8135_003048fd731b_49c4af14_056a_11f0_a6fc_047c1617b143213.jpeg"/><Relationship Id="rId214" Type="http://schemas.openxmlformats.org/officeDocument/2006/relationships/image" Target="../media/5f075276_a8d2_11ea_8135_003048fd731b_c206fa2d_7e65_11eb_8259_003048fd731b214.jpeg"/><Relationship Id="rId215" Type="http://schemas.openxmlformats.org/officeDocument/2006/relationships/image" Target="../media/5f075278_a8d2_11ea_8135_003048fd731b_c206fa2e_7e65_11eb_8259_003048fd731b215.jpeg"/><Relationship Id="rId216" Type="http://schemas.openxmlformats.org/officeDocument/2006/relationships/image" Target="../media/5f075280_a8d2_11ea_8135_003048fd731b_c206fa2f_7e65_11eb_8259_003048fd731b216.jpeg"/><Relationship Id="rId217" Type="http://schemas.openxmlformats.org/officeDocument/2006/relationships/image" Target="../media/5f075282_a8d2_11ea_8135_003048fd731b_c206fa30_7e65_11eb_8259_003048fd731b217.jpeg"/><Relationship Id="rId218" Type="http://schemas.openxmlformats.org/officeDocument/2006/relationships/image" Target="../media/5f075284_a8d2_11ea_8135_003048fd731b_c206fa31_7e65_11eb_8259_003048fd731b218.jpeg"/><Relationship Id="rId219" Type="http://schemas.openxmlformats.org/officeDocument/2006/relationships/image" Target="../media/5f07528a_a8d2_11ea_8135_003048fd731b_c206fa32_7e65_11eb_8259_003048fd731b219.jpeg"/><Relationship Id="rId220" Type="http://schemas.openxmlformats.org/officeDocument/2006/relationships/image" Target="../media/5f07528c_a8d2_11ea_8135_003048fd731b_c206fa33_7e65_11eb_8259_003048fd731b220.jpeg"/><Relationship Id="rId221" Type="http://schemas.openxmlformats.org/officeDocument/2006/relationships/image" Target="../media/5f07528e_a8d2_11ea_8135_003048fd731b_c206fa34_7e65_11eb_8259_003048fd731b221.jpeg"/><Relationship Id="rId222" Type="http://schemas.openxmlformats.org/officeDocument/2006/relationships/image" Target="../media/5f075290_a8d2_11ea_8135_003048fd731b_c206fa35_7e65_11eb_8259_003048fd731b222.jpeg"/><Relationship Id="rId223" Type="http://schemas.openxmlformats.org/officeDocument/2006/relationships/image" Target="../media/658053b0_a8d2_11ea_8135_003048fd731b_00bb7b1b_a8d8_11ea_8135_003048fd731b223.jpeg"/><Relationship Id="rId224" Type="http://schemas.openxmlformats.org/officeDocument/2006/relationships/image" Target="../media/658053b2_a8d2_11ea_8135_003048fd731b_c206fa37_7e65_11eb_8259_003048fd731b224.jpeg"/><Relationship Id="rId225" Type="http://schemas.openxmlformats.org/officeDocument/2006/relationships/image" Target="../media/658053b4_a8d2_11ea_8135_003048fd731b_c206fa38_7e65_11eb_8259_003048fd731b225.jpeg"/><Relationship Id="rId226" Type="http://schemas.openxmlformats.org/officeDocument/2006/relationships/image" Target="../media/658053b6_a8d2_11ea_8135_003048fd731b_c206fa39_7e65_11eb_8259_003048fd731b226.jpeg"/><Relationship Id="rId227" Type="http://schemas.openxmlformats.org/officeDocument/2006/relationships/image" Target="../media/658053b8_a8d2_11ea_8135_003048fd731b_c206fa3a_7e65_11eb_8259_003048fd731b227.jpeg"/><Relationship Id="rId228" Type="http://schemas.openxmlformats.org/officeDocument/2006/relationships/image" Target="../media/658053be_a8d2_11ea_8135_003048fd731b_c206fa3b_7e65_11eb_8259_003048fd731b228.jpeg"/><Relationship Id="rId229" Type="http://schemas.openxmlformats.org/officeDocument/2006/relationships/image" Target="../media/658053c2_a8d2_11ea_8135_003048fd731b_c206fa3d_7e65_11eb_8259_003048fd731b229.jpeg"/><Relationship Id="rId230" Type="http://schemas.openxmlformats.org/officeDocument/2006/relationships/image" Target="../media/658053ca_a8d2_11ea_8135_003048fd731b_c206fa3f_7e65_11eb_8259_003048fd731b230.jpeg"/><Relationship Id="rId231" Type="http://schemas.openxmlformats.org/officeDocument/2006/relationships/image" Target="../media/658053d2_a8d2_11ea_8135_003048fd731b_c206fa41_7e65_11eb_8259_003048fd731b231.jpeg"/><Relationship Id="rId232" Type="http://schemas.openxmlformats.org/officeDocument/2006/relationships/image" Target="../media/658053de_a8d2_11ea_8135_003048fd731b_c206fa42_7e65_11eb_8259_003048fd731b232.jpeg"/><Relationship Id="rId233" Type="http://schemas.openxmlformats.org/officeDocument/2006/relationships/image" Target="../media/658053e2_a8d2_11ea_8135_003048fd731b_00bb7b34_a8d8_11ea_8135_003048fd731b233.jpeg"/><Relationship Id="rId234" Type="http://schemas.openxmlformats.org/officeDocument/2006/relationships/image" Target="../media/6dfb45a1_f78f_11ea_819f_003048fd731b_c206fa43_7e65_11eb_8259_003048fd731b234.jpeg"/><Relationship Id="rId235" Type="http://schemas.openxmlformats.org/officeDocument/2006/relationships/image" Target="../media/33dad9b9_296e_11eb_81e2_003048fd731b_c206fa44_7e65_11eb_8259_003048fd731b235.jpeg"/><Relationship Id="rId236" Type="http://schemas.openxmlformats.org/officeDocument/2006/relationships/image" Target="../media/3d54d8a9_7f15_11eb_825a_003048fd731b_f01e3899_67f8_11ec_a210_00259070b487236.jpeg"/><Relationship Id="rId237" Type="http://schemas.openxmlformats.org/officeDocument/2006/relationships/image" Target="../media/3d54d8a7_7f15_11eb_825a_003048fd731b_f01e389a_67f8_11ec_a210_00259070b487237.jpeg"/><Relationship Id="rId238" Type="http://schemas.openxmlformats.org/officeDocument/2006/relationships/image" Target="../media/f8d83f46_0ad6_11ec_831e_003048fd731b_a73d6baf_3fbb_11ef_a5f3_047c1617b143238.jpeg"/><Relationship Id="rId239" Type="http://schemas.openxmlformats.org/officeDocument/2006/relationships/image" Target="../media/c44ddb11_a778_11ec_a25c_00259070b487_a73d6bb1_3fbb_11ef_a5f3_047c1617b143239.jpeg"/><Relationship Id="rId240" Type="http://schemas.openxmlformats.org/officeDocument/2006/relationships/image" Target="../media/c44ddb13_a778_11ec_a25c_00259070b487_a73d6bb4_3fbb_11ef_a5f3_047c1617b143240.png"/><Relationship Id="rId241" Type="http://schemas.openxmlformats.org/officeDocument/2006/relationships/image" Target="../media/c44ddb15_a778_11ec_a25c_00259070b487_daef3f54_f115_11ee_a58b_047c1617b143241.jpeg"/><Relationship Id="rId242" Type="http://schemas.openxmlformats.org/officeDocument/2006/relationships/image" Target="../media/6652a162_b63d_11ec_a26a_00259070b487_a73d6bb8_3fbb_11ef_a5f3_047c1617b143242.jpeg"/><Relationship Id="rId243" Type="http://schemas.openxmlformats.org/officeDocument/2006/relationships/image" Target="../media/6652a164_b63d_11ec_a26a_00259070b487_a73d6bbb_3fbb_11ef_a5f3_047c1617b143243.jpeg"/><Relationship Id="rId244" Type="http://schemas.openxmlformats.org/officeDocument/2006/relationships/image" Target="../media/3ab9550f_2b35_11ec_8350_003048fd731b_f01e38a2_67f8_11ec_a210_00259070b487244.jpeg"/><Relationship Id="rId245" Type="http://schemas.openxmlformats.org/officeDocument/2006/relationships/image" Target="../media/a16b84a3_663d_11ed_a377_047c1617b143_a73d6bbe_3fbb_11ef_a5f3_047c1617b143245.png"/><Relationship Id="rId246" Type="http://schemas.openxmlformats.org/officeDocument/2006/relationships/image" Target="../media/3a60339e_93a4_11ee_a50e_047c1617b143_d0f60f8c_ca39_11ee_a557_047c1617b143246.jpeg"/><Relationship Id="rId247" Type="http://schemas.openxmlformats.org/officeDocument/2006/relationships/image" Target="../media/ef459a4a_91f1_11f0_a7bf_047c1617b143_d79fde4d_96ec_11f0_a7c5_047c1617b143247.jpeg"/><Relationship Id="rId248" Type="http://schemas.openxmlformats.org/officeDocument/2006/relationships/image" Target="../media/ef459a4c_91f1_11f0_a7bf_047c1617b143_d79fde4c_96ec_11f0_a7c5_047c1617b143248.jpeg"/><Relationship Id="rId249" Type="http://schemas.openxmlformats.org/officeDocument/2006/relationships/image" Target="../media/ef459a4e_91f1_11f0_a7bf_047c1617b143_d79fde51_96ec_11f0_a7c5_047c1617b143249.jpeg"/><Relationship Id="rId250" Type="http://schemas.openxmlformats.org/officeDocument/2006/relationships/image" Target="../media/ef459a50_91f1_11f0_a7bf_047c1617b143_d79fde4b_96ec_11f0_a7c5_047c1617b143250.jpeg"/><Relationship Id="rId251" Type="http://schemas.openxmlformats.org/officeDocument/2006/relationships/image" Target="../media/5e9c589f_6e09_11f1_a8ed_047c1617b143_cdb18594_7159_11f1_a8f1_047c1617b143251.jpeg"/><Relationship Id="rId252" Type="http://schemas.openxmlformats.org/officeDocument/2006/relationships/image" Target="../media/5e9c58a3_6e09_11f1_a8ed_047c1617b143_cdb18596_7159_11f1_a8f1_047c1617b143252.jpeg"/><Relationship Id="rId253" Type="http://schemas.openxmlformats.org/officeDocument/2006/relationships/image" Target="../media/5e9c58a5_6e09_11f1_a8ed_047c1617b143_cdb18593_7159_11f1_a8f1_047c1617b143253.jpeg"/><Relationship Id="rId254" Type="http://schemas.openxmlformats.org/officeDocument/2006/relationships/image" Target="../media/6685bc87_6e51_11f1_a8ed_047c1617b143_dee899d2_7155_11f1_a8f1_047c1617b143254.jpeg"/><Relationship Id="rId255" Type="http://schemas.openxmlformats.org/officeDocument/2006/relationships/image" Target="../media/6685bc89_6e51_11f1_a8ed_047c1617b143_cdb18590_7159_11f1_a8f1_047c1617b143255.jpeg"/><Relationship Id="rId256" Type="http://schemas.openxmlformats.org/officeDocument/2006/relationships/image" Target="../media/6685bc8b_6e51_11f1_a8ed_047c1617b143_cdb18591_7159_11f1_a8f1_047c1617b143256.jpeg"/><Relationship Id="rId257" Type="http://schemas.openxmlformats.org/officeDocument/2006/relationships/image" Target="../media/6685bc8d_6e51_11f1_a8ed_047c1617b143_cdb18592_7159_11f1_a8f1_047c1617b143257.jpeg"/><Relationship Id="rId258" Type="http://schemas.openxmlformats.org/officeDocument/2006/relationships/image" Target="../media/6685bc8f_6e51_11f1_a8ed_047c1617b143_dee899c5_7155_11f1_a8f1_047c1617b143258.jpeg"/><Relationship Id="rId259" Type="http://schemas.openxmlformats.org/officeDocument/2006/relationships/image" Target="../media/6685bc91_6e51_11f1_a8ed_047c1617b143_dee899c6_7155_11f1_a8f1_047c1617b143259.jpeg"/><Relationship Id="rId260" Type="http://schemas.openxmlformats.org/officeDocument/2006/relationships/image" Target="../media/6685bc9d_6e51_11f1_a8ed_047c1617b143_cdb185a0_7159_11f1_a8f1_047c1617b143260.jpeg"/><Relationship Id="rId261" Type="http://schemas.openxmlformats.org/officeDocument/2006/relationships/image" Target="../media/6685bc9f_6e51_11f1_a8ed_047c1617b143_cdb185a1_7159_11f1_a8f1_047c1617b143261.jpeg"/><Relationship Id="rId262" Type="http://schemas.openxmlformats.org/officeDocument/2006/relationships/image" Target="../media/6685bca3_6e51_11f1_a8ed_047c1617b143_cdb18597_7159_11f1_a8f1_047c1617b143262.jpeg"/><Relationship Id="rId263" Type="http://schemas.openxmlformats.org/officeDocument/2006/relationships/image" Target="../media/6685bca5_6e51_11f1_a8ed_047c1617b143_cdb18599_7159_11f1_a8f1_047c1617b143263.jpeg"/><Relationship Id="rId264" Type="http://schemas.openxmlformats.org/officeDocument/2006/relationships/image" Target="../media/6685bca7_6e51_11f1_a8ed_047c1617b143_cdb1859a_7159_11f1_a8f1_047c1617b143264.jpeg"/><Relationship Id="rId265" Type="http://schemas.openxmlformats.org/officeDocument/2006/relationships/image" Target="../media/6685bcb1_6e51_11f1_a8ed_047c1617b143_cdb18598_7159_11f1_a8f1_047c1617b143265.jpeg"/><Relationship Id="rId266" Type="http://schemas.openxmlformats.org/officeDocument/2006/relationships/image" Target="../media/145702d2_6cca_11ed_a380_047c1617b143_daef3f52_f115_11ee_a58b_047c1617b1432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2" name="Image_99" descr="Image_9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3" name="Image_100" descr="Image_10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4" name="Image_101" descr="Image_10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5" name="Image_102" descr="Image_10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6" name="Image_103" descr="Image_10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0" name="Image_108" descr="Image_108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1" name="Image_109" descr="Image_109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2" name="Image_110" descr="Image_110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3" name="Image_111" descr="Image_111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4" name="Image_112" descr="Image_112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5" name="Image_113" descr="Image_113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6" name="Image_114" descr="Image_114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7" name="Image_115" descr="Image_115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8" name="Image_116" descr="Image_116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9" name="Image_117" descr="Image_117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0" name="Image_118" descr="Image_11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1" name="Image_119" descr="Image_11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2" name="Image_120" descr="Image_12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3" name="Image_121" descr="Image_12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4" name="Image_122" descr="Image_12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5" name="Image_123" descr="Image_12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6" name="Image_124" descr="Image_12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7" name="Image_125" descr="Image_1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076325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33475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076325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038225"/>
    <xdr:pic>
      <xdr:nvPicPr>
        <xdr:cNvPr id="123" name="Image_132" descr="Image_13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076325"/>
    <xdr:pic>
      <xdr:nvPicPr>
        <xdr:cNvPr id="124" name="Image_133" descr="Image_13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981075"/>
    <xdr:pic>
      <xdr:nvPicPr>
        <xdr:cNvPr id="125" name="Image_134" descr="Image_134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942975"/>
    <xdr:pic>
      <xdr:nvPicPr>
        <xdr:cNvPr id="126" name="Image_135" descr="Image_135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914400"/>
    <xdr:pic>
      <xdr:nvPicPr>
        <xdr:cNvPr id="127" name="Image_136" descr="Image_136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8" name="Image_139" descr="Image_13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9" name="Image_140" descr="Image_14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0" name="Image_141" descr="Image_14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1" name="Image_142" descr="Image_142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2" name="Image_143" descr="Image_143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3" name="Image_144" descr="Image_144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4" name="Image_145" descr="Image_145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5" name="Image_146" descr="Image_146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6" name="Image_147" descr="Image_147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7" name="Image_148" descr="Image_148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8" name="Image_149" descr="Image_149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9" name="Image_150" descr="Image_150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0" name="Image_151" descr="Image_151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1" name="Image_152" descr="Image_152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2" name="Image_154" descr="Image_154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3" name="Image_155" descr="Image_15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4" name="Image_156" descr="Image_15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5" name="Image_157" descr="Image_15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6" name="Image_158" descr="Image_15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7" name="Image_160" descr="Image_16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8" name="Image_161" descr="Image_16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9" name="Image_162" descr="Image_16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0" name="Image_163" descr="Image_16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1" name="Image_164" descr="Image_16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2" name="Image_165" descr="Image_16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3" name="Image_166" descr="Image_16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4" name="Image_167" descr="Image_16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5" name="Image_168" descr="Image_16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6" name="Image_169" descr="Image_16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7" name="Image_170" descr="Image_17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8" name="Image_171" descr="Image_17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9" name="Image_172" descr="Image_17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0" name="Image_173" descr="Image_17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1" name="Image_174" descr="Image_17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2" name="Image_175" descr="Image_17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3" name="Image_176" descr="Image_17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4" name="Image_177" descr="Image_17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5" name="Image_178" descr="Image_17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6" name="Image_179" descr="Image_17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7" name="Image_180" descr="Image_18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8" name="Image_181" descr="Image_18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9" name="Image_182" descr="Image_18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0" name="Image_183" descr="Image_18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1" name="Image_184" descr="Image_18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2" name="Image_185" descr="Image_18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3" name="Image_186" descr="Image_18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4" name="Image_187" descr="Image_18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5" name="Image_188" descr="Image_18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6" name="Image_189" descr="Image_18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7" name="Image_190" descr="Image_19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8" name="Image_191" descr="Image_19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9" name="Image_192" descr="Image_19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0" name="Image_193" descr="Image_19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1" name="Image_194" descr="Image_19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2" name="Image_195" descr="Image_19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3" name="Image_196" descr="Image_19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4" name="Image_197" descr="Image_19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5" name="Image_198" descr="Image_19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6" name="Image_199" descr="Image_19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7" name="Image_200" descr="Image_20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8" name="Image_201" descr="Image_20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9" name="Image_202" descr="Image_20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0" name="Image_203" descr="Image_20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1" name="Image_204" descr="Image_20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2" name="Image_205" descr="Image_20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3" name="Image_206" descr="Image_20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4" name="Image_207" descr="Image_20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5" name="Image_208" descr="Image_208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6" name="Image_209" descr="Image_209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7" name="Image_210" descr="Image_21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8" name="Image_211" descr="Image_21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9" name="Image_212" descr="Image_21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0" name="Image_213" descr="Image_21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1" name="Image_214" descr="Image_21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2" name="Image_215" descr="Image_21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3" name="Image_216" descr="Image_21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4" name="Image_217" descr="Image_21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5" name="Image_218" descr="Image_21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6" name="Image_219" descr="Image_21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7" name="Image_220" descr="Image_22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8" name="Image_221" descr="Image_221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9" name="Image_222" descr="Image_222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0" name="Image_223" descr="Image_223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1" name="Image_224" descr="Image_22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2" name="Image_225" descr="Image_22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3" name="Image_226" descr="Image_226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4" name="Image_227" descr="Image_227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5" name="Image_228" descr="Image_228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6" name="Image_229" descr="Image_229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7" name="Image_230" descr="Image_23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8" name="Image_231" descr="Image_231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9" name="Image_232" descr="Image_23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0" name="Image_233" descr="Image_233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1" name="Image_234" descr="Image_234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2" name="Image_235" descr="Image_23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3" name="Image_236" descr="Image_236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4" name="Image_237" descr="Image_23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5" name="Image_238" descr="Image_238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6" name="Image_239" descr="Image_23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7" name="Image_240" descr="Image_24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8" name="Image_241" descr="Image_24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9" name="Image_242" descr="Image_24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0" name="Image_243" descr="Image_24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1" name="Image_244" descr="Image_24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2" name="Image_245" descr="Image_24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3" name="Image_246" descr="Image_24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4" name="Image_247" descr="Image_24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5" name="Image_248" descr="Image_248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6" name="Image_249" descr="Image_24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7" name="Image_250" descr="Image_25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8" name="Image_251" descr="Image_25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9" name="Image_252" descr="Image_25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0" name="Image_253" descr="Image_25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1" name="Image_254" descr="Image_25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2" name="Image_255" descr="Image_25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3" name="Image_256" descr="Image_25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4" name="Image_257" descr="Image_25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5" name="Image_258" descr="Image_25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6" name="Image_259" descr="Image_25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7" name="Image_260" descr="Image_26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028700"/>
    <xdr:pic>
      <xdr:nvPicPr>
        <xdr:cNvPr id="248" name="Image_261" descr="Image_26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9" name="Image_262" descr="Image_26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038225"/>
    <xdr:pic>
      <xdr:nvPicPr>
        <xdr:cNvPr id="250" name="Image_263" descr="Image_26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1" name="Image_264" descr="Image_26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2" name="Image_265" descr="Image_26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3" name="Image_266" descr="Image_26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4" name="Image_267" descr="Image_26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5" name="Image_268" descr="Image_26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6" name="Image_269" descr="Image_26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7" name="Image_270" descr="Image_27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8" name="Image_271" descr="Image_27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9" name="Image_272" descr="Image_27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0" name="Image_273" descr="Image_27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1" name="Image_274" descr="Image_27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2" name="Image_275" descr="Image_27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3" name="Image_276" descr="Image_27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4" name="Image_277" descr="Image_27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5" name="Image_278" descr="Image_27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6" name="Image_279" descr="Image_27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825926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J6*7815.80</f>
        <v>0</v>
      </c>
      <c r="L6" s="5"/>
    </row>
    <row r="7" spans="1:12" customHeight="1" ht="105" outlineLevel="5">
      <c r="A7" s="1"/>
      <c r="B7" s="1">
        <v>825927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J7*4935.80</f>
        <v>0</v>
      </c>
      <c r="L7" s="5"/>
    </row>
    <row r="8" spans="1:12" customHeight="1" ht="105" outlineLevel="5">
      <c r="A8" s="1"/>
      <c r="B8" s="1">
        <v>825928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J8*4488.81</f>
        <v>0</v>
      </c>
      <c r="L8" s="5"/>
    </row>
    <row r="9" spans="1:12" customHeight="1" ht="105" outlineLevel="5">
      <c r="A9" s="1"/>
      <c r="B9" s="1">
        <v>825929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J9*6269.63</f>
        <v>0</v>
      </c>
      <c r="L9" s="5"/>
    </row>
    <row r="10" spans="1:12" customHeight="1" ht="105" outlineLevel="5">
      <c r="A10" s="1"/>
      <c r="B10" s="1">
        <v>825930</v>
      </c>
      <c r="C10" s="1" t="s">
        <v>31</v>
      </c>
      <c r="D10" s="1" t="s">
        <v>32</v>
      </c>
      <c r="E10" s="2" t="s">
        <v>25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J10*5209.52</f>
        <v>0</v>
      </c>
      <c r="L10" s="5"/>
    </row>
    <row r="11" spans="1:12" customHeight="1" ht="105" outlineLevel="5">
      <c r="A11" s="1"/>
      <c r="B11" s="1">
        <v>825931</v>
      </c>
      <c r="C11" s="1" t="s">
        <v>34</v>
      </c>
      <c r="D11" s="1" t="s">
        <v>35</v>
      </c>
      <c r="E11" s="2" t="s">
        <v>25</v>
      </c>
      <c r="F11" s="2" t="s">
        <v>36</v>
      </c>
      <c r="G11" s="2">
        <v>0</v>
      </c>
      <c r="H11" s="2">
        <v>0</v>
      </c>
      <c r="I11" s="1">
        <v>0</v>
      </c>
      <c r="J11" s="3" t="s">
        <v>18</v>
      </c>
      <c r="K11" s="2" t="str">
        <f>J11*5725.40</f>
        <v>0</v>
      </c>
      <c r="L11" s="5"/>
    </row>
    <row r="12" spans="1:12" customHeight="1" ht="105" outlineLevel="5">
      <c r="A12" s="1"/>
      <c r="B12" s="1">
        <v>825932</v>
      </c>
      <c r="C12" s="1" t="s">
        <v>37</v>
      </c>
      <c r="D12" s="1" t="s">
        <v>38</v>
      </c>
      <c r="E12" s="2" t="s">
        <v>25</v>
      </c>
      <c r="F12" s="2" t="s">
        <v>39</v>
      </c>
      <c r="G12" s="2">
        <v>0</v>
      </c>
      <c r="H12" s="2">
        <v>0</v>
      </c>
      <c r="I12" s="1">
        <v>0</v>
      </c>
      <c r="J12" s="3" t="s">
        <v>18</v>
      </c>
      <c r="K12" s="2" t="str">
        <f>J12*5604.87</f>
        <v>0</v>
      </c>
      <c r="L12" s="5"/>
    </row>
    <row r="13" spans="1:12" customHeight="1" ht="105" outlineLevel="5">
      <c r="A13" s="1"/>
      <c r="B13" s="1">
        <v>825933</v>
      </c>
      <c r="C13" s="1" t="s">
        <v>40</v>
      </c>
      <c r="D13" s="1" t="s">
        <v>41</v>
      </c>
      <c r="E13" s="2" t="s">
        <v>25</v>
      </c>
      <c r="F13" s="2" t="s">
        <v>42</v>
      </c>
      <c r="G13" s="2">
        <v>0</v>
      </c>
      <c r="H13" s="2">
        <v>0</v>
      </c>
      <c r="I13" s="1">
        <v>0</v>
      </c>
      <c r="J13" s="3" t="s">
        <v>18</v>
      </c>
      <c r="K13" s="2" t="str">
        <f>J13*5634.17</f>
        <v>0</v>
      </c>
      <c r="L13" s="5"/>
    </row>
    <row r="14" spans="1:12" customHeight="1" ht="105" outlineLevel="5">
      <c r="A14" s="1"/>
      <c r="B14" s="1">
        <v>825934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0</v>
      </c>
      <c r="H14" s="2">
        <v>0</v>
      </c>
      <c r="I14" s="1">
        <v>0</v>
      </c>
      <c r="J14" s="3" t="s">
        <v>18</v>
      </c>
      <c r="K14" s="2" t="str">
        <f>J14*2522.95</f>
        <v>0</v>
      </c>
      <c r="L14" s="5"/>
    </row>
    <row r="15" spans="1:12" customHeight="1" ht="105" outlineLevel="5">
      <c r="A15" s="1"/>
      <c r="B15" s="1">
        <v>825935</v>
      </c>
      <c r="C15" s="1" t="s">
        <v>47</v>
      </c>
      <c r="D15" s="1" t="s">
        <v>48</v>
      </c>
      <c r="E15" s="2" t="s">
        <v>45</v>
      </c>
      <c r="F15" s="2" t="s">
        <v>49</v>
      </c>
      <c r="G15" s="2">
        <v>0</v>
      </c>
      <c r="H15" s="2">
        <v>0</v>
      </c>
      <c r="I15" s="1">
        <v>0</v>
      </c>
      <c r="J15" s="3" t="s">
        <v>18</v>
      </c>
      <c r="K15" s="2" t="str">
        <f>J15*2515.85</f>
        <v>0</v>
      </c>
      <c r="L15" s="5"/>
    </row>
    <row r="16" spans="1:12" customHeight="1" ht="105" outlineLevel="5">
      <c r="A16" s="1"/>
      <c r="B16" s="1">
        <v>825936</v>
      </c>
      <c r="C16" s="1" t="s">
        <v>50</v>
      </c>
      <c r="D16" s="1" t="s">
        <v>51</v>
      </c>
      <c r="E16" s="2" t="s">
        <v>45</v>
      </c>
      <c r="F16" s="2" t="s">
        <v>52</v>
      </c>
      <c r="G16" s="2">
        <v>0</v>
      </c>
      <c r="H16" s="2">
        <v>0</v>
      </c>
      <c r="I16" s="1">
        <v>0</v>
      </c>
      <c r="J16" s="3" t="s">
        <v>18</v>
      </c>
      <c r="K16" s="2" t="str">
        <f>J16*2966.51</f>
        <v>0</v>
      </c>
      <c r="L16" s="5"/>
    </row>
    <row r="17" spans="1:12" customHeight="1" ht="105" outlineLevel="5">
      <c r="A17" s="1"/>
      <c r="B17" s="1">
        <v>825937</v>
      </c>
      <c r="C17" s="1" t="s">
        <v>53</v>
      </c>
      <c r="D17" s="1" t="s">
        <v>54</v>
      </c>
      <c r="E17" s="2" t="s">
        <v>45</v>
      </c>
      <c r="F17" s="2" t="s">
        <v>55</v>
      </c>
      <c r="G17" s="2">
        <v>0</v>
      </c>
      <c r="H17" s="2">
        <v>0</v>
      </c>
      <c r="I17" s="1">
        <v>0</v>
      </c>
      <c r="J17" s="3" t="s">
        <v>18</v>
      </c>
      <c r="K17" s="2" t="str">
        <f>J17*2313.45</f>
        <v>0</v>
      </c>
      <c r="L17" s="5"/>
    </row>
    <row r="18" spans="1:12" customHeight="1" ht="105" outlineLevel="5">
      <c r="A18" s="1"/>
      <c r="B18" s="1">
        <v>825938</v>
      </c>
      <c r="C18" s="1" t="s">
        <v>56</v>
      </c>
      <c r="D18" s="1" t="s">
        <v>57</v>
      </c>
      <c r="E18" s="2" t="s">
        <v>45</v>
      </c>
      <c r="F18" s="2" t="s">
        <v>58</v>
      </c>
      <c r="G18" s="2">
        <v>0</v>
      </c>
      <c r="H18" s="2">
        <v>0</v>
      </c>
      <c r="I18" s="1">
        <v>0</v>
      </c>
      <c r="J18" s="3" t="s">
        <v>18</v>
      </c>
      <c r="K18" s="2" t="str">
        <f>J18*2341.83</f>
        <v>0</v>
      </c>
      <c r="L18" s="5"/>
    </row>
    <row r="19" spans="1:12" customHeight="1" ht="105" outlineLevel="5">
      <c r="A19" s="1"/>
      <c r="B19" s="1">
        <v>825939</v>
      </c>
      <c r="C19" s="1" t="s">
        <v>59</v>
      </c>
      <c r="D19" s="1" t="s">
        <v>60</v>
      </c>
      <c r="E19" s="2" t="s">
        <v>45</v>
      </c>
      <c r="F19" s="2" t="s">
        <v>61</v>
      </c>
      <c r="G19" s="2">
        <v>0</v>
      </c>
      <c r="H19" s="2">
        <v>0</v>
      </c>
      <c r="I19" s="1">
        <v>0</v>
      </c>
      <c r="J19" s="3" t="s">
        <v>18</v>
      </c>
      <c r="K19" s="2" t="str">
        <f>J19*2722.71</f>
        <v>0</v>
      </c>
      <c r="L19" s="5"/>
    </row>
    <row r="20" spans="1:12" customHeight="1" ht="105" outlineLevel="5">
      <c r="A20" s="1"/>
      <c r="B20" s="1">
        <v>825940</v>
      </c>
      <c r="C20" s="1" t="s">
        <v>62</v>
      </c>
      <c r="D20" s="1" t="s">
        <v>63</v>
      </c>
      <c r="E20" s="2" t="s">
        <v>25</v>
      </c>
      <c r="F20" s="2" t="s">
        <v>64</v>
      </c>
      <c r="G20" s="2">
        <v>0</v>
      </c>
      <c r="H20" s="2">
        <v>0</v>
      </c>
      <c r="I20" s="1">
        <v>0</v>
      </c>
      <c r="J20" s="3" t="s">
        <v>18</v>
      </c>
      <c r="K20" s="2" t="str">
        <f>J20*6345.13</f>
        <v>0</v>
      </c>
      <c r="L20" s="5"/>
    </row>
    <row r="21" spans="1:12" customHeight="1" ht="105" outlineLevel="5">
      <c r="A21" s="1"/>
      <c r="B21" s="1">
        <v>825941</v>
      </c>
      <c r="C21" s="1" t="s">
        <v>65</v>
      </c>
      <c r="D21" s="1" t="s">
        <v>66</v>
      </c>
      <c r="E21" s="2" t="s">
        <v>16</v>
      </c>
      <c r="F21" s="2" t="s">
        <v>67</v>
      </c>
      <c r="G21" s="2">
        <v>0</v>
      </c>
      <c r="H21" s="2">
        <v>0</v>
      </c>
      <c r="I21" s="1">
        <v>0</v>
      </c>
      <c r="J21" s="3" t="s">
        <v>18</v>
      </c>
      <c r="K21" s="2" t="str">
        <f>J21*6236.60</f>
        <v>0</v>
      </c>
      <c r="L21" s="5"/>
    </row>
    <row r="22" spans="1:12" customHeight="1" ht="105" outlineLevel="5">
      <c r="A22" s="1"/>
      <c r="B22" s="1">
        <v>825942</v>
      </c>
      <c r="C22" s="1" t="s">
        <v>68</v>
      </c>
      <c r="D22" s="1" t="s">
        <v>69</v>
      </c>
      <c r="E22" s="2" t="s">
        <v>25</v>
      </c>
      <c r="F22" s="2" t="s">
        <v>70</v>
      </c>
      <c r="G22" s="2">
        <v>0</v>
      </c>
      <c r="H22" s="2">
        <v>0</v>
      </c>
      <c r="I22" s="1">
        <v>0</v>
      </c>
      <c r="J22" s="3" t="s">
        <v>18</v>
      </c>
      <c r="K22" s="2" t="str">
        <f>J22*6084.03</f>
        <v>0</v>
      </c>
      <c r="L22" s="5"/>
    </row>
    <row r="23" spans="1:12" customHeight="1" ht="105" outlineLevel="5">
      <c r="A23" s="1"/>
      <c r="B23" s="1">
        <v>825943</v>
      </c>
      <c r="C23" s="1" t="s">
        <v>71</v>
      </c>
      <c r="D23" s="1" t="s">
        <v>72</v>
      </c>
      <c r="E23" s="2" t="s">
        <v>16</v>
      </c>
      <c r="F23" s="2" t="s">
        <v>73</v>
      </c>
      <c r="G23" s="2">
        <v>0</v>
      </c>
      <c r="H23" s="2">
        <v>0</v>
      </c>
      <c r="I23" s="1">
        <v>0</v>
      </c>
      <c r="J23" s="3" t="s">
        <v>18</v>
      </c>
      <c r="K23" s="2" t="str">
        <f>J23*5912.58</f>
        <v>0</v>
      </c>
      <c r="L23" s="5"/>
    </row>
    <row r="24" spans="1:12" customHeight="1" ht="105" outlineLevel="5">
      <c r="A24" s="1"/>
      <c r="B24" s="1">
        <v>825944</v>
      </c>
      <c r="C24" s="1" t="s">
        <v>74</v>
      </c>
      <c r="D24" s="1" t="s">
        <v>75</v>
      </c>
      <c r="E24" s="2" t="s">
        <v>25</v>
      </c>
      <c r="F24" s="2" t="s">
        <v>76</v>
      </c>
      <c r="G24" s="2">
        <v>0</v>
      </c>
      <c r="H24" s="2">
        <v>0</v>
      </c>
      <c r="I24" s="1">
        <v>0</v>
      </c>
      <c r="J24" s="3" t="s">
        <v>18</v>
      </c>
      <c r="K24" s="2" t="str">
        <f>J24*6340.41</f>
        <v>0</v>
      </c>
      <c r="L24" s="5"/>
    </row>
    <row r="25" spans="1:12" customHeight="1" ht="105" outlineLevel="5">
      <c r="A25" s="1"/>
      <c r="B25" s="1">
        <v>825945</v>
      </c>
      <c r="C25" s="1" t="s">
        <v>77</v>
      </c>
      <c r="D25" s="1" t="s">
        <v>78</v>
      </c>
      <c r="E25" s="2" t="s">
        <v>16</v>
      </c>
      <c r="F25" s="2" t="s">
        <v>79</v>
      </c>
      <c r="G25" s="2">
        <v>0</v>
      </c>
      <c r="H25" s="2">
        <v>0</v>
      </c>
      <c r="I25" s="1">
        <v>0</v>
      </c>
      <c r="J25" s="3" t="s">
        <v>18</v>
      </c>
      <c r="K25" s="2" t="str">
        <f>J25*5270.05</f>
        <v>0</v>
      </c>
      <c r="L25" s="5"/>
    </row>
    <row r="26" spans="1:12" customHeight="1" ht="105" outlineLevel="5">
      <c r="A26" s="1"/>
      <c r="B26" s="1">
        <v>825946</v>
      </c>
      <c r="C26" s="1" t="s">
        <v>80</v>
      </c>
      <c r="D26" s="1" t="s">
        <v>81</v>
      </c>
      <c r="E26" s="2" t="s">
        <v>25</v>
      </c>
      <c r="F26" s="2" t="s">
        <v>82</v>
      </c>
      <c r="G26" s="2">
        <v>0</v>
      </c>
      <c r="H26" s="2">
        <v>0</v>
      </c>
      <c r="I26" s="1">
        <v>0</v>
      </c>
      <c r="J26" s="3" t="s">
        <v>18</v>
      </c>
      <c r="K26" s="2" t="str">
        <f>J26*5213.30</f>
        <v>0</v>
      </c>
      <c r="L26" s="5"/>
    </row>
    <row r="27" spans="1:12" customHeight="1" ht="105" outlineLevel="5">
      <c r="A27" s="1"/>
      <c r="B27" s="1">
        <v>825947</v>
      </c>
      <c r="C27" s="1" t="s">
        <v>83</v>
      </c>
      <c r="D27" s="1" t="s">
        <v>84</v>
      </c>
      <c r="E27" s="2" t="s">
        <v>16</v>
      </c>
      <c r="F27" s="2" t="s">
        <v>85</v>
      </c>
      <c r="G27" s="2">
        <v>0</v>
      </c>
      <c r="H27" s="2">
        <v>0</v>
      </c>
      <c r="I27" s="1">
        <v>0</v>
      </c>
      <c r="J27" s="3" t="s">
        <v>18</v>
      </c>
      <c r="K27" s="2" t="str">
        <f>J27*9724.82</f>
        <v>0</v>
      </c>
      <c r="L27" s="5"/>
    </row>
    <row r="28" spans="1:12" customHeight="1" ht="105" outlineLevel="5">
      <c r="A28" s="1"/>
      <c r="B28" s="1">
        <v>825948</v>
      </c>
      <c r="C28" s="1" t="s">
        <v>86</v>
      </c>
      <c r="D28" s="1" t="s">
        <v>87</v>
      </c>
      <c r="E28" s="2" t="s">
        <v>16</v>
      </c>
      <c r="F28" s="2" t="s">
        <v>88</v>
      </c>
      <c r="G28" s="2">
        <v>0</v>
      </c>
      <c r="H28" s="2">
        <v>0</v>
      </c>
      <c r="I28" s="1">
        <v>0</v>
      </c>
      <c r="J28" s="3" t="s">
        <v>18</v>
      </c>
      <c r="K28" s="2" t="str">
        <f>J28*6058.86</f>
        <v>0</v>
      </c>
      <c r="L28" s="5"/>
    </row>
    <row r="29" spans="1:12" customHeight="1" ht="105" outlineLevel="5">
      <c r="A29" s="1"/>
      <c r="B29" s="1">
        <v>825949</v>
      </c>
      <c r="C29" s="1" t="s">
        <v>89</v>
      </c>
      <c r="D29" s="1" t="s">
        <v>90</v>
      </c>
      <c r="E29" s="2" t="s">
        <v>25</v>
      </c>
      <c r="F29" s="2" t="s">
        <v>91</v>
      </c>
      <c r="G29" s="2">
        <v>0</v>
      </c>
      <c r="H29" s="2">
        <v>0</v>
      </c>
      <c r="I29" s="1">
        <v>0</v>
      </c>
      <c r="J29" s="3" t="s">
        <v>18</v>
      </c>
      <c r="K29" s="2" t="str">
        <f>J29*6652.83</f>
        <v>0</v>
      </c>
      <c r="L29" s="5"/>
    </row>
    <row r="30" spans="1:12" customHeight="1" ht="105" outlineLevel="5">
      <c r="A30" s="1"/>
      <c r="B30" s="1">
        <v>825950</v>
      </c>
      <c r="C30" s="1" t="s">
        <v>92</v>
      </c>
      <c r="D30" s="1" t="s">
        <v>93</v>
      </c>
      <c r="E30" s="2" t="s">
        <v>94</v>
      </c>
      <c r="F30" s="2" t="s">
        <v>95</v>
      </c>
      <c r="G30" s="2">
        <v>0</v>
      </c>
      <c r="H30" s="2">
        <v>0</v>
      </c>
      <c r="I30" s="1">
        <v>0</v>
      </c>
      <c r="J30" s="3" t="s">
        <v>18</v>
      </c>
      <c r="K30" s="2" t="str">
        <f>J30*5734.84</f>
        <v>0</v>
      </c>
      <c r="L30" s="5"/>
    </row>
    <row r="31" spans="1:12" customHeight="1" ht="105" outlineLevel="5">
      <c r="A31" s="1"/>
      <c r="B31" s="1">
        <v>825951</v>
      </c>
      <c r="C31" s="1" t="s">
        <v>96</v>
      </c>
      <c r="D31" s="1" t="s">
        <v>97</v>
      </c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18</v>
      </c>
      <c r="K31" s="2" t="str">
        <f>J31*5799.33</f>
        <v>0</v>
      </c>
      <c r="L31" s="5"/>
    </row>
    <row r="32" spans="1:12" customHeight="1" ht="105" outlineLevel="5">
      <c r="A32" s="1"/>
      <c r="B32" s="1">
        <v>825952</v>
      </c>
      <c r="C32" s="1" t="s">
        <v>100</v>
      </c>
      <c r="D32" s="1" t="s">
        <v>101</v>
      </c>
      <c r="E32" s="2" t="s">
        <v>102</v>
      </c>
      <c r="F32" s="2" t="s">
        <v>103</v>
      </c>
      <c r="G32" s="2">
        <v>0</v>
      </c>
      <c r="H32" s="2">
        <v>0</v>
      </c>
      <c r="I32" s="1">
        <v>0</v>
      </c>
      <c r="J32" s="3" t="s">
        <v>18</v>
      </c>
      <c r="K32" s="2" t="str">
        <f>J32*5042.76</f>
        <v>0</v>
      </c>
      <c r="L32" s="5"/>
    </row>
    <row r="33" spans="1:12" customHeight="1" ht="105" outlineLevel="5">
      <c r="A33" s="1"/>
      <c r="B33" s="1">
        <v>825953</v>
      </c>
      <c r="C33" s="1" t="s">
        <v>104</v>
      </c>
      <c r="D33" s="1" t="s">
        <v>105</v>
      </c>
      <c r="E33" s="2" t="s">
        <v>16</v>
      </c>
      <c r="F33" s="2" t="s">
        <v>106</v>
      </c>
      <c r="G33" s="2">
        <v>2</v>
      </c>
      <c r="H33" s="2">
        <v>0</v>
      </c>
      <c r="I33" s="1">
        <v>0</v>
      </c>
      <c r="J33" s="3" t="s">
        <v>18</v>
      </c>
      <c r="K33" s="2" t="str">
        <f>J33*6481.97</f>
        <v>0</v>
      </c>
      <c r="L33" s="5"/>
    </row>
    <row r="34" spans="1:12" customHeight="1" ht="105" outlineLevel="5">
      <c r="A34" s="1"/>
      <c r="B34" s="1">
        <v>825954</v>
      </c>
      <c r="C34" s="1" t="s">
        <v>107</v>
      </c>
      <c r="D34" s="1" t="s">
        <v>108</v>
      </c>
      <c r="E34" s="2" t="s">
        <v>25</v>
      </c>
      <c r="F34" s="2" t="s">
        <v>109</v>
      </c>
      <c r="G34" s="2">
        <v>0</v>
      </c>
      <c r="H34" s="2">
        <v>0</v>
      </c>
      <c r="I34" s="1">
        <v>0</v>
      </c>
      <c r="J34" s="3" t="s">
        <v>18</v>
      </c>
      <c r="K34" s="2" t="str">
        <f>J34*6047.85</f>
        <v>0</v>
      </c>
      <c r="L34" s="5"/>
    </row>
    <row r="35" spans="1:12" customHeight="1" ht="105" outlineLevel="5">
      <c r="A35" s="1"/>
      <c r="B35" s="1">
        <v>825955</v>
      </c>
      <c r="C35" s="1" t="s">
        <v>110</v>
      </c>
      <c r="D35" s="1" t="s">
        <v>111</v>
      </c>
      <c r="E35" s="2" t="s">
        <v>16</v>
      </c>
      <c r="F35" s="2" t="s">
        <v>112</v>
      </c>
      <c r="G35" s="2">
        <v>2</v>
      </c>
      <c r="H35" s="2">
        <v>0</v>
      </c>
      <c r="I35" s="1">
        <v>0</v>
      </c>
      <c r="J35" s="3" t="s">
        <v>18</v>
      </c>
      <c r="K35" s="2" t="str">
        <f>J35*6412.77</f>
        <v>0</v>
      </c>
      <c r="L35" s="5"/>
    </row>
    <row r="36" spans="1:12" customHeight="1" ht="105" outlineLevel="5">
      <c r="A36" s="1"/>
      <c r="B36" s="1">
        <v>825956</v>
      </c>
      <c r="C36" s="1" t="s">
        <v>113</v>
      </c>
      <c r="D36" s="1" t="s">
        <v>114</v>
      </c>
      <c r="E36" s="2" t="s">
        <v>25</v>
      </c>
      <c r="F36" s="2" t="s">
        <v>115</v>
      </c>
      <c r="G36" s="2">
        <v>3</v>
      </c>
      <c r="H36" s="2">
        <v>0</v>
      </c>
      <c r="I36" s="1">
        <v>0</v>
      </c>
      <c r="J36" s="3" t="s">
        <v>18</v>
      </c>
      <c r="K36" s="2" t="str">
        <f>J36*6257.05</f>
        <v>0</v>
      </c>
      <c r="L36" s="5"/>
    </row>
    <row r="37" spans="1:12" customHeight="1" ht="105" outlineLevel="5">
      <c r="A37" s="1"/>
      <c r="B37" s="1">
        <v>825957</v>
      </c>
      <c r="C37" s="1" t="s">
        <v>116</v>
      </c>
      <c r="D37" s="1" t="s">
        <v>117</v>
      </c>
      <c r="E37" s="2" t="s">
        <v>25</v>
      </c>
      <c r="F37" s="2" t="s">
        <v>118</v>
      </c>
      <c r="G37" s="2">
        <v>0</v>
      </c>
      <c r="H37" s="2">
        <v>0</v>
      </c>
      <c r="I37" s="1">
        <v>0</v>
      </c>
      <c r="J37" s="3" t="s">
        <v>18</v>
      </c>
      <c r="K37" s="2" t="str">
        <f>J37*5009.73</f>
        <v>0</v>
      </c>
      <c r="L37" s="5"/>
    </row>
    <row r="38" spans="1:12" customHeight="1" ht="105" outlineLevel="5">
      <c r="A38" s="1"/>
      <c r="B38" s="1">
        <v>825958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0</v>
      </c>
      <c r="H38" s="2">
        <v>0</v>
      </c>
      <c r="I38" s="1">
        <v>0</v>
      </c>
      <c r="J38" s="3" t="s">
        <v>18</v>
      </c>
      <c r="K38" s="2" t="str">
        <f>J38*4708.24</f>
        <v>0</v>
      </c>
      <c r="L38" s="5"/>
    </row>
    <row r="39" spans="1:12" customHeight="1" ht="105" outlineLevel="5">
      <c r="A39" s="1"/>
      <c r="B39" s="1">
        <v>825959</v>
      </c>
      <c r="C39" s="1" t="s">
        <v>123</v>
      </c>
      <c r="D39" s="1" t="s">
        <v>124</v>
      </c>
      <c r="E39" s="2" t="s">
        <v>25</v>
      </c>
      <c r="F39" s="2" t="s">
        <v>125</v>
      </c>
      <c r="G39" s="2">
        <v>0</v>
      </c>
      <c r="H39" s="2">
        <v>0</v>
      </c>
      <c r="I39" s="1">
        <v>0</v>
      </c>
      <c r="J39" s="3" t="s">
        <v>18</v>
      </c>
      <c r="K39" s="2" t="str">
        <f>J39*4780.12</f>
        <v>0</v>
      </c>
      <c r="L39" s="5"/>
    </row>
    <row r="40" spans="1:12" customHeight="1" ht="105" outlineLevel="5">
      <c r="A40" s="1"/>
      <c r="B40" s="1">
        <v>825960</v>
      </c>
      <c r="C40" s="1" t="s">
        <v>126</v>
      </c>
      <c r="D40" s="1" t="s">
        <v>127</v>
      </c>
      <c r="E40" s="2" t="s">
        <v>128</v>
      </c>
      <c r="F40" s="2" t="s">
        <v>129</v>
      </c>
      <c r="G40" s="2">
        <v>0</v>
      </c>
      <c r="H40" s="2">
        <v>0</v>
      </c>
      <c r="I40" s="1">
        <v>0</v>
      </c>
      <c r="J40" s="3" t="s">
        <v>18</v>
      </c>
      <c r="K40" s="2" t="str">
        <f>J40*5273.98</f>
        <v>0</v>
      </c>
      <c r="L40" s="5"/>
    </row>
    <row r="41" spans="1:12" customHeight="1" ht="105" outlineLevel="5">
      <c r="A41" s="1"/>
      <c r="B41" s="1">
        <v>825961</v>
      </c>
      <c r="C41" s="1" t="s">
        <v>130</v>
      </c>
      <c r="D41" s="1" t="s">
        <v>131</v>
      </c>
      <c r="E41" s="2" t="s">
        <v>132</v>
      </c>
      <c r="F41" s="2" t="s">
        <v>133</v>
      </c>
      <c r="G41" s="2">
        <v>0</v>
      </c>
      <c r="H41" s="2">
        <v>0</v>
      </c>
      <c r="I41" s="1">
        <v>0</v>
      </c>
      <c r="J41" s="3" t="s">
        <v>18</v>
      </c>
      <c r="K41" s="2" t="str">
        <f>J41*5209.49</f>
        <v>0</v>
      </c>
      <c r="L41" s="5"/>
    </row>
    <row r="42" spans="1:12" customHeight="1" ht="105" outlineLevel="5">
      <c r="A42" s="1"/>
      <c r="B42" s="1">
        <v>825962</v>
      </c>
      <c r="C42" s="1" t="s">
        <v>134</v>
      </c>
      <c r="D42" s="1" t="s">
        <v>135</v>
      </c>
      <c r="E42" s="2" t="s">
        <v>136</v>
      </c>
      <c r="F42" s="2" t="s">
        <v>137</v>
      </c>
      <c r="G42" s="2">
        <v>0</v>
      </c>
      <c r="H42" s="2">
        <v>0</v>
      </c>
      <c r="I42" s="1">
        <v>0</v>
      </c>
      <c r="J42" s="3" t="s">
        <v>18</v>
      </c>
      <c r="K42" s="2" t="str">
        <f>J42*5244.09</f>
        <v>0</v>
      </c>
      <c r="L42" s="5"/>
    </row>
    <row r="43" spans="1:12" customHeight="1" ht="105" outlineLevel="5">
      <c r="A43" s="1"/>
      <c r="B43" s="1">
        <v>825963</v>
      </c>
      <c r="C43" s="1" t="s">
        <v>138</v>
      </c>
      <c r="D43" s="1" t="s">
        <v>139</v>
      </c>
      <c r="E43" s="2" t="s">
        <v>140</v>
      </c>
      <c r="F43" s="2" t="s">
        <v>141</v>
      </c>
      <c r="G43" s="2">
        <v>0</v>
      </c>
      <c r="H43" s="2">
        <v>0</v>
      </c>
      <c r="I43" s="1">
        <v>0</v>
      </c>
      <c r="J43" s="3" t="s">
        <v>18</v>
      </c>
      <c r="K43" s="2" t="str">
        <f>J43*13467.28</f>
        <v>0</v>
      </c>
      <c r="L43" s="5"/>
    </row>
    <row r="44" spans="1:12" customHeight="1" ht="105" outlineLevel="5">
      <c r="A44" s="1"/>
      <c r="B44" s="1">
        <v>825964</v>
      </c>
      <c r="C44" s="1" t="s">
        <v>142</v>
      </c>
      <c r="D44" s="1" t="s">
        <v>143</v>
      </c>
      <c r="E44" s="2" t="s">
        <v>136</v>
      </c>
      <c r="F44" s="2" t="s">
        <v>144</v>
      </c>
      <c r="G44" s="2">
        <v>0</v>
      </c>
      <c r="H44" s="2">
        <v>0</v>
      </c>
      <c r="I44" s="1">
        <v>0</v>
      </c>
      <c r="J44" s="3" t="s">
        <v>18</v>
      </c>
      <c r="K44" s="2" t="str">
        <f>J44*5091.52</f>
        <v>0</v>
      </c>
      <c r="L44" s="5"/>
    </row>
    <row r="45" spans="1:12" customHeight="1" ht="105" outlineLevel="5">
      <c r="A45" s="1"/>
      <c r="B45" s="1">
        <v>825965</v>
      </c>
      <c r="C45" s="1" t="s">
        <v>145</v>
      </c>
      <c r="D45" s="1" t="s">
        <v>146</v>
      </c>
      <c r="E45" s="2" t="s">
        <v>147</v>
      </c>
      <c r="F45" s="2" t="s">
        <v>148</v>
      </c>
      <c r="G45" s="2">
        <v>0</v>
      </c>
      <c r="H45" s="2">
        <v>0</v>
      </c>
      <c r="I45" s="1">
        <v>0</v>
      </c>
      <c r="J45" s="3" t="s">
        <v>18</v>
      </c>
      <c r="K45" s="2" t="str">
        <f>J45*6043.13</f>
        <v>0</v>
      </c>
      <c r="L45" s="5"/>
    </row>
    <row r="46" spans="1:12" customHeight="1" ht="105" outlineLevel="5">
      <c r="A46" s="1"/>
      <c r="B46" s="1">
        <v>825966</v>
      </c>
      <c r="C46" s="1" t="s">
        <v>149</v>
      </c>
      <c r="D46" s="1" t="s">
        <v>150</v>
      </c>
      <c r="E46" s="2" t="s">
        <v>136</v>
      </c>
      <c r="F46" s="2" t="s">
        <v>151</v>
      </c>
      <c r="G46" s="2">
        <v>0</v>
      </c>
      <c r="H46" s="2">
        <v>0</v>
      </c>
      <c r="I46" s="1">
        <v>0</v>
      </c>
      <c r="J46" s="3" t="s">
        <v>18</v>
      </c>
      <c r="K46" s="2" t="str">
        <f>J46*5876.40</f>
        <v>0</v>
      </c>
      <c r="L46" s="5"/>
    </row>
    <row r="47" spans="1:12" customHeight="1" ht="105" outlineLevel="5">
      <c r="A47" s="1"/>
      <c r="B47" s="1">
        <v>825967</v>
      </c>
      <c r="C47" s="1" t="s">
        <v>152</v>
      </c>
      <c r="D47" s="1" t="s">
        <v>153</v>
      </c>
      <c r="E47" s="2" t="s">
        <v>154</v>
      </c>
      <c r="F47" s="2" t="s">
        <v>155</v>
      </c>
      <c r="G47" s="2">
        <v>0</v>
      </c>
      <c r="H47" s="2">
        <v>0</v>
      </c>
      <c r="I47" s="1">
        <v>0</v>
      </c>
      <c r="J47" s="3" t="s">
        <v>18</v>
      </c>
      <c r="K47" s="2" t="str">
        <f>J47*5269.26</f>
        <v>0</v>
      </c>
      <c r="L47" s="5"/>
    </row>
    <row r="48" spans="1:12" customHeight="1" ht="105" outlineLevel="5">
      <c r="A48" s="1"/>
      <c r="B48" s="1">
        <v>825968</v>
      </c>
      <c r="C48" s="1" t="s">
        <v>156</v>
      </c>
      <c r="D48" s="1" t="s">
        <v>157</v>
      </c>
      <c r="E48" s="2" t="s">
        <v>158</v>
      </c>
      <c r="F48" s="2" t="s">
        <v>159</v>
      </c>
      <c r="G48" s="2">
        <v>0</v>
      </c>
      <c r="H48" s="2">
        <v>0</v>
      </c>
      <c r="I48" s="1">
        <v>0</v>
      </c>
      <c r="J48" s="3" t="s">
        <v>18</v>
      </c>
      <c r="K48" s="2" t="str">
        <f>J48*5240.95</f>
        <v>0</v>
      </c>
      <c r="L48" s="5"/>
    </row>
    <row r="49" spans="1:12" customHeight="1" ht="105" outlineLevel="5">
      <c r="A49" s="1"/>
      <c r="B49" s="1">
        <v>825969</v>
      </c>
      <c r="C49" s="1" t="s">
        <v>160</v>
      </c>
      <c r="D49" s="1" t="s">
        <v>161</v>
      </c>
      <c r="E49" s="2" t="s">
        <v>162</v>
      </c>
      <c r="F49" s="2" t="s">
        <v>163</v>
      </c>
      <c r="G49" s="2">
        <v>0</v>
      </c>
      <c r="H49" s="2">
        <v>0</v>
      </c>
      <c r="I49" s="1">
        <v>0</v>
      </c>
      <c r="J49" s="3" t="s">
        <v>18</v>
      </c>
      <c r="K49" s="2" t="str">
        <f>J49*4795.81</f>
        <v>0</v>
      </c>
      <c r="L49" s="5"/>
    </row>
    <row r="50" spans="1:12" customHeight="1" ht="105" outlineLevel="5">
      <c r="A50" s="1"/>
      <c r="B50" s="1">
        <v>825970</v>
      </c>
      <c r="C50" s="1" t="s">
        <v>164</v>
      </c>
      <c r="D50" s="1" t="s">
        <v>165</v>
      </c>
      <c r="E50" s="2" t="s">
        <v>166</v>
      </c>
      <c r="F50" s="2" t="s">
        <v>167</v>
      </c>
      <c r="G50" s="2">
        <v>0</v>
      </c>
      <c r="H50" s="2">
        <v>0</v>
      </c>
      <c r="I50" s="1">
        <v>0</v>
      </c>
      <c r="J50" s="3" t="s">
        <v>18</v>
      </c>
      <c r="K50" s="2" t="str">
        <f>J50*5225.22</f>
        <v>0</v>
      </c>
      <c r="L50" s="5"/>
    </row>
    <row r="51" spans="1:12" customHeight="1" ht="105" outlineLevel="5">
      <c r="A51" s="1"/>
      <c r="B51" s="1">
        <v>825971</v>
      </c>
      <c r="C51" s="1" t="s">
        <v>168</v>
      </c>
      <c r="D51" s="1" t="s">
        <v>169</v>
      </c>
      <c r="E51" s="2" t="s">
        <v>162</v>
      </c>
      <c r="F51" s="2" t="s">
        <v>170</v>
      </c>
      <c r="G51" s="2">
        <v>0</v>
      </c>
      <c r="H51" s="2">
        <v>0</v>
      </c>
      <c r="I51" s="1">
        <v>0</v>
      </c>
      <c r="J51" s="3" t="s">
        <v>18</v>
      </c>
      <c r="K51" s="2" t="str">
        <f>J51*4773.79</f>
        <v>0</v>
      </c>
      <c r="L51" s="5"/>
    </row>
    <row r="52" spans="1:12" customHeight="1" ht="105" outlineLevel="5">
      <c r="A52" s="1"/>
      <c r="B52" s="1">
        <v>825972</v>
      </c>
      <c r="C52" s="1" t="s">
        <v>171</v>
      </c>
      <c r="D52" s="1" t="s">
        <v>172</v>
      </c>
      <c r="E52" s="2" t="s">
        <v>173</v>
      </c>
      <c r="F52" s="2" t="s">
        <v>174</v>
      </c>
      <c r="G52" s="2">
        <v>0</v>
      </c>
      <c r="H52" s="2">
        <v>0</v>
      </c>
      <c r="I52" s="1">
        <v>0</v>
      </c>
      <c r="J52" s="3" t="s">
        <v>18</v>
      </c>
      <c r="K52" s="2" t="str">
        <f>J52*6130.74</f>
        <v>0</v>
      </c>
      <c r="L52" s="5"/>
    </row>
    <row r="53" spans="1:12" customHeight="1" ht="105" outlineLevel="5">
      <c r="A53" s="1"/>
      <c r="B53" s="1">
        <v>825973</v>
      </c>
      <c r="C53" s="1" t="s">
        <v>175</v>
      </c>
      <c r="D53" s="1" t="s">
        <v>176</v>
      </c>
      <c r="E53" s="2" t="s">
        <v>162</v>
      </c>
      <c r="F53" s="2" t="s">
        <v>177</v>
      </c>
      <c r="G53" s="2">
        <v>0</v>
      </c>
      <c r="H53" s="2">
        <v>0</v>
      </c>
      <c r="I53" s="1">
        <v>0</v>
      </c>
      <c r="J53" s="3" t="s">
        <v>18</v>
      </c>
      <c r="K53" s="2" t="str">
        <f>J53*4556.73</f>
        <v>0</v>
      </c>
      <c r="L53" s="5"/>
    </row>
    <row r="54" spans="1:12" customHeight="1" ht="105" outlineLevel="5">
      <c r="A54" s="1"/>
      <c r="B54" s="1">
        <v>825974</v>
      </c>
      <c r="C54" s="1" t="s">
        <v>178</v>
      </c>
      <c r="D54" s="1" t="s">
        <v>179</v>
      </c>
      <c r="E54" s="2" t="s">
        <v>180</v>
      </c>
      <c r="F54" s="2" t="s">
        <v>181</v>
      </c>
      <c r="G54" s="2">
        <v>0</v>
      </c>
      <c r="H54" s="2">
        <v>0</v>
      </c>
      <c r="I54" s="1">
        <v>0</v>
      </c>
      <c r="J54" s="3" t="s">
        <v>18</v>
      </c>
      <c r="K54" s="2" t="str">
        <f>J54*9629.37</f>
        <v>0</v>
      </c>
      <c r="L54" s="5"/>
    </row>
    <row r="55" spans="1:12" customHeight="1" ht="105" outlineLevel="5">
      <c r="A55" s="1"/>
      <c r="B55" s="1">
        <v>825975</v>
      </c>
      <c r="C55" s="1" t="s">
        <v>182</v>
      </c>
      <c r="D55" s="1" t="s">
        <v>183</v>
      </c>
      <c r="E55" s="2" t="s">
        <v>162</v>
      </c>
      <c r="F55" s="2" t="s">
        <v>184</v>
      </c>
      <c r="G55" s="2">
        <v>1</v>
      </c>
      <c r="H55" s="2">
        <v>0</v>
      </c>
      <c r="I55" s="1">
        <v>0</v>
      </c>
      <c r="J55" s="3" t="s">
        <v>18</v>
      </c>
      <c r="K55" s="2" t="str">
        <f>J55*3878.80</f>
        <v>0</v>
      </c>
      <c r="L55" s="5"/>
    </row>
    <row r="56" spans="1:12" customHeight="1" ht="105" outlineLevel="5">
      <c r="A56" s="1"/>
      <c r="B56" s="1">
        <v>825976</v>
      </c>
      <c r="C56" s="1" t="s">
        <v>185</v>
      </c>
      <c r="D56" s="1" t="s">
        <v>186</v>
      </c>
      <c r="E56" s="2" t="s">
        <v>45</v>
      </c>
      <c r="F56" s="2" t="s">
        <v>187</v>
      </c>
      <c r="G56" s="2">
        <v>0</v>
      </c>
      <c r="H56" s="2">
        <v>0</v>
      </c>
      <c r="I56" s="1">
        <v>0</v>
      </c>
      <c r="J56" s="3" t="s">
        <v>18</v>
      </c>
      <c r="K56" s="2" t="str">
        <f>J56*3899.25</f>
        <v>0</v>
      </c>
      <c r="L56" s="5"/>
    </row>
    <row r="57" spans="1:12" customHeight="1" ht="105" outlineLevel="5">
      <c r="A57" s="1"/>
      <c r="B57" s="1">
        <v>825977</v>
      </c>
      <c r="C57" s="1" t="s">
        <v>188</v>
      </c>
      <c r="D57" s="1" t="s">
        <v>189</v>
      </c>
      <c r="E57" s="2" t="s">
        <v>190</v>
      </c>
      <c r="F57" s="2" t="s">
        <v>191</v>
      </c>
      <c r="G57" s="2">
        <v>0</v>
      </c>
      <c r="H57" s="2">
        <v>0</v>
      </c>
      <c r="I57" s="1">
        <v>0</v>
      </c>
      <c r="J57" s="3" t="s">
        <v>18</v>
      </c>
      <c r="K57" s="2" t="str">
        <f>J57*2717.99</f>
        <v>0</v>
      </c>
      <c r="L57" s="5"/>
    </row>
    <row r="58" spans="1:12" customHeight="1" ht="105" outlineLevel="5">
      <c r="A58" s="1"/>
      <c r="B58" s="1">
        <v>825978</v>
      </c>
      <c r="C58" s="1" t="s">
        <v>192</v>
      </c>
      <c r="D58" s="1" t="s">
        <v>193</v>
      </c>
      <c r="E58" s="2" t="s">
        <v>45</v>
      </c>
      <c r="F58" s="2" t="s">
        <v>194</v>
      </c>
      <c r="G58" s="2">
        <v>0</v>
      </c>
      <c r="H58" s="2">
        <v>0</v>
      </c>
      <c r="I58" s="1">
        <v>0</v>
      </c>
      <c r="J58" s="3" t="s">
        <v>18</v>
      </c>
      <c r="K58" s="2" t="str">
        <f>J58*4161.93</f>
        <v>0</v>
      </c>
      <c r="L58" s="5"/>
    </row>
    <row r="59" spans="1:12" customHeight="1" ht="105" outlineLevel="5">
      <c r="A59" s="1"/>
      <c r="B59" s="1">
        <v>825979</v>
      </c>
      <c r="C59" s="1" t="s">
        <v>195</v>
      </c>
      <c r="D59" s="1" t="s">
        <v>196</v>
      </c>
      <c r="E59" s="2" t="s">
        <v>45</v>
      </c>
      <c r="F59" s="2" t="s">
        <v>197</v>
      </c>
      <c r="G59" s="2">
        <v>0</v>
      </c>
      <c r="H59" s="2">
        <v>0</v>
      </c>
      <c r="I59" s="1">
        <v>0</v>
      </c>
      <c r="J59" s="3" t="s">
        <v>18</v>
      </c>
      <c r="K59" s="2" t="str">
        <f>J59*3929.14</f>
        <v>0</v>
      </c>
      <c r="L59" s="5"/>
    </row>
    <row r="60" spans="1:12" customHeight="1" ht="105" outlineLevel="5">
      <c r="A60" s="1"/>
      <c r="B60" s="1">
        <v>825980</v>
      </c>
      <c r="C60" s="1" t="s">
        <v>198</v>
      </c>
      <c r="D60" s="1" t="s">
        <v>199</v>
      </c>
      <c r="E60" s="2" t="s">
        <v>45</v>
      </c>
      <c r="F60" s="2" t="s">
        <v>200</v>
      </c>
      <c r="G60" s="2">
        <v>0</v>
      </c>
      <c r="H60" s="2">
        <v>0</v>
      </c>
      <c r="I60" s="1">
        <v>0</v>
      </c>
      <c r="J60" s="3" t="s">
        <v>18</v>
      </c>
      <c r="K60" s="2" t="str">
        <f>J60*2747.88</f>
        <v>0</v>
      </c>
      <c r="L60" s="5"/>
    </row>
    <row r="61" spans="1:12" customHeight="1" ht="105" outlineLevel="5">
      <c r="A61" s="1"/>
      <c r="B61" s="1">
        <v>825981</v>
      </c>
      <c r="C61" s="1" t="s">
        <v>201</v>
      </c>
      <c r="D61" s="1" t="s">
        <v>202</v>
      </c>
      <c r="E61" s="2" t="s">
        <v>45</v>
      </c>
      <c r="F61" s="2" t="s">
        <v>203</v>
      </c>
      <c r="G61" s="2">
        <v>0</v>
      </c>
      <c r="H61" s="2">
        <v>0</v>
      </c>
      <c r="I61" s="1">
        <v>0</v>
      </c>
      <c r="J61" s="3" t="s">
        <v>18</v>
      </c>
      <c r="K61" s="2" t="str">
        <f>J61*3136.31</f>
        <v>0</v>
      </c>
      <c r="L61" s="5"/>
    </row>
    <row r="62" spans="1:12" customHeight="1" ht="105" outlineLevel="5">
      <c r="A62" s="1"/>
      <c r="B62" s="1">
        <v>825982</v>
      </c>
      <c r="C62" s="1" t="s">
        <v>204</v>
      </c>
      <c r="D62" s="1" t="s">
        <v>205</v>
      </c>
      <c r="E62" s="2" t="s">
        <v>190</v>
      </c>
      <c r="F62" s="2" t="s">
        <v>206</v>
      </c>
      <c r="G62" s="2">
        <v>0</v>
      </c>
      <c r="H62" s="2">
        <v>0</v>
      </c>
      <c r="I62" s="1">
        <v>0</v>
      </c>
      <c r="J62" s="3" t="s">
        <v>18</v>
      </c>
      <c r="K62" s="2" t="str">
        <f>J62*2627.46</f>
        <v>0</v>
      </c>
      <c r="L62" s="5"/>
    </row>
    <row r="63" spans="1:12" customHeight="1" ht="105" outlineLevel="5">
      <c r="A63" s="1"/>
      <c r="B63" s="1">
        <v>825983</v>
      </c>
      <c r="C63" s="1" t="s">
        <v>207</v>
      </c>
      <c r="D63" s="1" t="s">
        <v>208</v>
      </c>
      <c r="E63" s="2" t="s">
        <v>45</v>
      </c>
      <c r="F63" s="2" t="s">
        <v>209</v>
      </c>
      <c r="G63" s="2">
        <v>0</v>
      </c>
      <c r="H63" s="2">
        <v>0</v>
      </c>
      <c r="I63" s="1">
        <v>0</v>
      </c>
      <c r="J63" s="3" t="s">
        <v>18</v>
      </c>
      <c r="K63" s="2" t="str">
        <f>J63*4068.87</f>
        <v>0</v>
      </c>
      <c r="L63" s="5"/>
    </row>
    <row r="64" spans="1:12" customHeight="1" ht="105" outlineLevel="5">
      <c r="A64" s="1"/>
      <c r="B64" s="1">
        <v>825984</v>
      </c>
      <c r="C64" s="1" t="s">
        <v>210</v>
      </c>
      <c r="D64" s="1" t="s">
        <v>211</v>
      </c>
      <c r="E64" s="2" t="s">
        <v>212</v>
      </c>
      <c r="F64" s="2" t="s">
        <v>213</v>
      </c>
      <c r="G64" s="2">
        <v>0</v>
      </c>
      <c r="H64" s="2">
        <v>0</v>
      </c>
      <c r="I64" s="1">
        <v>0</v>
      </c>
      <c r="J64" s="3" t="s">
        <v>18</v>
      </c>
      <c r="K64" s="2" t="str">
        <f>J64*2598.45</f>
        <v>0</v>
      </c>
      <c r="L64" s="5"/>
    </row>
    <row r="65" spans="1:12" customHeight="1" ht="105" outlineLevel="5">
      <c r="A65" s="1"/>
      <c r="B65" s="1">
        <v>825985</v>
      </c>
      <c r="C65" s="1" t="s">
        <v>214</v>
      </c>
      <c r="D65" s="1" t="s">
        <v>215</v>
      </c>
      <c r="E65" s="2" t="s">
        <v>45</v>
      </c>
      <c r="F65" s="2" t="s">
        <v>216</v>
      </c>
      <c r="G65" s="2">
        <v>0</v>
      </c>
      <c r="H65" s="2">
        <v>0</v>
      </c>
      <c r="I65" s="1">
        <v>0</v>
      </c>
      <c r="J65" s="3" t="s">
        <v>18</v>
      </c>
      <c r="K65" s="2" t="str">
        <f>J65*4481.23</f>
        <v>0</v>
      </c>
      <c r="L65" s="5"/>
    </row>
    <row r="66" spans="1:12" customHeight="1" ht="105" outlineLevel="5">
      <c r="A66" s="1"/>
      <c r="B66" s="1">
        <v>825986</v>
      </c>
      <c r="C66" s="1" t="s">
        <v>217</v>
      </c>
      <c r="D66" s="1" t="s">
        <v>218</v>
      </c>
      <c r="E66" s="2" t="s">
        <v>45</v>
      </c>
      <c r="F66" s="2" t="s">
        <v>219</v>
      </c>
      <c r="G66" s="2">
        <v>0</v>
      </c>
      <c r="H66" s="2">
        <v>0</v>
      </c>
      <c r="I66" s="1">
        <v>0</v>
      </c>
      <c r="J66" s="3" t="s">
        <v>18</v>
      </c>
      <c r="K66" s="2" t="str">
        <f>J66*3715.22</f>
        <v>0</v>
      </c>
      <c r="L66" s="5"/>
    </row>
    <row r="67" spans="1:12" customHeight="1" ht="105" outlineLevel="5">
      <c r="A67" s="1"/>
      <c r="B67" s="1">
        <v>825987</v>
      </c>
      <c r="C67" s="1" t="s">
        <v>220</v>
      </c>
      <c r="D67" s="1" t="s">
        <v>221</v>
      </c>
      <c r="E67" s="2" t="s">
        <v>45</v>
      </c>
      <c r="F67" s="2" t="s">
        <v>222</v>
      </c>
      <c r="G67" s="2">
        <v>0</v>
      </c>
      <c r="H67" s="2">
        <v>0</v>
      </c>
      <c r="I67" s="1">
        <v>0</v>
      </c>
      <c r="J67" s="3" t="s">
        <v>18</v>
      </c>
      <c r="K67" s="2" t="str">
        <f>J67*3737.24</f>
        <v>0</v>
      </c>
      <c r="L67" s="5"/>
    </row>
    <row r="68" spans="1:12" customHeight="1" ht="105" outlineLevel="5">
      <c r="A68" s="1"/>
      <c r="B68" s="1">
        <v>825988</v>
      </c>
      <c r="C68" s="1" t="s">
        <v>223</v>
      </c>
      <c r="D68" s="1" t="s">
        <v>224</v>
      </c>
      <c r="E68" s="2" t="s">
        <v>190</v>
      </c>
      <c r="F68" s="2" t="s">
        <v>225</v>
      </c>
      <c r="G68" s="2">
        <v>0</v>
      </c>
      <c r="H68" s="2">
        <v>0</v>
      </c>
      <c r="I68" s="1">
        <v>0</v>
      </c>
      <c r="J68" s="3" t="s">
        <v>18</v>
      </c>
      <c r="K68" s="2" t="str">
        <f>J68*2263.42</f>
        <v>0</v>
      </c>
      <c r="L68" s="5"/>
    </row>
    <row r="69" spans="1:12" customHeight="1" ht="105" outlineLevel="5">
      <c r="A69" s="1"/>
      <c r="B69" s="1">
        <v>825989</v>
      </c>
      <c r="C69" s="1" t="s">
        <v>226</v>
      </c>
      <c r="D69" s="1" t="s">
        <v>227</v>
      </c>
      <c r="E69" s="2" t="s">
        <v>228</v>
      </c>
      <c r="F69" s="2" t="s">
        <v>229</v>
      </c>
      <c r="G69" s="2">
        <v>0</v>
      </c>
      <c r="H69" s="2">
        <v>0</v>
      </c>
      <c r="I69" s="1">
        <v>0</v>
      </c>
      <c r="J69" s="3" t="s">
        <v>18</v>
      </c>
      <c r="K69" s="2" t="str">
        <f>J69*3792.29</f>
        <v>0</v>
      </c>
      <c r="L69" s="5"/>
    </row>
    <row r="70" spans="1:12" customHeight="1" ht="105" outlineLevel="5">
      <c r="A70" s="1"/>
      <c r="B70" s="1">
        <v>825990</v>
      </c>
      <c r="C70" s="1" t="s">
        <v>230</v>
      </c>
      <c r="D70" s="1" t="s">
        <v>231</v>
      </c>
      <c r="E70" s="2" t="s">
        <v>212</v>
      </c>
      <c r="F70" s="2" t="s">
        <v>232</v>
      </c>
      <c r="G70" s="2">
        <v>0</v>
      </c>
      <c r="H70" s="2">
        <v>0</v>
      </c>
      <c r="I70" s="1">
        <v>0</v>
      </c>
      <c r="J70" s="3" t="s">
        <v>18</v>
      </c>
      <c r="K70" s="2" t="str">
        <f>J70*4001.49</f>
        <v>0</v>
      </c>
      <c r="L70" s="5"/>
    </row>
    <row r="71" spans="1:12" customHeight="1" ht="105" outlineLevel="5">
      <c r="A71" s="1"/>
      <c r="B71" s="1">
        <v>825991</v>
      </c>
      <c r="C71" s="1" t="s">
        <v>233</v>
      </c>
      <c r="D71" s="1" t="s">
        <v>234</v>
      </c>
      <c r="E71" s="2" t="s">
        <v>235</v>
      </c>
      <c r="F71" s="2" t="s">
        <v>236</v>
      </c>
      <c r="G71" s="2">
        <v>0</v>
      </c>
      <c r="H71" s="2">
        <v>0</v>
      </c>
      <c r="I71" s="1">
        <v>0</v>
      </c>
      <c r="J71" s="3" t="s">
        <v>18</v>
      </c>
      <c r="K71" s="2" t="str">
        <f>J71*3257.50</f>
        <v>0</v>
      </c>
      <c r="L71" s="5"/>
    </row>
    <row r="72" spans="1:12" customHeight="1" ht="105" outlineLevel="5">
      <c r="A72" s="1"/>
      <c r="B72" s="1">
        <v>825992</v>
      </c>
      <c r="C72" s="1" t="s">
        <v>237</v>
      </c>
      <c r="D72" s="1" t="s">
        <v>238</v>
      </c>
      <c r="E72" s="2" t="s">
        <v>239</v>
      </c>
      <c r="F72" s="2" t="s">
        <v>240</v>
      </c>
      <c r="G72" s="2">
        <v>0</v>
      </c>
      <c r="H72" s="2">
        <v>0</v>
      </c>
      <c r="I72" s="1">
        <v>0</v>
      </c>
      <c r="J72" s="3" t="s">
        <v>18</v>
      </c>
      <c r="K72" s="2" t="str">
        <f>J72*3432.10</f>
        <v>0</v>
      </c>
      <c r="L72" s="5"/>
    </row>
    <row r="73" spans="1:12" customHeight="1" ht="105" outlineLevel="5">
      <c r="A73" s="1"/>
      <c r="B73" s="1">
        <v>825993</v>
      </c>
      <c r="C73" s="1" t="s">
        <v>241</v>
      </c>
      <c r="D73" s="1" t="s">
        <v>242</v>
      </c>
      <c r="E73" s="2" t="s">
        <v>235</v>
      </c>
      <c r="F73" s="2" t="s">
        <v>243</v>
      </c>
      <c r="G73" s="2">
        <v>0</v>
      </c>
      <c r="H73" s="2">
        <v>0</v>
      </c>
      <c r="I73" s="1">
        <v>0</v>
      </c>
      <c r="J73" s="3" t="s">
        <v>18</v>
      </c>
      <c r="K73" s="2" t="str">
        <f>J73*3690.05</f>
        <v>0</v>
      </c>
      <c r="L73" s="5"/>
    </row>
    <row r="74" spans="1:12" customHeight="1" ht="105" outlineLevel="5">
      <c r="A74" s="1"/>
      <c r="B74" s="1">
        <v>825994</v>
      </c>
      <c r="C74" s="1" t="s">
        <v>244</v>
      </c>
      <c r="D74" s="1" t="s">
        <v>245</v>
      </c>
      <c r="E74" s="2" t="s">
        <v>190</v>
      </c>
      <c r="F74" s="2" t="s">
        <v>246</v>
      </c>
      <c r="G74" s="2">
        <v>0</v>
      </c>
      <c r="H74" s="2">
        <v>0</v>
      </c>
      <c r="I74" s="1">
        <v>0</v>
      </c>
      <c r="J74" s="3" t="s">
        <v>18</v>
      </c>
      <c r="K74" s="2" t="str">
        <f>J74*2689.88</f>
        <v>0</v>
      </c>
      <c r="L74" s="5"/>
    </row>
    <row r="75" spans="1:12" customHeight="1" ht="105" outlineLevel="5">
      <c r="A75" s="1"/>
      <c r="B75" s="1">
        <v>825995</v>
      </c>
      <c r="C75" s="1" t="s">
        <v>247</v>
      </c>
      <c r="D75" s="1" t="s">
        <v>248</v>
      </c>
      <c r="E75" s="2" t="s">
        <v>235</v>
      </c>
      <c r="F75" s="2" t="s">
        <v>249</v>
      </c>
      <c r="G75" s="2">
        <v>0</v>
      </c>
      <c r="H75" s="2">
        <v>0</v>
      </c>
      <c r="I75" s="1">
        <v>0</v>
      </c>
      <c r="J75" s="3" t="s">
        <v>18</v>
      </c>
      <c r="K75" s="2" t="str">
        <f>J75*3260.65</f>
        <v>0</v>
      </c>
      <c r="L75" s="5"/>
    </row>
    <row r="76" spans="1:12" customHeight="1" ht="105" outlineLevel="5">
      <c r="A76" s="1"/>
      <c r="B76" s="1">
        <v>831337</v>
      </c>
      <c r="C76" s="1" t="s">
        <v>250</v>
      </c>
      <c r="D76" s="1" t="s">
        <v>251</v>
      </c>
      <c r="E76" s="2" t="s">
        <v>252</v>
      </c>
      <c r="F76" s="2" t="s">
        <v>253</v>
      </c>
      <c r="G76" s="2">
        <v>0</v>
      </c>
      <c r="H76" s="2">
        <v>0</v>
      </c>
      <c r="I76" s="1">
        <v>0</v>
      </c>
      <c r="J76" s="3" t="s">
        <v>18</v>
      </c>
      <c r="K76" s="2" t="str">
        <f>J76*5656.19</f>
        <v>0</v>
      </c>
      <c r="L76" s="5"/>
    </row>
    <row r="77" spans="1:12" customHeight="1" ht="105" outlineLevel="5">
      <c r="A77" s="1"/>
      <c r="B77" s="1">
        <v>831351</v>
      </c>
      <c r="C77" s="1" t="s">
        <v>254</v>
      </c>
      <c r="D77" s="1" t="s">
        <v>255</v>
      </c>
      <c r="E77" s="2" t="s">
        <v>256</v>
      </c>
      <c r="F77" s="2" t="s">
        <v>257</v>
      </c>
      <c r="G77" s="2">
        <v>0</v>
      </c>
      <c r="H77" s="2">
        <v>0</v>
      </c>
      <c r="I77" s="1">
        <v>0</v>
      </c>
      <c r="J77" s="3" t="s">
        <v>18</v>
      </c>
      <c r="K77" s="2" t="str">
        <f>J77*6464.67</f>
        <v>0</v>
      </c>
      <c r="L77" s="5"/>
    </row>
    <row r="78" spans="1:12" customHeight="1" ht="105" outlineLevel="5">
      <c r="A78" s="1"/>
      <c r="B78" s="1">
        <v>831359</v>
      </c>
      <c r="C78" s="1" t="s">
        <v>258</v>
      </c>
      <c r="D78" s="1" t="s">
        <v>259</v>
      </c>
      <c r="E78" s="2" t="s">
        <v>260</v>
      </c>
      <c r="F78" s="2" t="s">
        <v>261</v>
      </c>
      <c r="G78" s="2">
        <v>0</v>
      </c>
      <c r="H78" s="2">
        <v>0</v>
      </c>
      <c r="I78" s="1">
        <v>0</v>
      </c>
      <c r="J78" s="3" t="s">
        <v>18</v>
      </c>
      <c r="K78" s="2" t="str">
        <f>J78*5841.80</f>
        <v>0</v>
      </c>
      <c r="L78" s="5"/>
    </row>
    <row r="79" spans="1:12" customHeight="1" ht="105" outlineLevel="5">
      <c r="A79" s="1"/>
      <c r="B79" s="1">
        <v>831360</v>
      </c>
      <c r="C79" s="1" t="s">
        <v>262</v>
      </c>
      <c r="D79" s="1" t="s">
        <v>263</v>
      </c>
      <c r="E79" s="2" t="s">
        <v>260</v>
      </c>
      <c r="F79" s="2" t="s">
        <v>264</v>
      </c>
      <c r="G79" s="2">
        <v>0</v>
      </c>
      <c r="H79" s="2">
        <v>0</v>
      </c>
      <c r="I79" s="1">
        <v>0</v>
      </c>
      <c r="J79" s="3" t="s">
        <v>18</v>
      </c>
      <c r="K79" s="2" t="str">
        <f>J79*5874.83</f>
        <v>0</v>
      </c>
      <c r="L79" s="5"/>
    </row>
    <row r="80" spans="1:12" customHeight="1" ht="105" outlineLevel="5">
      <c r="A80" s="1"/>
      <c r="B80" s="1">
        <v>831363</v>
      </c>
      <c r="C80" s="1" t="s">
        <v>265</v>
      </c>
      <c r="D80" s="1" t="s">
        <v>266</v>
      </c>
      <c r="E80" s="2" t="s">
        <v>267</v>
      </c>
      <c r="F80" s="2" t="s">
        <v>151</v>
      </c>
      <c r="G80" s="2">
        <v>0</v>
      </c>
      <c r="H80" s="2">
        <v>0</v>
      </c>
      <c r="I80" s="1">
        <v>0</v>
      </c>
      <c r="J80" s="3" t="s">
        <v>18</v>
      </c>
      <c r="K80" s="2" t="str">
        <f>J80*5876.40</f>
        <v>0</v>
      </c>
      <c r="L80" s="5"/>
    </row>
    <row r="81" spans="1:12" customHeight="1" ht="105" outlineLevel="5">
      <c r="A81" s="1"/>
      <c r="B81" s="1">
        <v>831364</v>
      </c>
      <c r="C81" s="1" t="s">
        <v>268</v>
      </c>
      <c r="D81" s="1" t="s">
        <v>269</v>
      </c>
      <c r="E81" s="2" t="s">
        <v>270</v>
      </c>
      <c r="F81" s="2" t="s">
        <v>271</v>
      </c>
      <c r="G81" s="2">
        <v>0</v>
      </c>
      <c r="H81" s="2">
        <v>0</v>
      </c>
      <c r="I81" s="1">
        <v>0</v>
      </c>
      <c r="J81" s="3" t="s">
        <v>18</v>
      </c>
      <c r="K81" s="2" t="str">
        <f>J81*5977.07</f>
        <v>0</v>
      </c>
      <c r="L81" s="5"/>
    </row>
    <row r="82" spans="1:12" customHeight="1" ht="105" outlineLevel="5">
      <c r="A82" s="1"/>
      <c r="B82" s="1">
        <v>831365</v>
      </c>
      <c r="C82" s="1" t="s">
        <v>272</v>
      </c>
      <c r="D82" s="1" t="s">
        <v>273</v>
      </c>
      <c r="E82" s="2" t="s">
        <v>274</v>
      </c>
      <c r="F82" s="2" t="s">
        <v>253</v>
      </c>
      <c r="G82" s="2">
        <v>0</v>
      </c>
      <c r="H82" s="2">
        <v>0</v>
      </c>
      <c r="I82" s="1">
        <v>0</v>
      </c>
      <c r="J82" s="3" t="s">
        <v>18</v>
      </c>
      <c r="K82" s="2" t="str">
        <f>J82*5656.19</f>
        <v>0</v>
      </c>
      <c r="L82" s="5"/>
    </row>
    <row r="83" spans="1:12" customHeight="1" ht="105" outlineLevel="5">
      <c r="A83" s="1"/>
      <c r="B83" s="1">
        <v>831376</v>
      </c>
      <c r="C83" s="1" t="s">
        <v>275</v>
      </c>
      <c r="D83" s="1" t="s">
        <v>276</v>
      </c>
      <c r="E83" s="2" t="s">
        <v>277</v>
      </c>
      <c r="F83" s="2" t="s">
        <v>278</v>
      </c>
      <c r="G83" s="2">
        <v>0</v>
      </c>
      <c r="H83" s="2">
        <v>0</v>
      </c>
      <c r="I83" s="1">
        <v>0</v>
      </c>
      <c r="J83" s="3" t="s">
        <v>18</v>
      </c>
      <c r="K83" s="2" t="str">
        <f>J83*6971.15</f>
        <v>0</v>
      </c>
      <c r="L83" s="5"/>
    </row>
    <row r="84" spans="1:12" customHeight="1" ht="105" outlineLevel="5">
      <c r="A84" s="1"/>
      <c r="B84" s="1">
        <v>831449</v>
      </c>
      <c r="C84" s="1" t="s">
        <v>279</v>
      </c>
      <c r="D84" s="1" t="s">
        <v>280</v>
      </c>
      <c r="E84" s="2" t="s">
        <v>281</v>
      </c>
      <c r="F84" s="2" t="s">
        <v>282</v>
      </c>
      <c r="G84" s="2">
        <v>0</v>
      </c>
      <c r="H84" s="2">
        <v>0</v>
      </c>
      <c r="I84" s="1">
        <v>0</v>
      </c>
      <c r="J84" s="3" t="s">
        <v>18</v>
      </c>
      <c r="K84" s="2" t="str">
        <f>J84*3556.36</f>
        <v>0</v>
      </c>
      <c r="L84" s="5"/>
    </row>
    <row r="85" spans="1:12" customHeight="1" ht="105" outlineLevel="5">
      <c r="A85" s="1"/>
      <c r="B85" s="1">
        <v>831451</v>
      </c>
      <c r="C85" s="1" t="s">
        <v>283</v>
      </c>
      <c r="D85" s="1" t="s">
        <v>284</v>
      </c>
      <c r="E85" s="2" t="s">
        <v>281</v>
      </c>
      <c r="F85" s="2" t="s">
        <v>285</v>
      </c>
      <c r="G85" s="2">
        <v>0</v>
      </c>
      <c r="H85" s="2">
        <v>0</v>
      </c>
      <c r="I85" s="1">
        <v>0</v>
      </c>
      <c r="J85" s="3" t="s">
        <v>18</v>
      </c>
      <c r="K85" s="2" t="str">
        <f>J85*5280.27</f>
        <v>0</v>
      </c>
      <c r="L85" s="5"/>
    </row>
    <row r="86" spans="1:12" customHeight="1" ht="105" outlineLevel="5">
      <c r="A86" s="1"/>
      <c r="B86" s="1">
        <v>831461</v>
      </c>
      <c r="C86" s="1" t="s">
        <v>286</v>
      </c>
      <c r="D86" s="1" t="s">
        <v>287</v>
      </c>
      <c r="E86" s="2" t="s">
        <v>281</v>
      </c>
      <c r="F86" s="2" t="s">
        <v>288</v>
      </c>
      <c r="G86" s="2">
        <v>1</v>
      </c>
      <c r="H86" s="2">
        <v>0</v>
      </c>
      <c r="I86" s="1">
        <v>0</v>
      </c>
      <c r="J86" s="3" t="s">
        <v>18</v>
      </c>
      <c r="K86" s="2" t="str">
        <f>J86*4753.34</f>
        <v>0</v>
      </c>
      <c r="L86" s="5"/>
    </row>
    <row r="87" spans="1:12" customHeight="1" ht="105" outlineLevel="5">
      <c r="A87" s="1"/>
      <c r="B87" s="1">
        <v>831462</v>
      </c>
      <c r="C87" s="1" t="s">
        <v>289</v>
      </c>
      <c r="D87" s="1" t="s">
        <v>290</v>
      </c>
      <c r="E87" s="2" t="s">
        <v>281</v>
      </c>
      <c r="F87" s="2" t="s">
        <v>288</v>
      </c>
      <c r="G87" s="2">
        <v>0</v>
      </c>
      <c r="H87" s="2">
        <v>0</v>
      </c>
      <c r="I87" s="1">
        <v>0</v>
      </c>
      <c r="J87" s="3" t="s">
        <v>18</v>
      </c>
      <c r="K87" s="2" t="str">
        <f>J87*4753.34</f>
        <v>0</v>
      </c>
      <c r="L87" s="5"/>
    </row>
    <row r="88" spans="1:12" customHeight="1" ht="105" outlineLevel="5">
      <c r="A88" s="1"/>
      <c r="B88" s="1">
        <v>831465</v>
      </c>
      <c r="C88" s="1" t="s">
        <v>291</v>
      </c>
      <c r="D88" s="1" t="s">
        <v>292</v>
      </c>
      <c r="E88" s="2" t="s">
        <v>281</v>
      </c>
      <c r="F88" s="2" t="s">
        <v>293</v>
      </c>
      <c r="G88" s="2">
        <v>0</v>
      </c>
      <c r="H88" s="2">
        <v>0</v>
      </c>
      <c r="I88" s="1">
        <v>0</v>
      </c>
      <c r="J88" s="3" t="s">
        <v>18</v>
      </c>
      <c r="K88" s="2" t="str">
        <f>J88*3716.79</f>
        <v>0</v>
      </c>
      <c r="L88" s="5"/>
    </row>
    <row r="89" spans="1:12" customHeight="1" ht="105" outlineLevel="5">
      <c r="A89" s="1"/>
      <c r="B89" s="1">
        <v>831501</v>
      </c>
      <c r="C89" s="1" t="s">
        <v>294</v>
      </c>
      <c r="D89" s="1" t="s">
        <v>295</v>
      </c>
      <c r="E89" s="2" t="s">
        <v>296</v>
      </c>
      <c r="F89" s="2" t="s">
        <v>297</v>
      </c>
      <c r="G89" s="2">
        <v>0</v>
      </c>
      <c r="H89" s="2">
        <v>0</v>
      </c>
      <c r="I89" s="1">
        <v>0</v>
      </c>
      <c r="J89" s="3" t="s">
        <v>18</v>
      </c>
      <c r="K89" s="2" t="str">
        <f>J89*5782.03</f>
        <v>0</v>
      </c>
      <c r="L89" s="5"/>
    </row>
    <row r="90" spans="1:12" customHeight="1" ht="105" outlineLevel="5">
      <c r="A90" s="1"/>
      <c r="B90" s="1">
        <v>831502</v>
      </c>
      <c r="C90" s="1" t="s">
        <v>298</v>
      </c>
      <c r="D90" s="1" t="s">
        <v>299</v>
      </c>
      <c r="E90" s="2" t="s">
        <v>296</v>
      </c>
      <c r="F90" s="2" t="s">
        <v>300</v>
      </c>
      <c r="G90" s="2">
        <v>0</v>
      </c>
      <c r="H90" s="2">
        <v>0</v>
      </c>
      <c r="I90" s="1">
        <v>0</v>
      </c>
      <c r="J90" s="3" t="s">
        <v>18</v>
      </c>
      <c r="K90" s="2" t="str">
        <f>J90*5604.29</f>
        <v>0</v>
      </c>
      <c r="L90" s="5"/>
    </row>
    <row r="91" spans="1:12" customHeight="1" ht="105" outlineLevel="5">
      <c r="A91" s="1"/>
      <c r="B91" s="1">
        <v>826034</v>
      </c>
      <c r="C91" s="1" t="s">
        <v>301</v>
      </c>
      <c r="D91" s="1" t="s">
        <v>302</v>
      </c>
      <c r="E91" s="2" t="s">
        <v>303</v>
      </c>
      <c r="F91" s="2" t="s">
        <v>304</v>
      </c>
      <c r="G91" s="2">
        <v>0</v>
      </c>
      <c r="H91" s="2">
        <v>0</v>
      </c>
      <c r="I91" s="1">
        <v>0</v>
      </c>
      <c r="J91" s="3" t="s">
        <v>18</v>
      </c>
      <c r="K91" s="2" t="str">
        <f>J91*4089.68</f>
        <v>0</v>
      </c>
      <c r="L91" s="5"/>
    </row>
    <row r="92" spans="1:12" customHeight="1" ht="105" outlineLevel="5">
      <c r="A92" s="1"/>
      <c r="B92" s="1">
        <v>831446</v>
      </c>
      <c r="C92" s="1" t="s">
        <v>305</v>
      </c>
      <c r="D92" s="1" t="s">
        <v>306</v>
      </c>
      <c r="E92" s="2" t="s">
        <v>307</v>
      </c>
      <c r="F92" s="2" t="s">
        <v>308</v>
      </c>
      <c r="G92" s="2">
        <v>0</v>
      </c>
      <c r="H92" s="2">
        <v>0</v>
      </c>
      <c r="I92" s="1">
        <v>0</v>
      </c>
      <c r="J92" s="3" t="s">
        <v>18</v>
      </c>
      <c r="K92" s="2" t="str">
        <f>J92*6678.59</f>
        <v>0</v>
      </c>
      <c r="L92" s="5"/>
    </row>
    <row r="93" spans="1:12" customHeight="1" ht="105" outlineLevel="5">
      <c r="A93" s="1"/>
      <c r="B93" s="1">
        <v>857137</v>
      </c>
      <c r="C93" s="1" t="s">
        <v>309</v>
      </c>
      <c r="D93" s="1" t="s">
        <v>310</v>
      </c>
      <c r="E93" s="2" t="s">
        <v>311</v>
      </c>
      <c r="F93" s="2" t="s">
        <v>312</v>
      </c>
      <c r="G93" s="2">
        <v>0</v>
      </c>
      <c r="H93" s="2">
        <v>0</v>
      </c>
      <c r="I93" s="1">
        <v>0</v>
      </c>
      <c r="J93" s="3" t="s">
        <v>18</v>
      </c>
      <c r="K93" s="2" t="str">
        <f>J93*6287.74</f>
        <v>0</v>
      </c>
      <c r="L93" s="5"/>
    </row>
    <row r="94" spans="1:12" customHeight="1" ht="105" outlineLevel="5">
      <c r="A94" s="1"/>
      <c r="B94" s="1">
        <v>882100</v>
      </c>
      <c r="C94" s="1" t="s">
        <v>313</v>
      </c>
      <c r="D94" s="1" t="s">
        <v>314</v>
      </c>
      <c r="E94" s="2" t="s">
        <v>315</v>
      </c>
      <c r="F94" s="2" t="s">
        <v>316</v>
      </c>
      <c r="G94" s="2">
        <v>1</v>
      </c>
      <c r="H94" s="2">
        <v>0</v>
      </c>
      <c r="I94" s="1">
        <v>0</v>
      </c>
      <c r="J94" s="3" t="s">
        <v>18</v>
      </c>
      <c r="K94" s="2" t="str">
        <f>J94*7990.40</f>
        <v>0</v>
      </c>
      <c r="L94" s="5"/>
    </row>
    <row r="95" spans="1:12" customHeight="1" ht="105" outlineLevel="5">
      <c r="A95" s="1"/>
      <c r="B95" s="1">
        <v>857183</v>
      </c>
      <c r="C95" s="1" t="s">
        <v>317</v>
      </c>
      <c r="D95" s="1" t="s">
        <v>318</v>
      </c>
      <c r="E95" s="2" t="s">
        <v>319</v>
      </c>
      <c r="F95" s="2" t="s">
        <v>320</v>
      </c>
      <c r="G95" s="2">
        <v>0</v>
      </c>
      <c r="H95" s="2">
        <v>0</v>
      </c>
      <c r="I95" s="1">
        <v>0</v>
      </c>
      <c r="J95" s="3" t="s">
        <v>18</v>
      </c>
      <c r="K95" s="2" t="str">
        <f>J95*5495.76</f>
        <v>0</v>
      </c>
      <c r="L95" s="5"/>
    </row>
    <row r="96" spans="1:12" customHeight="1" ht="105" outlineLevel="5">
      <c r="A96" s="1"/>
      <c r="B96" s="1">
        <v>873355</v>
      </c>
      <c r="C96" s="1" t="s">
        <v>321</v>
      </c>
      <c r="D96" s="1" t="s">
        <v>322</v>
      </c>
      <c r="E96" s="2" t="s">
        <v>323</v>
      </c>
      <c r="F96" s="2" t="s">
        <v>324</v>
      </c>
      <c r="G96" s="2">
        <v>1</v>
      </c>
      <c r="H96" s="2">
        <v>0</v>
      </c>
      <c r="I96" s="1">
        <v>0</v>
      </c>
      <c r="J96" s="3" t="s">
        <v>18</v>
      </c>
      <c r="K96" s="2" t="str">
        <f>J96*5995.94</f>
        <v>0</v>
      </c>
      <c r="L96" s="5"/>
    </row>
    <row r="97" spans="1:12" outlineLevel="2">
      <c r="A97" s="8" t="s">
        <v>325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5"/>
    </row>
    <row r="98" spans="1:12" outlineLevel="3">
      <c r="A98" s="9" t="s">
        <v>326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5"/>
    </row>
    <row r="99" spans="1:12" customHeight="1" ht="105" outlineLevel="5">
      <c r="A99" s="1"/>
      <c r="B99" s="1">
        <v>959828</v>
      </c>
      <c r="C99" s="1" t="s">
        <v>327</v>
      </c>
      <c r="D99" s="1" t="s">
        <v>328</v>
      </c>
      <c r="E99" s="2" t="s">
        <v>329</v>
      </c>
      <c r="F99" s="2" t="s">
        <v>330</v>
      </c>
      <c r="G99" s="2">
        <v>0</v>
      </c>
      <c r="H99" s="2">
        <v>0</v>
      </c>
      <c r="I99" s="1">
        <v>0</v>
      </c>
      <c r="J99" s="3" t="s">
        <v>18</v>
      </c>
      <c r="K99" s="2" t="str">
        <f>J99*3481.19</f>
        <v>0</v>
      </c>
      <c r="L99" s="5"/>
    </row>
    <row r="100" spans="1:12" customHeight="1" ht="105" outlineLevel="5">
      <c r="A100" s="1"/>
      <c r="B100" s="1">
        <v>827868</v>
      </c>
      <c r="C100" s="1" t="s">
        <v>331</v>
      </c>
      <c r="D100" s="1" t="s">
        <v>332</v>
      </c>
      <c r="E100" s="2" t="s">
        <v>333</v>
      </c>
      <c r="F100" s="2" t="s">
        <v>334</v>
      </c>
      <c r="G100" s="2">
        <v>0</v>
      </c>
      <c r="H100" s="2">
        <v>0</v>
      </c>
      <c r="I100" s="1">
        <v>0</v>
      </c>
      <c r="J100" s="3" t="s">
        <v>18</v>
      </c>
      <c r="K100" s="2" t="str">
        <f>J100*1595.65</f>
        <v>0</v>
      </c>
      <c r="L100" s="5"/>
    </row>
    <row r="101" spans="1:12" customHeight="1" ht="105" outlineLevel="5">
      <c r="A101" s="1"/>
      <c r="B101" s="1">
        <v>827869</v>
      </c>
      <c r="C101" s="1" t="s">
        <v>335</v>
      </c>
      <c r="D101" s="1" t="s">
        <v>336</v>
      </c>
      <c r="E101" s="2" t="s">
        <v>337</v>
      </c>
      <c r="F101" s="2" t="s">
        <v>338</v>
      </c>
      <c r="G101" s="2">
        <v>8</v>
      </c>
      <c r="H101" s="2">
        <v>0</v>
      </c>
      <c r="I101" s="1">
        <v>0</v>
      </c>
      <c r="J101" s="3" t="s">
        <v>18</v>
      </c>
      <c r="K101" s="2" t="str">
        <f>J101*2409.51</f>
        <v>0</v>
      </c>
      <c r="L101" s="5"/>
    </row>
    <row r="102" spans="1:12" customHeight="1" ht="105" outlineLevel="5">
      <c r="A102" s="1"/>
      <c r="B102" s="1">
        <v>827871</v>
      </c>
      <c r="C102" s="1" t="s">
        <v>339</v>
      </c>
      <c r="D102" s="1" t="s">
        <v>340</v>
      </c>
      <c r="E102" s="2" t="s">
        <v>341</v>
      </c>
      <c r="F102" s="2" t="s">
        <v>342</v>
      </c>
      <c r="G102" s="2">
        <v>6</v>
      </c>
      <c r="H102" s="2">
        <v>0</v>
      </c>
      <c r="I102" s="1">
        <v>0</v>
      </c>
      <c r="J102" s="3" t="s">
        <v>18</v>
      </c>
      <c r="K102" s="2" t="str">
        <f>J102*1901.65</f>
        <v>0</v>
      </c>
      <c r="L102" s="5"/>
    </row>
    <row r="103" spans="1:12" customHeight="1" ht="105" outlineLevel="5">
      <c r="A103" s="1"/>
      <c r="B103" s="1">
        <v>827872</v>
      </c>
      <c r="C103" s="1" t="s">
        <v>343</v>
      </c>
      <c r="D103" s="1" t="s">
        <v>344</v>
      </c>
      <c r="E103" s="2" t="s">
        <v>345</v>
      </c>
      <c r="F103" s="2" t="s">
        <v>346</v>
      </c>
      <c r="G103" s="2">
        <v>3</v>
      </c>
      <c r="H103" s="2">
        <v>0</v>
      </c>
      <c r="I103" s="1">
        <v>0</v>
      </c>
      <c r="J103" s="3" t="s">
        <v>18</v>
      </c>
      <c r="K103" s="2" t="str">
        <f>J103*2607.78</f>
        <v>0</v>
      </c>
      <c r="L103" s="5"/>
    </row>
    <row r="104" spans="1:12" customHeight="1" ht="105" outlineLevel="5">
      <c r="A104" s="1"/>
      <c r="B104" s="1">
        <v>827873</v>
      </c>
      <c r="C104" s="1" t="s">
        <v>347</v>
      </c>
      <c r="D104" s="1" t="s">
        <v>348</v>
      </c>
      <c r="E104" s="2" t="s">
        <v>349</v>
      </c>
      <c r="F104" s="2" t="s">
        <v>350</v>
      </c>
      <c r="G104" s="2">
        <v>4</v>
      </c>
      <c r="H104" s="2">
        <v>0</v>
      </c>
      <c r="I104" s="1">
        <v>0</v>
      </c>
      <c r="J104" s="3" t="s">
        <v>18</v>
      </c>
      <c r="K104" s="2" t="str">
        <f>J104*3522.08</f>
        <v>0</v>
      </c>
      <c r="L104" s="5"/>
    </row>
    <row r="105" spans="1:12" customHeight="1" ht="105" outlineLevel="5">
      <c r="A105" s="1"/>
      <c r="B105" s="1">
        <v>827874</v>
      </c>
      <c r="C105" s="1" t="s">
        <v>351</v>
      </c>
      <c r="D105" s="1" t="s">
        <v>352</v>
      </c>
      <c r="E105" s="2" t="s">
        <v>353</v>
      </c>
      <c r="F105" s="2" t="s">
        <v>354</v>
      </c>
      <c r="G105" s="2">
        <v>1</v>
      </c>
      <c r="H105" s="2">
        <v>0</v>
      </c>
      <c r="I105" s="1">
        <v>0</v>
      </c>
      <c r="J105" s="3" t="s">
        <v>18</v>
      </c>
      <c r="K105" s="2" t="str">
        <f>J105*4570.15</f>
        <v>0</v>
      </c>
      <c r="L105" s="5"/>
    </row>
    <row r="106" spans="1:12" customHeight="1" ht="105" outlineLevel="5">
      <c r="A106" s="1"/>
      <c r="B106" s="1">
        <v>877765</v>
      </c>
      <c r="C106" s="1" t="s">
        <v>355</v>
      </c>
      <c r="D106" s="1" t="s">
        <v>356</v>
      </c>
      <c r="E106" s="2" t="s">
        <v>357</v>
      </c>
      <c r="F106" s="2" t="s">
        <v>358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J106*2813.45</f>
        <v>0</v>
      </c>
      <c r="L106" s="5"/>
    </row>
    <row r="107" spans="1:12" outlineLevel="3">
      <c r="A107" s="9" t="s">
        <v>359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5"/>
    </row>
    <row r="108" spans="1:12" customHeight="1" ht="105" outlineLevel="5">
      <c r="A108" s="1"/>
      <c r="B108" s="1">
        <v>959824</v>
      </c>
      <c r="C108" s="1" t="s">
        <v>360</v>
      </c>
      <c r="D108" s="1" t="s">
        <v>361</v>
      </c>
      <c r="E108" s="2" t="s">
        <v>362</v>
      </c>
      <c r="F108" s="2" t="s">
        <v>363</v>
      </c>
      <c r="G108" s="2" t="s">
        <v>364</v>
      </c>
      <c r="H108" s="2">
        <v>0</v>
      </c>
      <c r="I108" s="1">
        <v>0</v>
      </c>
      <c r="J108" s="3" t="s">
        <v>18</v>
      </c>
      <c r="K108" s="2" t="str">
        <f>J108*1494.16</f>
        <v>0</v>
      </c>
      <c r="L108" s="5"/>
    </row>
    <row r="109" spans="1:12" customHeight="1" ht="105" outlineLevel="5">
      <c r="A109" s="1"/>
      <c r="B109" s="1">
        <v>827849</v>
      </c>
      <c r="C109" s="1" t="s">
        <v>365</v>
      </c>
      <c r="D109" s="1" t="s">
        <v>366</v>
      </c>
      <c r="E109" s="2" t="s">
        <v>367</v>
      </c>
      <c r="F109" s="2" t="s">
        <v>368</v>
      </c>
      <c r="G109" s="2" t="s">
        <v>369</v>
      </c>
      <c r="H109" s="2">
        <v>0</v>
      </c>
      <c r="I109" s="1">
        <v>0</v>
      </c>
      <c r="J109" s="3" t="s">
        <v>18</v>
      </c>
      <c r="K109" s="2" t="str">
        <f>J109*1232.66</f>
        <v>0</v>
      </c>
      <c r="L109" s="5"/>
    </row>
    <row r="110" spans="1:12" customHeight="1" ht="105" outlineLevel="5">
      <c r="A110" s="1"/>
      <c r="B110" s="1">
        <v>827850</v>
      </c>
      <c r="C110" s="1" t="s">
        <v>370</v>
      </c>
      <c r="D110" s="1" t="s">
        <v>371</v>
      </c>
      <c r="E110" s="2" t="s">
        <v>372</v>
      </c>
      <c r="F110" s="2" t="s">
        <v>373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J110*1949.40</f>
        <v>0</v>
      </c>
      <c r="L110" s="5"/>
    </row>
    <row r="111" spans="1:12" customHeight="1" ht="105" outlineLevel="5">
      <c r="A111" s="1"/>
      <c r="B111" s="1">
        <v>827851</v>
      </c>
      <c r="C111" s="1" t="s">
        <v>374</v>
      </c>
      <c r="D111" s="1" t="s">
        <v>375</v>
      </c>
      <c r="E111" s="2" t="s">
        <v>376</v>
      </c>
      <c r="F111" s="2" t="s">
        <v>377</v>
      </c>
      <c r="G111" s="2">
        <v>5</v>
      </c>
      <c r="H111" s="2">
        <v>0</v>
      </c>
      <c r="I111" s="1">
        <v>0</v>
      </c>
      <c r="J111" s="3" t="s">
        <v>18</v>
      </c>
      <c r="K111" s="2" t="str">
        <f>J111*2109.77</f>
        <v>0</v>
      </c>
      <c r="L111" s="5"/>
    </row>
    <row r="112" spans="1:12" customHeight="1" ht="105" outlineLevel="5">
      <c r="A112" s="1"/>
      <c r="B112" s="1">
        <v>827852</v>
      </c>
      <c r="C112" s="1" t="s">
        <v>378</v>
      </c>
      <c r="D112" s="1" t="s">
        <v>379</v>
      </c>
      <c r="E112" s="2" t="s">
        <v>380</v>
      </c>
      <c r="F112" s="2" t="s">
        <v>381</v>
      </c>
      <c r="G112" s="2" t="s">
        <v>382</v>
      </c>
      <c r="H112" s="2">
        <v>0</v>
      </c>
      <c r="I112" s="1">
        <v>0</v>
      </c>
      <c r="J112" s="3" t="s">
        <v>18</v>
      </c>
      <c r="K112" s="2" t="str">
        <f>J112*2119.69</f>
        <v>0</v>
      </c>
      <c r="L112" s="5"/>
    </row>
    <row r="113" spans="1:12" customHeight="1" ht="105" outlineLevel="5">
      <c r="A113" s="1"/>
      <c r="B113" s="1">
        <v>827853</v>
      </c>
      <c r="C113" s="1" t="s">
        <v>383</v>
      </c>
      <c r="D113" s="1" t="s">
        <v>384</v>
      </c>
      <c r="E113" s="2" t="s">
        <v>385</v>
      </c>
      <c r="F113" s="2" t="s">
        <v>386</v>
      </c>
      <c r="G113" s="2" t="s">
        <v>369</v>
      </c>
      <c r="H113" s="2">
        <v>0</v>
      </c>
      <c r="I113" s="1">
        <v>0</v>
      </c>
      <c r="J113" s="3" t="s">
        <v>18</v>
      </c>
      <c r="K113" s="2" t="str">
        <f>J113*1781.48</f>
        <v>0</v>
      </c>
      <c r="L113" s="5"/>
    </row>
    <row r="114" spans="1:12" customHeight="1" ht="105" outlineLevel="5">
      <c r="A114" s="1"/>
      <c r="B114" s="1">
        <v>827855</v>
      </c>
      <c r="C114" s="1" t="s">
        <v>387</v>
      </c>
      <c r="D114" s="1" t="s">
        <v>388</v>
      </c>
      <c r="E114" s="2" t="s">
        <v>389</v>
      </c>
      <c r="F114" s="2" t="s">
        <v>390</v>
      </c>
      <c r="G114" s="2" t="s">
        <v>382</v>
      </c>
      <c r="H114" s="2">
        <v>0</v>
      </c>
      <c r="I114" s="1">
        <v>0</v>
      </c>
      <c r="J114" s="3" t="s">
        <v>18</v>
      </c>
      <c r="K114" s="2" t="str">
        <f>J114*1980.94</f>
        <v>0</v>
      </c>
      <c r="L114" s="5"/>
    </row>
    <row r="115" spans="1:12" customHeight="1" ht="105" outlineLevel="5">
      <c r="A115" s="1"/>
      <c r="B115" s="1">
        <v>827856</v>
      </c>
      <c r="C115" s="1" t="s">
        <v>391</v>
      </c>
      <c r="D115" s="1" t="s">
        <v>392</v>
      </c>
      <c r="E115" s="2" t="s">
        <v>393</v>
      </c>
      <c r="F115" s="2" t="s">
        <v>394</v>
      </c>
      <c r="G115" s="2">
        <v>9</v>
      </c>
      <c r="H115" s="2">
        <v>0</v>
      </c>
      <c r="I115" s="1">
        <v>0</v>
      </c>
      <c r="J115" s="3" t="s">
        <v>18</v>
      </c>
      <c r="K115" s="2" t="str">
        <f>J115*3199.98</f>
        <v>0</v>
      </c>
      <c r="L115" s="5"/>
    </row>
    <row r="116" spans="1:12" customHeight="1" ht="105" outlineLevel="5">
      <c r="A116" s="1"/>
      <c r="B116" s="1">
        <v>827857</v>
      </c>
      <c r="C116" s="1" t="s">
        <v>395</v>
      </c>
      <c r="D116" s="1" t="s">
        <v>396</v>
      </c>
      <c r="E116" s="2" t="s">
        <v>397</v>
      </c>
      <c r="F116" s="2" t="s">
        <v>398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J116*0.00</f>
        <v>0</v>
      </c>
      <c r="L116" s="5"/>
    </row>
    <row r="117" spans="1:12" customHeight="1" ht="105" outlineLevel="5">
      <c r="A117" s="1"/>
      <c r="B117" s="1">
        <v>827862</v>
      </c>
      <c r="C117" s="1" t="s">
        <v>399</v>
      </c>
      <c r="D117" s="1" t="s">
        <v>400</v>
      </c>
      <c r="E117" s="2" t="s">
        <v>401</v>
      </c>
      <c r="F117" s="2" t="s">
        <v>402</v>
      </c>
      <c r="G117" s="2" t="s">
        <v>369</v>
      </c>
      <c r="H117" s="2">
        <v>0</v>
      </c>
      <c r="I117" s="1">
        <v>0</v>
      </c>
      <c r="J117" s="3" t="s">
        <v>18</v>
      </c>
      <c r="K117" s="2" t="str">
        <f>J117*1302.04</f>
        <v>0</v>
      </c>
      <c r="L117" s="5"/>
    </row>
    <row r="118" spans="1:12" customHeight="1" ht="105" outlineLevel="5">
      <c r="A118" s="1"/>
      <c r="B118" s="1">
        <v>827863</v>
      </c>
      <c r="C118" s="1" t="s">
        <v>403</v>
      </c>
      <c r="D118" s="1" t="s">
        <v>404</v>
      </c>
      <c r="E118" s="2" t="s">
        <v>405</v>
      </c>
      <c r="F118" s="2" t="s">
        <v>406</v>
      </c>
      <c r="G118" s="2">
        <v>6</v>
      </c>
      <c r="H118" s="2">
        <v>0</v>
      </c>
      <c r="I118" s="1">
        <v>0</v>
      </c>
      <c r="J118" s="3" t="s">
        <v>18</v>
      </c>
      <c r="K118" s="2" t="str">
        <f>J118*2221.28</f>
        <v>0</v>
      </c>
      <c r="L118" s="5"/>
    </row>
    <row r="119" spans="1:12" customHeight="1" ht="105" outlineLevel="5">
      <c r="A119" s="1"/>
      <c r="B119" s="1">
        <v>827864</v>
      </c>
      <c r="C119" s="1" t="s">
        <v>407</v>
      </c>
      <c r="D119" s="1" t="s">
        <v>408</v>
      </c>
      <c r="E119" s="2" t="s">
        <v>409</v>
      </c>
      <c r="F119" s="2" t="s">
        <v>410</v>
      </c>
      <c r="G119" s="2">
        <v>7</v>
      </c>
      <c r="H119" s="2">
        <v>0</v>
      </c>
      <c r="I119" s="1">
        <v>0</v>
      </c>
      <c r="J119" s="3" t="s">
        <v>18</v>
      </c>
      <c r="K119" s="2" t="str">
        <f>J119*1552.28</f>
        <v>0</v>
      </c>
      <c r="L119" s="5"/>
    </row>
    <row r="120" spans="1:12" customHeight="1" ht="105" outlineLevel="5">
      <c r="A120" s="1"/>
      <c r="B120" s="1">
        <v>827865</v>
      </c>
      <c r="C120" s="1" t="s">
        <v>411</v>
      </c>
      <c r="D120" s="1" t="s">
        <v>412</v>
      </c>
      <c r="E120" s="2" t="s">
        <v>413</v>
      </c>
      <c r="F120" s="2" t="s">
        <v>414</v>
      </c>
      <c r="G120" s="2">
        <v>9</v>
      </c>
      <c r="H120" s="2">
        <v>0</v>
      </c>
      <c r="I120" s="1">
        <v>0</v>
      </c>
      <c r="J120" s="3" t="s">
        <v>18</v>
      </c>
      <c r="K120" s="2" t="str">
        <f>J120*2372.42</f>
        <v>0</v>
      </c>
      <c r="L120" s="5"/>
    </row>
    <row r="121" spans="1:12" customHeight="1" ht="105" outlineLevel="5">
      <c r="A121" s="1"/>
      <c r="B121" s="1">
        <v>827866</v>
      </c>
      <c r="C121" s="1" t="s">
        <v>415</v>
      </c>
      <c r="D121" s="1" t="s">
        <v>416</v>
      </c>
      <c r="E121" s="2" t="s">
        <v>417</v>
      </c>
      <c r="F121" s="2" t="s">
        <v>418</v>
      </c>
      <c r="G121" s="2" t="s">
        <v>369</v>
      </c>
      <c r="H121" s="2">
        <v>0</v>
      </c>
      <c r="I121" s="1">
        <v>0</v>
      </c>
      <c r="J121" s="3" t="s">
        <v>18</v>
      </c>
      <c r="K121" s="2" t="str">
        <f>J121*2462.86</f>
        <v>0</v>
      </c>
      <c r="L121" s="5"/>
    </row>
    <row r="122" spans="1:12" customHeight="1" ht="105" outlineLevel="5">
      <c r="A122" s="1"/>
      <c r="B122" s="1">
        <v>827867</v>
      </c>
      <c r="C122" s="1" t="s">
        <v>419</v>
      </c>
      <c r="D122" s="1" t="s">
        <v>420</v>
      </c>
      <c r="E122" s="2" t="s">
        <v>421</v>
      </c>
      <c r="F122" s="2" t="s">
        <v>422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J122*1272.86</f>
        <v>0</v>
      </c>
      <c r="L122" s="5"/>
    </row>
    <row r="123" spans="1:12" customHeight="1" ht="105" outlineLevel="5">
      <c r="A123" s="1"/>
      <c r="B123" s="1">
        <v>827882</v>
      </c>
      <c r="C123" s="1" t="s">
        <v>423</v>
      </c>
      <c r="D123" s="1" t="s">
        <v>424</v>
      </c>
      <c r="E123" s="2" t="s">
        <v>425</v>
      </c>
      <c r="F123" s="2" t="s">
        <v>426</v>
      </c>
      <c r="G123" s="2" t="s">
        <v>382</v>
      </c>
      <c r="H123" s="2">
        <v>0</v>
      </c>
      <c r="I123" s="1">
        <v>0</v>
      </c>
      <c r="J123" s="3" t="s">
        <v>18</v>
      </c>
      <c r="K123" s="2" t="str">
        <f>J123*1634.06</f>
        <v>0</v>
      </c>
      <c r="L123" s="5"/>
    </row>
    <row r="124" spans="1:12" customHeight="1" ht="105" outlineLevel="5">
      <c r="A124" s="1"/>
      <c r="B124" s="1">
        <v>827883</v>
      </c>
      <c r="C124" s="1" t="s">
        <v>427</v>
      </c>
      <c r="D124" s="1" t="s">
        <v>428</v>
      </c>
      <c r="E124" s="2" t="s">
        <v>429</v>
      </c>
      <c r="F124" s="2" t="s">
        <v>430</v>
      </c>
      <c r="G124" s="2" t="s">
        <v>382</v>
      </c>
      <c r="H124" s="2">
        <v>0</v>
      </c>
      <c r="I124" s="1">
        <v>0</v>
      </c>
      <c r="J124" s="3" t="s">
        <v>18</v>
      </c>
      <c r="K124" s="2" t="str">
        <f>J124*1300.80</f>
        <v>0</v>
      </c>
      <c r="L124" s="5"/>
    </row>
    <row r="125" spans="1:12" customHeight="1" ht="105" outlineLevel="5">
      <c r="A125" s="1"/>
      <c r="B125" s="1">
        <v>827884</v>
      </c>
      <c r="C125" s="1" t="s">
        <v>431</v>
      </c>
      <c r="D125" s="1" t="s">
        <v>432</v>
      </c>
      <c r="E125" s="2" t="s">
        <v>433</v>
      </c>
      <c r="F125" s="2" t="s">
        <v>434</v>
      </c>
      <c r="G125" s="2" t="s">
        <v>369</v>
      </c>
      <c r="H125" s="2">
        <v>0</v>
      </c>
      <c r="I125" s="1">
        <v>0</v>
      </c>
      <c r="J125" s="3" t="s">
        <v>18</v>
      </c>
      <c r="K125" s="2" t="str">
        <f>J125*1538.66</f>
        <v>0</v>
      </c>
      <c r="L125" s="5"/>
    </row>
    <row r="126" spans="1:12" customHeight="1" ht="105" outlineLevel="5">
      <c r="A126" s="1"/>
      <c r="B126" s="1">
        <v>834699</v>
      </c>
      <c r="C126" s="1" t="s">
        <v>435</v>
      </c>
      <c r="D126" s="1" t="s">
        <v>436</v>
      </c>
      <c r="E126" s="2" t="s">
        <v>437</v>
      </c>
      <c r="F126" s="2" t="s">
        <v>438</v>
      </c>
      <c r="G126" s="2">
        <v>2</v>
      </c>
      <c r="H126" s="2">
        <v>0</v>
      </c>
      <c r="I126" s="1">
        <v>0</v>
      </c>
      <c r="J126" s="3" t="s">
        <v>18</v>
      </c>
      <c r="K126" s="2" t="str">
        <f>J126*3976.00</f>
        <v>0</v>
      </c>
      <c r="L126" s="5"/>
    </row>
    <row r="127" spans="1:12" outlineLevel="3">
      <c r="A127" s="9" t="s">
        <v>439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5"/>
    </row>
    <row r="128" spans="1:12" customHeight="1" ht="105" outlineLevel="5">
      <c r="A128" s="1"/>
      <c r="B128" s="1">
        <v>890499</v>
      </c>
      <c r="C128" s="1" t="s">
        <v>440</v>
      </c>
      <c r="D128" s="1" t="s">
        <v>441</v>
      </c>
      <c r="E128" s="2" t="s">
        <v>442</v>
      </c>
      <c r="F128" s="2" t="s">
        <v>443</v>
      </c>
      <c r="G128" s="2" t="s">
        <v>369</v>
      </c>
      <c r="H128" s="2">
        <v>0</v>
      </c>
      <c r="I128" s="1">
        <v>0</v>
      </c>
      <c r="J128" s="3" t="s">
        <v>18</v>
      </c>
      <c r="K128" s="2" t="str">
        <f>J128*966.55</f>
        <v>0</v>
      </c>
      <c r="L128" s="5"/>
    </row>
    <row r="129" spans="1:12" customHeight="1" ht="105" outlineLevel="5">
      <c r="A129" s="1"/>
      <c r="B129" s="1">
        <v>890500</v>
      </c>
      <c r="C129" s="1" t="s">
        <v>444</v>
      </c>
      <c r="D129" s="1" t="s">
        <v>445</v>
      </c>
      <c r="E129" s="2" t="s">
        <v>446</v>
      </c>
      <c r="F129" s="2" t="s">
        <v>447</v>
      </c>
      <c r="G129" s="2" t="s">
        <v>382</v>
      </c>
      <c r="H129" s="2">
        <v>0</v>
      </c>
      <c r="I129" s="1">
        <v>0</v>
      </c>
      <c r="J129" s="3" t="s">
        <v>18</v>
      </c>
      <c r="K129" s="2" t="str">
        <f>J129*1669.45</f>
        <v>0</v>
      </c>
      <c r="L129" s="5"/>
    </row>
    <row r="130" spans="1:12" customHeight="1" ht="105" outlineLevel="5">
      <c r="A130" s="1"/>
      <c r="B130" s="1">
        <v>890502</v>
      </c>
      <c r="C130" s="1" t="s">
        <v>448</v>
      </c>
      <c r="D130" s="1" t="s">
        <v>449</v>
      </c>
      <c r="E130" s="2" t="s">
        <v>450</v>
      </c>
      <c r="F130" s="2" t="s">
        <v>451</v>
      </c>
      <c r="G130" s="2" t="s">
        <v>382</v>
      </c>
      <c r="H130" s="2">
        <v>0</v>
      </c>
      <c r="I130" s="1">
        <v>0</v>
      </c>
      <c r="J130" s="3" t="s">
        <v>18</v>
      </c>
      <c r="K130" s="2" t="str">
        <f>J130*1633.60</f>
        <v>0</v>
      </c>
      <c r="L130" s="5"/>
    </row>
    <row r="131" spans="1:12" customHeight="1" ht="105" outlineLevel="5">
      <c r="A131" s="1"/>
      <c r="B131" s="1">
        <v>890503</v>
      </c>
      <c r="C131" s="1" t="s">
        <v>452</v>
      </c>
      <c r="D131" s="1" t="s">
        <v>453</v>
      </c>
      <c r="E131" s="2" t="s">
        <v>450</v>
      </c>
      <c r="F131" s="2" t="s">
        <v>447</v>
      </c>
      <c r="G131" s="2" t="s">
        <v>382</v>
      </c>
      <c r="H131" s="2">
        <v>0</v>
      </c>
      <c r="I131" s="1">
        <v>0</v>
      </c>
      <c r="J131" s="3" t="s">
        <v>18</v>
      </c>
      <c r="K131" s="2" t="str">
        <f>J131*1669.45</f>
        <v>0</v>
      </c>
      <c r="L131" s="5"/>
    </row>
    <row r="132" spans="1:12" customHeight="1" ht="105" outlineLevel="5">
      <c r="A132" s="1"/>
      <c r="B132" s="1">
        <v>890504</v>
      </c>
      <c r="C132" s="1" t="s">
        <v>454</v>
      </c>
      <c r="D132" s="1" t="s">
        <v>455</v>
      </c>
      <c r="E132" s="2" t="s">
        <v>456</v>
      </c>
      <c r="F132" s="2" t="s">
        <v>457</v>
      </c>
      <c r="G132" s="2" t="s">
        <v>369</v>
      </c>
      <c r="H132" s="2">
        <v>0</v>
      </c>
      <c r="I132" s="1">
        <v>0</v>
      </c>
      <c r="J132" s="3" t="s">
        <v>18</v>
      </c>
      <c r="K132" s="2" t="str">
        <f>J132*1074.10</f>
        <v>0</v>
      </c>
      <c r="L132" s="5"/>
    </row>
    <row r="133" spans="1:12" customHeight="1" ht="105" outlineLevel="5">
      <c r="A133" s="1"/>
      <c r="B133" s="1">
        <v>890505</v>
      </c>
      <c r="C133" s="1" t="s">
        <v>458</v>
      </c>
      <c r="D133" s="1" t="s">
        <v>459</v>
      </c>
      <c r="E133" s="2" t="s">
        <v>460</v>
      </c>
      <c r="F133" s="2" t="s">
        <v>461</v>
      </c>
      <c r="G133" s="2" t="s">
        <v>382</v>
      </c>
      <c r="H133" s="2">
        <v>0</v>
      </c>
      <c r="I133" s="1">
        <v>0</v>
      </c>
      <c r="J133" s="3" t="s">
        <v>18</v>
      </c>
      <c r="K133" s="2" t="str">
        <f>J133*1770.49</f>
        <v>0</v>
      </c>
      <c r="L133" s="5"/>
    </row>
    <row r="134" spans="1:12" customHeight="1" ht="105" outlineLevel="5">
      <c r="A134" s="1"/>
      <c r="B134" s="1">
        <v>890507</v>
      </c>
      <c r="C134" s="1" t="s">
        <v>462</v>
      </c>
      <c r="D134" s="1" t="s">
        <v>463</v>
      </c>
      <c r="E134" s="2" t="s">
        <v>464</v>
      </c>
      <c r="F134" s="2" t="s">
        <v>465</v>
      </c>
      <c r="G134" s="2" t="s">
        <v>382</v>
      </c>
      <c r="H134" s="2">
        <v>0</v>
      </c>
      <c r="I134" s="1">
        <v>0</v>
      </c>
      <c r="J134" s="3" t="s">
        <v>18</v>
      </c>
      <c r="K134" s="2" t="str">
        <f>J134*1734.64</f>
        <v>0</v>
      </c>
      <c r="L134" s="5"/>
    </row>
    <row r="135" spans="1:12" customHeight="1" ht="105" outlineLevel="5">
      <c r="A135" s="1"/>
      <c r="B135" s="1">
        <v>890508</v>
      </c>
      <c r="C135" s="1" t="s">
        <v>466</v>
      </c>
      <c r="D135" s="1" t="s">
        <v>467</v>
      </c>
      <c r="E135" s="2" t="s">
        <v>464</v>
      </c>
      <c r="F135" s="2" t="s">
        <v>461</v>
      </c>
      <c r="G135" s="2" t="s">
        <v>382</v>
      </c>
      <c r="H135" s="2">
        <v>0</v>
      </c>
      <c r="I135" s="1">
        <v>0</v>
      </c>
      <c r="J135" s="3" t="s">
        <v>18</v>
      </c>
      <c r="K135" s="2" t="str">
        <f>J135*1770.49</f>
        <v>0</v>
      </c>
      <c r="L135" s="5"/>
    </row>
    <row r="136" spans="1:12" customHeight="1" ht="105" outlineLevel="5">
      <c r="A136" s="1"/>
      <c r="B136" s="1">
        <v>890510</v>
      </c>
      <c r="C136" s="1" t="s">
        <v>468</v>
      </c>
      <c r="D136" s="1" t="s">
        <v>469</v>
      </c>
      <c r="E136" s="2" t="s">
        <v>470</v>
      </c>
      <c r="F136" s="2" t="s">
        <v>471</v>
      </c>
      <c r="G136" s="2" t="s">
        <v>382</v>
      </c>
      <c r="H136" s="2">
        <v>0</v>
      </c>
      <c r="I136" s="1">
        <v>0</v>
      </c>
      <c r="J136" s="3" t="s">
        <v>18</v>
      </c>
      <c r="K136" s="2" t="str">
        <f>J136*1396.04</f>
        <v>0</v>
      </c>
      <c r="L136" s="5"/>
    </row>
    <row r="137" spans="1:12" outlineLevel="2">
      <c r="A137" s="8" t="s">
        <v>472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5"/>
    </row>
    <row r="138" spans="1:12" outlineLevel="3">
      <c r="A138" s="9" t="s">
        <v>473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5"/>
    </row>
    <row r="139" spans="1:12" customHeight="1" ht="105" outlineLevel="5">
      <c r="A139" s="1"/>
      <c r="B139" s="1">
        <v>827205</v>
      </c>
      <c r="C139" s="1" t="s">
        <v>474</v>
      </c>
      <c r="D139" s="1" t="s">
        <v>475</v>
      </c>
      <c r="E139" s="2" t="s">
        <v>476</v>
      </c>
      <c r="F139" s="2" t="s">
        <v>477</v>
      </c>
      <c r="G139" s="2">
        <v>1</v>
      </c>
      <c r="H139" s="2">
        <v>0</v>
      </c>
      <c r="I139" s="1">
        <v>0</v>
      </c>
      <c r="J139" s="3" t="s">
        <v>18</v>
      </c>
      <c r="K139" s="2" t="str">
        <f>J139*4339.72</f>
        <v>0</v>
      </c>
      <c r="L139" s="5"/>
    </row>
    <row r="140" spans="1:12" customHeight="1" ht="105" outlineLevel="5">
      <c r="A140" s="1"/>
      <c r="B140" s="1">
        <v>827206</v>
      </c>
      <c r="C140" s="1" t="s">
        <v>478</v>
      </c>
      <c r="D140" s="1" t="s">
        <v>479</v>
      </c>
      <c r="E140" s="2" t="s">
        <v>480</v>
      </c>
      <c r="F140" s="2" t="s">
        <v>481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J140*2174.19</f>
        <v>0</v>
      </c>
      <c r="L140" s="5"/>
    </row>
    <row r="141" spans="1:12" customHeight="1" ht="105" outlineLevel="5">
      <c r="A141" s="1"/>
      <c r="B141" s="1">
        <v>827207</v>
      </c>
      <c r="C141" s="1" t="s">
        <v>482</v>
      </c>
      <c r="D141" s="1" t="s">
        <v>483</v>
      </c>
      <c r="E141" s="2" t="s">
        <v>484</v>
      </c>
      <c r="F141" s="2" t="s">
        <v>485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J141*3826.83</f>
        <v>0</v>
      </c>
      <c r="L141" s="5"/>
    </row>
    <row r="142" spans="1:12" customHeight="1" ht="105" outlineLevel="5">
      <c r="A142" s="1"/>
      <c r="B142" s="1">
        <v>827209</v>
      </c>
      <c r="C142" s="1" t="s">
        <v>486</v>
      </c>
      <c r="D142" s="1" t="s">
        <v>487</v>
      </c>
      <c r="E142" s="2" t="s">
        <v>488</v>
      </c>
      <c r="F142" s="2" t="s">
        <v>489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J142*4002.75</f>
        <v>0</v>
      </c>
      <c r="L142" s="5"/>
    </row>
    <row r="143" spans="1:12" customHeight="1" ht="105" outlineLevel="5">
      <c r="A143" s="1"/>
      <c r="B143" s="1">
        <v>827336</v>
      </c>
      <c r="C143" s="1" t="s">
        <v>490</v>
      </c>
      <c r="D143" s="1" t="s">
        <v>491</v>
      </c>
      <c r="E143" s="2" t="s">
        <v>492</v>
      </c>
      <c r="F143" s="2" t="s">
        <v>493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J143*4103.10</f>
        <v>0</v>
      </c>
      <c r="L143" s="5"/>
    </row>
    <row r="144" spans="1:12" customHeight="1" ht="105" outlineLevel="5">
      <c r="A144" s="1"/>
      <c r="B144" s="1">
        <v>827344</v>
      </c>
      <c r="C144" s="1" t="s">
        <v>494</v>
      </c>
      <c r="D144" s="1" t="s">
        <v>495</v>
      </c>
      <c r="E144" s="2" t="s">
        <v>496</v>
      </c>
      <c r="F144" s="2" t="s">
        <v>497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J144*3891.25</f>
        <v>0</v>
      </c>
      <c r="L144" s="5"/>
    </row>
    <row r="145" spans="1:12" customHeight="1" ht="105" outlineLevel="5">
      <c r="A145" s="1"/>
      <c r="B145" s="1">
        <v>827345</v>
      </c>
      <c r="C145" s="1" t="s">
        <v>498</v>
      </c>
      <c r="D145" s="1" t="s">
        <v>499</v>
      </c>
      <c r="E145" s="2" t="s">
        <v>500</v>
      </c>
      <c r="F145" s="2" t="s">
        <v>501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J145*4629.83</f>
        <v>0</v>
      </c>
      <c r="L145" s="5"/>
    </row>
    <row r="146" spans="1:12" customHeight="1" ht="105" outlineLevel="5">
      <c r="A146" s="1"/>
      <c r="B146" s="1">
        <v>883318</v>
      </c>
      <c r="C146" s="1" t="s">
        <v>502</v>
      </c>
      <c r="D146" s="1" t="s">
        <v>503</v>
      </c>
      <c r="E146" s="2" t="s">
        <v>504</v>
      </c>
      <c r="F146" s="2" t="s">
        <v>505</v>
      </c>
      <c r="G146" s="2">
        <v>4</v>
      </c>
      <c r="H146" s="2">
        <v>0</v>
      </c>
      <c r="I146" s="1">
        <v>0</v>
      </c>
      <c r="J146" s="3" t="s">
        <v>18</v>
      </c>
      <c r="K146" s="2" t="str">
        <f>J146*3261.91</f>
        <v>0</v>
      </c>
      <c r="L146" s="5"/>
    </row>
    <row r="147" spans="1:12" customHeight="1" ht="105" outlineLevel="5">
      <c r="A147" s="1"/>
      <c r="B147" s="1">
        <v>883320</v>
      </c>
      <c r="C147" s="1" t="s">
        <v>506</v>
      </c>
      <c r="D147" s="1" t="s">
        <v>507</v>
      </c>
      <c r="E147" s="2" t="s">
        <v>508</v>
      </c>
      <c r="F147" s="2" t="s">
        <v>509</v>
      </c>
      <c r="G147" s="2">
        <v>8</v>
      </c>
      <c r="H147" s="2">
        <v>0</v>
      </c>
      <c r="I147" s="1">
        <v>0</v>
      </c>
      <c r="J147" s="3" t="s">
        <v>18</v>
      </c>
      <c r="K147" s="2" t="str">
        <f>J147*4939.34</f>
        <v>0</v>
      </c>
      <c r="L147" s="5"/>
    </row>
    <row r="148" spans="1:12" customHeight="1" ht="105" outlineLevel="5">
      <c r="A148" s="1"/>
      <c r="B148" s="1">
        <v>885198</v>
      </c>
      <c r="C148" s="1" t="s">
        <v>510</v>
      </c>
      <c r="D148" s="1" t="s">
        <v>511</v>
      </c>
      <c r="E148" s="2" t="s">
        <v>512</v>
      </c>
      <c r="F148" s="2" t="s">
        <v>509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J148*4939.34</f>
        <v>0</v>
      </c>
      <c r="L148" s="5"/>
    </row>
    <row r="149" spans="1:12" customHeight="1" ht="105" outlineLevel="5">
      <c r="A149" s="1"/>
      <c r="B149" s="1">
        <v>959804</v>
      </c>
      <c r="C149" s="1" t="s">
        <v>513</v>
      </c>
      <c r="D149" s="1" t="s">
        <v>514</v>
      </c>
      <c r="E149" s="2" t="s">
        <v>515</v>
      </c>
      <c r="F149" s="2" t="s">
        <v>516</v>
      </c>
      <c r="G149" s="2">
        <v>10</v>
      </c>
      <c r="H149" s="2">
        <v>0</v>
      </c>
      <c r="I149" s="1">
        <v>0</v>
      </c>
      <c r="J149" s="3" t="s">
        <v>18</v>
      </c>
      <c r="K149" s="2" t="str">
        <f>J149*3364.96</f>
        <v>0</v>
      </c>
      <c r="L149" s="5"/>
    </row>
    <row r="150" spans="1:12" customHeight="1" ht="105" outlineLevel="5">
      <c r="A150" s="1"/>
      <c r="B150" s="1">
        <v>959805</v>
      </c>
      <c r="C150" s="1" t="s">
        <v>517</v>
      </c>
      <c r="D150" s="1" t="s">
        <v>518</v>
      </c>
      <c r="E150" s="2" t="s">
        <v>519</v>
      </c>
      <c r="F150" s="2" t="s">
        <v>520</v>
      </c>
      <c r="G150" s="2">
        <v>10</v>
      </c>
      <c r="H150" s="2">
        <v>0</v>
      </c>
      <c r="I150" s="1">
        <v>0</v>
      </c>
      <c r="J150" s="3" t="s">
        <v>18</v>
      </c>
      <c r="K150" s="2" t="str">
        <f>J150*5058.59</f>
        <v>0</v>
      </c>
      <c r="L150" s="5"/>
    </row>
    <row r="151" spans="1:12" customHeight="1" ht="105" outlineLevel="5">
      <c r="A151" s="1"/>
      <c r="B151" s="1">
        <v>959806</v>
      </c>
      <c r="C151" s="1" t="s">
        <v>521</v>
      </c>
      <c r="D151" s="1" t="s">
        <v>522</v>
      </c>
      <c r="E151" s="2" t="s">
        <v>523</v>
      </c>
      <c r="F151" s="2" t="s">
        <v>524</v>
      </c>
      <c r="G151" s="2">
        <v>6</v>
      </c>
      <c r="H151" s="2">
        <v>0</v>
      </c>
      <c r="I151" s="1">
        <v>0</v>
      </c>
      <c r="J151" s="3" t="s">
        <v>18</v>
      </c>
      <c r="K151" s="2" t="str">
        <f>J151*5665.68</f>
        <v>0</v>
      </c>
      <c r="L151" s="5"/>
    </row>
    <row r="152" spans="1:12" customHeight="1" ht="105" outlineLevel="5">
      <c r="A152" s="1"/>
      <c r="B152" s="1">
        <v>959807</v>
      </c>
      <c r="C152" s="1" t="s">
        <v>525</v>
      </c>
      <c r="D152" s="1" t="s">
        <v>526</v>
      </c>
      <c r="E152" s="2" t="s">
        <v>527</v>
      </c>
      <c r="F152" s="2" t="s">
        <v>528</v>
      </c>
      <c r="G152" s="2" t="s">
        <v>382</v>
      </c>
      <c r="H152" s="2">
        <v>0</v>
      </c>
      <c r="I152" s="1">
        <v>0</v>
      </c>
      <c r="J152" s="3" t="s">
        <v>18</v>
      </c>
      <c r="K152" s="2" t="str">
        <f>J152*5856.46</f>
        <v>0</v>
      </c>
      <c r="L152" s="5"/>
    </row>
    <row r="153" spans="1:12" outlineLevel="3">
      <c r="A153" s="9" t="s">
        <v>529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5"/>
    </row>
    <row r="154" spans="1:12" customHeight="1" ht="105" outlineLevel="5">
      <c r="A154" s="1"/>
      <c r="B154" s="1">
        <v>827270</v>
      </c>
      <c r="C154" s="1" t="s">
        <v>530</v>
      </c>
      <c r="D154" s="1" t="s">
        <v>531</v>
      </c>
      <c r="E154" s="2" t="s">
        <v>532</v>
      </c>
      <c r="F154" s="2" t="s">
        <v>533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J154*2088.71</f>
        <v>0</v>
      </c>
      <c r="L154" s="5"/>
    </row>
    <row r="155" spans="1:12" customHeight="1" ht="105" outlineLevel="5">
      <c r="A155" s="1"/>
      <c r="B155" s="1">
        <v>827271</v>
      </c>
      <c r="C155" s="1" t="s">
        <v>534</v>
      </c>
      <c r="D155" s="1" t="s">
        <v>535</v>
      </c>
      <c r="E155" s="2" t="s">
        <v>536</v>
      </c>
      <c r="F155" s="2" t="s">
        <v>537</v>
      </c>
      <c r="G155" s="2">
        <v>2</v>
      </c>
      <c r="H155" s="2">
        <v>0</v>
      </c>
      <c r="I155" s="1">
        <v>0</v>
      </c>
      <c r="J155" s="3" t="s">
        <v>18</v>
      </c>
      <c r="K155" s="2" t="str">
        <f>J155*1615.47</f>
        <v>0</v>
      </c>
      <c r="L155" s="5"/>
    </row>
    <row r="156" spans="1:12" customHeight="1" ht="105" outlineLevel="5">
      <c r="A156" s="1"/>
      <c r="B156" s="1">
        <v>827274</v>
      </c>
      <c r="C156" s="1" t="s">
        <v>538</v>
      </c>
      <c r="D156" s="1" t="s">
        <v>539</v>
      </c>
      <c r="E156" s="2" t="s">
        <v>540</v>
      </c>
      <c r="F156" s="2" t="s">
        <v>541</v>
      </c>
      <c r="G156" s="2">
        <v>10</v>
      </c>
      <c r="H156" s="2">
        <v>0</v>
      </c>
      <c r="I156" s="1">
        <v>0</v>
      </c>
      <c r="J156" s="3" t="s">
        <v>18</v>
      </c>
      <c r="K156" s="2" t="str">
        <f>J156*4255.48</f>
        <v>0</v>
      </c>
      <c r="L156" s="5"/>
    </row>
    <row r="157" spans="1:12" customHeight="1" ht="105" outlineLevel="5">
      <c r="A157" s="1"/>
      <c r="B157" s="1">
        <v>882095</v>
      </c>
      <c r="C157" s="1" t="s">
        <v>542</v>
      </c>
      <c r="D157" s="1" t="s">
        <v>543</v>
      </c>
      <c r="E157" s="2" t="s">
        <v>544</v>
      </c>
      <c r="F157" s="2" t="s">
        <v>545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J157*2592.93</f>
        <v>0</v>
      </c>
      <c r="L157" s="5"/>
    </row>
    <row r="158" spans="1:12" customHeight="1" ht="105" outlineLevel="5">
      <c r="A158" s="1"/>
      <c r="B158" s="1">
        <v>834698</v>
      </c>
      <c r="C158" s="1" t="s">
        <v>546</v>
      </c>
      <c r="D158" s="1" t="s">
        <v>547</v>
      </c>
      <c r="E158" s="2" t="s">
        <v>548</v>
      </c>
      <c r="F158" s="2" t="s">
        <v>549</v>
      </c>
      <c r="G158" s="2">
        <v>2</v>
      </c>
      <c r="H158" s="2">
        <v>0</v>
      </c>
      <c r="I158" s="1">
        <v>0</v>
      </c>
      <c r="J158" s="3" t="s">
        <v>18</v>
      </c>
      <c r="K158" s="2" t="str">
        <f>J158*4727.49</f>
        <v>0</v>
      </c>
      <c r="L158" s="5"/>
    </row>
    <row r="159" spans="1:12" outlineLevel="3">
      <c r="A159" s="9" t="s">
        <v>550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5"/>
    </row>
    <row r="160" spans="1:12" customHeight="1" ht="105" outlineLevel="5">
      <c r="A160" s="1"/>
      <c r="B160" s="1">
        <v>827083</v>
      </c>
      <c r="C160" s="1" t="s">
        <v>551</v>
      </c>
      <c r="D160" s="1" t="s">
        <v>552</v>
      </c>
      <c r="E160" s="2" t="s">
        <v>553</v>
      </c>
      <c r="F160" s="2" t="s">
        <v>554</v>
      </c>
      <c r="G160" s="2" t="s">
        <v>382</v>
      </c>
      <c r="H160" s="2">
        <v>0</v>
      </c>
      <c r="I160" s="1">
        <v>0</v>
      </c>
      <c r="J160" s="3" t="s">
        <v>18</v>
      </c>
      <c r="K160" s="2" t="str">
        <f>J160*2103.86</f>
        <v>0</v>
      </c>
      <c r="L160" s="5"/>
    </row>
    <row r="161" spans="1:12" customHeight="1" ht="105" outlineLevel="5">
      <c r="A161" s="1"/>
      <c r="B161" s="1">
        <v>827084</v>
      </c>
      <c r="C161" s="1" t="s">
        <v>555</v>
      </c>
      <c r="D161" s="1" t="s">
        <v>556</v>
      </c>
      <c r="E161" s="2" t="s">
        <v>557</v>
      </c>
      <c r="F161" s="2" t="s">
        <v>554</v>
      </c>
      <c r="G161" s="2">
        <v>4</v>
      </c>
      <c r="H161" s="2">
        <v>0</v>
      </c>
      <c r="I161" s="1">
        <v>0</v>
      </c>
      <c r="J161" s="3" t="s">
        <v>18</v>
      </c>
      <c r="K161" s="2" t="str">
        <f>J161*2103.86</f>
        <v>0</v>
      </c>
      <c r="L161" s="5"/>
    </row>
    <row r="162" spans="1:12" customHeight="1" ht="105" outlineLevel="5">
      <c r="A162" s="1"/>
      <c r="B162" s="1">
        <v>827085</v>
      </c>
      <c r="C162" s="1" t="s">
        <v>558</v>
      </c>
      <c r="D162" s="1" t="s">
        <v>559</v>
      </c>
      <c r="E162" s="2" t="s">
        <v>560</v>
      </c>
      <c r="F162" s="2" t="s">
        <v>398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J162*0.00</f>
        <v>0</v>
      </c>
      <c r="L162" s="5"/>
    </row>
    <row r="163" spans="1:12" customHeight="1" ht="105" outlineLevel="5">
      <c r="A163" s="1"/>
      <c r="B163" s="1">
        <v>827086</v>
      </c>
      <c r="C163" s="1" t="s">
        <v>561</v>
      </c>
      <c r="D163" s="1" t="s">
        <v>562</v>
      </c>
      <c r="E163" s="2" t="s">
        <v>563</v>
      </c>
      <c r="F163" s="2" t="s">
        <v>398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J163*0.00</f>
        <v>0</v>
      </c>
      <c r="L163" s="5"/>
    </row>
    <row r="164" spans="1:12" customHeight="1" ht="105" outlineLevel="5">
      <c r="A164" s="1"/>
      <c r="B164" s="1">
        <v>827087</v>
      </c>
      <c r="C164" s="1" t="s">
        <v>564</v>
      </c>
      <c r="D164" s="1" t="s">
        <v>565</v>
      </c>
      <c r="E164" s="2" t="s">
        <v>566</v>
      </c>
      <c r="F164" s="2" t="s">
        <v>567</v>
      </c>
      <c r="G164" s="2" t="s">
        <v>382</v>
      </c>
      <c r="H164" s="2">
        <v>0</v>
      </c>
      <c r="I164" s="1">
        <v>0</v>
      </c>
      <c r="J164" s="3" t="s">
        <v>18</v>
      </c>
      <c r="K164" s="2" t="str">
        <f>J164*3259.44</f>
        <v>0</v>
      </c>
      <c r="L164" s="5"/>
    </row>
    <row r="165" spans="1:12" customHeight="1" ht="105" outlineLevel="5">
      <c r="A165" s="1"/>
      <c r="B165" s="1">
        <v>827088</v>
      </c>
      <c r="C165" s="1" t="s">
        <v>568</v>
      </c>
      <c r="D165" s="1" t="s">
        <v>569</v>
      </c>
      <c r="E165" s="2" t="s">
        <v>570</v>
      </c>
      <c r="F165" s="2" t="s">
        <v>398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J165*0.00</f>
        <v>0</v>
      </c>
      <c r="L165" s="5"/>
    </row>
    <row r="166" spans="1:12" customHeight="1" ht="105" outlineLevel="5">
      <c r="A166" s="1"/>
      <c r="B166" s="1">
        <v>827091</v>
      </c>
      <c r="C166" s="1" t="s">
        <v>571</v>
      </c>
      <c r="D166" s="1" t="s">
        <v>572</v>
      </c>
      <c r="E166" s="2" t="s">
        <v>573</v>
      </c>
      <c r="F166" s="2" t="s">
        <v>574</v>
      </c>
      <c r="G166" s="2">
        <v>10</v>
      </c>
      <c r="H166" s="2">
        <v>0</v>
      </c>
      <c r="I166" s="1">
        <v>0</v>
      </c>
      <c r="J166" s="3" t="s">
        <v>18</v>
      </c>
      <c r="K166" s="2" t="str">
        <f>J166*2222.77</f>
        <v>0</v>
      </c>
      <c r="L166" s="5"/>
    </row>
    <row r="167" spans="1:12" customHeight="1" ht="105" outlineLevel="5">
      <c r="A167" s="1"/>
      <c r="B167" s="1">
        <v>827092</v>
      </c>
      <c r="C167" s="1" t="s">
        <v>575</v>
      </c>
      <c r="D167" s="1" t="s">
        <v>576</v>
      </c>
      <c r="E167" s="2" t="s">
        <v>577</v>
      </c>
      <c r="F167" s="2" t="s">
        <v>398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J167*0.00</f>
        <v>0</v>
      </c>
      <c r="L167" s="5"/>
    </row>
    <row r="168" spans="1:12" customHeight="1" ht="105" outlineLevel="5">
      <c r="A168" s="1"/>
      <c r="B168" s="1">
        <v>827093</v>
      </c>
      <c r="C168" s="1" t="s">
        <v>578</v>
      </c>
      <c r="D168" s="1" t="s">
        <v>579</v>
      </c>
      <c r="E168" s="2" t="s">
        <v>580</v>
      </c>
      <c r="F168" s="2" t="s">
        <v>581</v>
      </c>
      <c r="G168" s="2" t="s">
        <v>382</v>
      </c>
      <c r="H168" s="2">
        <v>0</v>
      </c>
      <c r="I168" s="1">
        <v>0</v>
      </c>
      <c r="J168" s="3" t="s">
        <v>18</v>
      </c>
      <c r="K168" s="2" t="str">
        <f>J168*3042.64</f>
        <v>0</v>
      </c>
      <c r="L168" s="5"/>
    </row>
    <row r="169" spans="1:12" customHeight="1" ht="105" outlineLevel="5">
      <c r="A169" s="1"/>
      <c r="B169" s="1">
        <v>827094</v>
      </c>
      <c r="C169" s="1" t="s">
        <v>582</v>
      </c>
      <c r="D169" s="1" t="s">
        <v>583</v>
      </c>
      <c r="E169" s="2" t="s">
        <v>584</v>
      </c>
      <c r="F169" s="2" t="s">
        <v>585</v>
      </c>
      <c r="G169" s="2">
        <v>0</v>
      </c>
      <c r="H169" s="2">
        <v>0</v>
      </c>
      <c r="I169" s="1">
        <v>0</v>
      </c>
      <c r="J169" s="3" t="s">
        <v>18</v>
      </c>
      <c r="K169" s="2" t="str">
        <f>J169*3717.19</f>
        <v>0</v>
      </c>
      <c r="L169" s="5"/>
    </row>
    <row r="170" spans="1:12" customHeight="1" ht="105" outlineLevel="5">
      <c r="A170" s="1"/>
      <c r="B170" s="1">
        <v>827095</v>
      </c>
      <c r="C170" s="1" t="s">
        <v>586</v>
      </c>
      <c r="D170" s="1" t="s">
        <v>587</v>
      </c>
      <c r="E170" s="2" t="s">
        <v>588</v>
      </c>
      <c r="F170" s="2" t="s">
        <v>589</v>
      </c>
      <c r="G170" s="2" t="s">
        <v>369</v>
      </c>
      <c r="H170" s="2">
        <v>0</v>
      </c>
      <c r="I170" s="1">
        <v>0</v>
      </c>
      <c r="J170" s="3" t="s">
        <v>18</v>
      </c>
      <c r="K170" s="2" t="str">
        <f>J170*3038.28</f>
        <v>0</v>
      </c>
      <c r="L170" s="5"/>
    </row>
    <row r="171" spans="1:12" customHeight="1" ht="105" outlineLevel="5">
      <c r="A171" s="1"/>
      <c r="B171" s="1">
        <v>827096</v>
      </c>
      <c r="C171" s="1" t="s">
        <v>590</v>
      </c>
      <c r="D171" s="1" t="s">
        <v>591</v>
      </c>
      <c r="E171" s="2" t="s">
        <v>592</v>
      </c>
      <c r="F171" s="2" t="s">
        <v>589</v>
      </c>
      <c r="G171" s="2" t="s">
        <v>382</v>
      </c>
      <c r="H171" s="2">
        <v>0</v>
      </c>
      <c r="I171" s="1">
        <v>0</v>
      </c>
      <c r="J171" s="3" t="s">
        <v>18</v>
      </c>
      <c r="K171" s="2" t="str">
        <f>J171*3038.28</f>
        <v>0</v>
      </c>
      <c r="L171" s="5"/>
    </row>
    <row r="172" spans="1:12" customHeight="1" ht="105" outlineLevel="5">
      <c r="A172" s="1"/>
      <c r="B172" s="1">
        <v>827097</v>
      </c>
      <c r="C172" s="1" t="s">
        <v>593</v>
      </c>
      <c r="D172" s="1" t="s">
        <v>594</v>
      </c>
      <c r="E172" s="2" t="s">
        <v>595</v>
      </c>
      <c r="F172" s="2" t="s">
        <v>596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J172*3355.27</f>
        <v>0</v>
      </c>
      <c r="L172" s="5"/>
    </row>
    <row r="173" spans="1:12" customHeight="1" ht="105" outlineLevel="5">
      <c r="A173" s="1"/>
      <c r="B173" s="1">
        <v>827098</v>
      </c>
      <c r="C173" s="1" t="s">
        <v>597</v>
      </c>
      <c r="D173" s="1" t="s">
        <v>598</v>
      </c>
      <c r="E173" s="2" t="s">
        <v>599</v>
      </c>
      <c r="F173" s="2" t="s">
        <v>596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J173*3355.27</f>
        <v>0</v>
      </c>
      <c r="L173" s="5"/>
    </row>
    <row r="174" spans="1:12" customHeight="1" ht="105" outlineLevel="5">
      <c r="A174" s="1"/>
      <c r="B174" s="1">
        <v>827100</v>
      </c>
      <c r="C174" s="1" t="s">
        <v>600</v>
      </c>
      <c r="D174" s="1" t="s">
        <v>601</v>
      </c>
      <c r="E174" s="2" t="s">
        <v>602</v>
      </c>
      <c r="F174" s="2" t="s">
        <v>603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J174*5886.44</f>
        <v>0</v>
      </c>
      <c r="L174" s="5"/>
    </row>
    <row r="175" spans="1:12" customHeight="1" ht="105" outlineLevel="5">
      <c r="A175" s="1"/>
      <c r="B175" s="1">
        <v>827103</v>
      </c>
      <c r="C175" s="1" t="s">
        <v>604</v>
      </c>
      <c r="D175" s="1" t="s">
        <v>605</v>
      </c>
      <c r="E175" s="2" t="s">
        <v>606</v>
      </c>
      <c r="F175" s="2" t="s">
        <v>398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J175*0.00</f>
        <v>0</v>
      </c>
      <c r="L175" s="5"/>
    </row>
    <row r="176" spans="1:12" customHeight="1" ht="105" outlineLevel="5">
      <c r="A176" s="1"/>
      <c r="B176" s="1">
        <v>827104</v>
      </c>
      <c r="C176" s="1" t="s">
        <v>607</v>
      </c>
      <c r="D176" s="1" t="s">
        <v>608</v>
      </c>
      <c r="E176" s="2" t="s">
        <v>609</v>
      </c>
      <c r="F176" s="2" t="s">
        <v>610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J176*6203.54</f>
        <v>0</v>
      </c>
      <c r="L176" s="5"/>
    </row>
    <row r="177" spans="1:12" customHeight="1" ht="105" outlineLevel="5">
      <c r="A177" s="1"/>
      <c r="B177" s="1">
        <v>827105</v>
      </c>
      <c r="C177" s="1" t="s">
        <v>611</v>
      </c>
      <c r="D177" s="1" t="s">
        <v>612</v>
      </c>
      <c r="E177" s="2" t="s">
        <v>613</v>
      </c>
      <c r="F177" s="2" t="s">
        <v>610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J177*6203.54</f>
        <v>0</v>
      </c>
      <c r="L177" s="5"/>
    </row>
    <row r="178" spans="1:12" customHeight="1" ht="105" outlineLevel="5">
      <c r="A178" s="1"/>
      <c r="B178" s="1">
        <v>827106</v>
      </c>
      <c r="C178" s="1" t="s">
        <v>614</v>
      </c>
      <c r="D178" s="1" t="s">
        <v>615</v>
      </c>
      <c r="E178" s="2" t="s">
        <v>616</v>
      </c>
      <c r="F178" s="2" t="s">
        <v>617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J178*2315.09</f>
        <v>0</v>
      </c>
      <c r="L178" s="5"/>
    </row>
    <row r="179" spans="1:12" customHeight="1" ht="105" outlineLevel="5">
      <c r="A179" s="1"/>
      <c r="B179" s="1">
        <v>827107</v>
      </c>
      <c r="C179" s="1" t="s">
        <v>618</v>
      </c>
      <c r="D179" s="1" t="s">
        <v>619</v>
      </c>
      <c r="E179" s="2" t="s">
        <v>620</v>
      </c>
      <c r="F179" s="2" t="s">
        <v>398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J179*0.00</f>
        <v>0</v>
      </c>
      <c r="L179" s="5"/>
    </row>
    <row r="180" spans="1:12" customHeight="1" ht="105" outlineLevel="5">
      <c r="A180" s="1"/>
      <c r="B180" s="1">
        <v>827109</v>
      </c>
      <c r="C180" s="1" t="s">
        <v>621</v>
      </c>
      <c r="D180" s="1" t="s">
        <v>622</v>
      </c>
      <c r="E180" s="2" t="s">
        <v>623</v>
      </c>
      <c r="F180" s="2" t="s">
        <v>624</v>
      </c>
      <c r="G180" s="2">
        <v>4</v>
      </c>
      <c r="H180" s="2">
        <v>0</v>
      </c>
      <c r="I180" s="1">
        <v>0</v>
      </c>
      <c r="J180" s="3" t="s">
        <v>18</v>
      </c>
      <c r="K180" s="2" t="str">
        <f>J180*3085.52</f>
        <v>0</v>
      </c>
      <c r="L180" s="5"/>
    </row>
    <row r="181" spans="1:12" customHeight="1" ht="105" outlineLevel="5">
      <c r="A181" s="1"/>
      <c r="B181" s="1">
        <v>827110</v>
      </c>
      <c r="C181" s="1" t="s">
        <v>625</v>
      </c>
      <c r="D181" s="1" t="s">
        <v>626</v>
      </c>
      <c r="E181" s="2" t="s">
        <v>627</v>
      </c>
      <c r="F181" s="2" t="s">
        <v>617</v>
      </c>
      <c r="G181" s="2">
        <v>4</v>
      </c>
      <c r="H181" s="2">
        <v>0</v>
      </c>
      <c r="I181" s="1">
        <v>0</v>
      </c>
      <c r="J181" s="3" t="s">
        <v>18</v>
      </c>
      <c r="K181" s="2" t="str">
        <f>J181*2315.09</f>
        <v>0</v>
      </c>
      <c r="L181" s="5"/>
    </row>
    <row r="182" spans="1:12" customHeight="1" ht="105" outlineLevel="5">
      <c r="A182" s="1"/>
      <c r="B182" s="1">
        <v>827111</v>
      </c>
      <c r="C182" s="1" t="s">
        <v>628</v>
      </c>
      <c r="D182" s="1" t="s">
        <v>629</v>
      </c>
      <c r="E182" s="2" t="s">
        <v>630</v>
      </c>
      <c r="F182" s="2" t="s">
        <v>398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J182*0.00</f>
        <v>0</v>
      </c>
      <c r="L182" s="5"/>
    </row>
    <row r="183" spans="1:12" customHeight="1" ht="105" outlineLevel="5">
      <c r="A183" s="1"/>
      <c r="B183" s="1">
        <v>827113</v>
      </c>
      <c r="C183" s="1" t="s">
        <v>631</v>
      </c>
      <c r="D183" s="1" t="s">
        <v>632</v>
      </c>
      <c r="E183" s="2" t="s">
        <v>633</v>
      </c>
      <c r="F183" s="2" t="s">
        <v>624</v>
      </c>
      <c r="G183" s="2">
        <v>4</v>
      </c>
      <c r="H183" s="2">
        <v>0</v>
      </c>
      <c r="I183" s="1">
        <v>0</v>
      </c>
      <c r="J183" s="3" t="s">
        <v>18</v>
      </c>
      <c r="K183" s="2" t="str">
        <f>J183*3085.52</f>
        <v>0</v>
      </c>
      <c r="L183" s="5"/>
    </row>
    <row r="184" spans="1:12" customHeight="1" ht="105" outlineLevel="5">
      <c r="A184" s="1"/>
      <c r="B184" s="1">
        <v>827114</v>
      </c>
      <c r="C184" s="1" t="s">
        <v>634</v>
      </c>
      <c r="D184" s="1" t="s">
        <v>635</v>
      </c>
      <c r="E184" s="2" t="s">
        <v>636</v>
      </c>
      <c r="F184" s="2" t="s">
        <v>637</v>
      </c>
      <c r="G184" s="2" t="s">
        <v>382</v>
      </c>
      <c r="H184" s="2">
        <v>0</v>
      </c>
      <c r="I184" s="1">
        <v>0</v>
      </c>
      <c r="J184" s="3" t="s">
        <v>18</v>
      </c>
      <c r="K184" s="2" t="str">
        <f>J184*1987.13</f>
        <v>0</v>
      </c>
      <c r="L184" s="5"/>
    </row>
    <row r="185" spans="1:12" customHeight="1" ht="105" outlineLevel="5">
      <c r="A185" s="1"/>
      <c r="B185" s="1">
        <v>827126</v>
      </c>
      <c r="C185" s="1" t="s">
        <v>638</v>
      </c>
      <c r="D185" s="1" t="s">
        <v>639</v>
      </c>
      <c r="E185" s="2" t="s">
        <v>640</v>
      </c>
      <c r="F185" s="2" t="s">
        <v>641</v>
      </c>
      <c r="G185" s="2" t="s">
        <v>382</v>
      </c>
      <c r="H185" s="2">
        <v>0</v>
      </c>
      <c r="I185" s="1">
        <v>0</v>
      </c>
      <c r="J185" s="3" t="s">
        <v>18</v>
      </c>
      <c r="K185" s="2" t="str">
        <f>J185*2689.56</f>
        <v>0</v>
      </c>
      <c r="L185" s="5"/>
    </row>
    <row r="186" spans="1:12" customHeight="1" ht="105" outlineLevel="5">
      <c r="A186" s="1"/>
      <c r="B186" s="1">
        <v>827128</v>
      </c>
      <c r="C186" s="1" t="s">
        <v>642</v>
      </c>
      <c r="D186" s="1" t="s">
        <v>643</v>
      </c>
      <c r="E186" s="2" t="s">
        <v>644</v>
      </c>
      <c r="F186" s="2" t="s">
        <v>645</v>
      </c>
      <c r="G186" s="2">
        <v>5</v>
      </c>
      <c r="H186" s="2">
        <v>0</v>
      </c>
      <c r="I186" s="1">
        <v>0</v>
      </c>
      <c r="J186" s="3" t="s">
        <v>18</v>
      </c>
      <c r="K186" s="2" t="str">
        <f>J186*5047.11</f>
        <v>0</v>
      </c>
      <c r="L186" s="5"/>
    </row>
    <row r="187" spans="1:12" customHeight="1" ht="105" outlineLevel="5">
      <c r="A187" s="1"/>
      <c r="B187" s="1">
        <v>827130</v>
      </c>
      <c r="C187" s="1" t="s">
        <v>646</v>
      </c>
      <c r="D187" s="1" t="s">
        <v>647</v>
      </c>
      <c r="E187" s="2" t="s">
        <v>648</v>
      </c>
      <c r="F187" s="2" t="s">
        <v>649</v>
      </c>
      <c r="G187" s="2">
        <v>9</v>
      </c>
      <c r="H187" s="2">
        <v>0</v>
      </c>
      <c r="I187" s="1">
        <v>0</v>
      </c>
      <c r="J187" s="3" t="s">
        <v>18</v>
      </c>
      <c r="K187" s="2" t="str">
        <f>J187*3297.84</f>
        <v>0</v>
      </c>
      <c r="L187" s="5"/>
    </row>
    <row r="188" spans="1:12" customHeight="1" ht="105" outlineLevel="5">
      <c r="A188" s="1"/>
      <c r="B188" s="1">
        <v>827131</v>
      </c>
      <c r="C188" s="1" t="s">
        <v>650</v>
      </c>
      <c r="D188" s="1" t="s">
        <v>651</v>
      </c>
      <c r="E188" s="2" t="s">
        <v>652</v>
      </c>
      <c r="F188" s="2" t="s">
        <v>653</v>
      </c>
      <c r="G188" s="2">
        <v>4</v>
      </c>
      <c r="H188" s="2">
        <v>0</v>
      </c>
      <c r="I188" s="1">
        <v>0</v>
      </c>
      <c r="J188" s="3" t="s">
        <v>18</v>
      </c>
      <c r="K188" s="2" t="str">
        <f>J188*4487.15</f>
        <v>0</v>
      </c>
      <c r="L188" s="5"/>
    </row>
    <row r="189" spans="1:12" customHeight="1" ht="105" outlineLevel="5">
      <c r="A189" s="1"/>
      <c r="B189" s="1">
        <v>827132</v>
      </c>
      <c r="C189" s="1" t="s">
        <v>654</v>
      </c>
      <c r="D189" s="1" t="s">
        <v>655</v>
      </c>
      <c r="E189" s="2" t="s">
        <v>656</v>
      </c>
      <c r="F189" s="2" t="s">
        <v>653</v>
      </c>
      <c r="G189" s="2">
        <v>2</v>
      </c>
      <c r="H189" s="2">
        <v>0</v>
      </c>
      <c r="I189" s="1">
        <v>0</v>
      </c>
      <c r="J189" s="3" t="s">
        <v>18</v>
      </c>
      <c r="K189" s="2" t="str">
        <f>J189*4487.15</f>
        <v>0</v>
      </c>
      <c r="L189" s="5"/>
    </row>
    <row r="190" spans="1:12" customHeight="1" ht="105" outlineLevel="5">
      <c r="A190" s="1"/>
      <c r="B190" s="1">
        <v>827136</v>
      </c>
      <c r="C190" s="1" t="s">
        <v>657</v>
      </c>
      <c r="D190" s="1" t="s">
        <v>658</v>
      </c>
      <c r="E190" s="2" t="s">
        <v>659</v>
      </c>
      <c r="F190" s="2" t="s">
        <v>398</v>
      </c>
      <c r="G190" s="2">
        <v>0</v>
      </c>
      <c r="H190" s="2">
        <v>0</v>
      </c>
      <c r="I190" s="1">
        <v>0</v>
      </c>
      <c r="J190" s="3" t="s">
        <v>18</v>
      </c>
      <c r="K190" s="2" t="str">
        <f>J190*0.00</f>
        <v>0</v>
      </c>
      <c r="L190" s="5"/>
    </row>
    <row r="191" spans="1:12" customHeight="1" ht="105" outlineLevel="5">
      <c r="A191" s="1"/>
      <c r="B191" s="1">
        <v>827141</v>
      </c>
      <c r="C191" s="1" t="s">
        <v>660</v>
      </c>
      <c r="D191" s="1" t="s">
        <v>661</v>
      </c>
      <c r="E191" s="2" t="s">
        <v>662</v>
      </c>
      <c r="F191" s="2" t="s">
        <v>398</v>
      </c>
      <c r="G191" s="2">
        <v>0</v>
      </c>
      <c r="H191" s="2">
        <v>0</v>
      </c>
      <c r="I191" s="1">
        <v>0</v>
      </c>
      <c r="J191" s="3" t="s">
        <v>18</v>
      </c>
      <c r="K191" s="2" t="str">
        <f>J191*0.00</f>
        <v>0</v>
      </c>
      <c r="L191" s="5"/>
    </row>
    <row r="192" spans="1:12" customHeight="1" ht="105" outlineLevel="5">
      <c r="A192" s="1"/>
      <c r="B192" s="1">
        <v>827142</v>
      </c>
      <c r="C192" s="1" t="s">
        <v>663</v>
      </c>
      <c r="D192" s="1" t="s">
        <v>664</v>
      </c>
      <c r="E192" s="2" t="s">
        <v>665</v>
      </c>
      <c r="F192" s="2" t="s">
        <v>398</v>
      </c>
      <c r="G192" s="2">
        <v>0</v>
      </c>
      <c r="H192" s="2">
        <v>0</v>
      </c>
      <c r="I192" s="1">
        <v>0</v>
      </c>
      <c r="J192" s="3" t="s">
        <v>18</v>
      </c>
      <c r="K192" s="2" t="str">
        <f>J192*0.00</f>
        <v>0</v>
      </c>
      <c r="L192" s="5"/>
    </row>
    <row r="193" spans="1:12" customHeight="1" ht="105" outlineLevel="5">
      <c r="A193" s="1"/>
      <c r="B193" s="1">
        <v>827145</v>
      </c>
      <c r="C193" s="1" t="s">
        <v>666</v>
      </c>
      <c r="D193" s="1" t="s">
        <v>667</v>
      </c>
      <c r="E193" s="2" t="s">
        <v>668</v>
      </c>
      <c r="F193" s="2" t="s">
        <v>398</v>
      </c>
      <c r="G193" s="2">
        <v>0</v>
      </c>
      <c r="H193" s="2">
        <v>0</v>
      </c>
      <c r="I193" s="1">
        <v>0</v>
      </c>
      <c r="J193" s="3" t="s">
        <v>18</v>
      </c>
      <c r="K193" s="2" t="str">
        <f>J193*0.00</f>
        <v>0</v>
      </c>
      <c r="L193" s="5"/>
    </row>
    <row r="194" spans="1:12" customHeight="1" ht="105" outlineLevel="5">
      <c r="A194" s="1"/>
      <c r="B194" s="1">
        <v>827147</v>
      </c>
      <c r="C194" s="1" t="s">
        <v>669</v>
      </c>
      <c r="D194" s="1" t="s">
        <v>670</v>
      </c>
      <c r="E194" s="2" t="s">
        <v>671</v>
      </c>
      <c r="F194" s="2" t="s">
        <v>398</v>
      </c>
      <c r="G194" s="2">
        <v>0</v>
      </c>
      <c r="H194" s="2">
        <v>0</v>
      </c>
      <c r="I194" s="1">
        <v>0</v>
      </c>
      <c r="J194" s="3" t="s">
        <v>18</v>
      </c>
      <c r="K194" s="2" t="str">
        <f>J194*0.00</f>
        <v>0</v>
      </c>
      <c r="L194" s="5"/>
    </row>
    <row r="195" spans="1:12" customHeight="1" ht="105" outlineLevel="5">
      <c r="A195" s="1"/>
      <c r="B195" s="1">
        <v>827148</v>
      </c>
      <c r="C195" s="1" t="s">
        <v>672</v>
      </c>
      <c r="D195" s="1" t="s">
        <v>673</v>
      </c>
      <c r="E195" s="2" t="s">
        <v>674</v>
      </c>
      <c r="F195" s="2" t="s">
        <v>398</v>
      </c>
      <c r="G195" s="2">
        <v>0</v>
      </c>
      <c r="H195" s="2">
        <v>0</v>
      </c>
      <c r="I195" s="1">
        <v>0</v>
      </c>
      <c r="J195" s="3" t="s">
        <v>18</v>
      </c>
      <c r="K195" s="2" t="str">
        <f>J195*0.00</f>
        <v>0</v>
      </c>
      <c r="L195" s="5"/>
    </row>
    <row r="196" spans="1:12" customHeight="1" ht="105" outlineLevel="5">
      <c r="A196" s="1"/>
      <c r="B196" s="1">
        <v>827149</v>
      </c>
      <c r="C196" s="1" t="s">
        <v>675</v>
      </c>
      <c r="D196" s="1" t="s">
        <v>676</v>
      </c>
      <c r="E196" s="2" t="s">
        <v>677</v>
      </c>
      <c r="F196" s="2" t="s">
        <v>678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J196*2373.66</f>
        <v>0</v>
      </c>
      <c r="L196" s="5"/>
    </row>
    <row r="197" spans="1:12" customHeight="1" ht="105" outlineLevel="5">
      <c r="A197" s="1"/>
      <c r="B197" s="1">
        <v>827151</v>
      </c>
      <c r="C197" s="1" t="s">
        <v>679</v>
      </c>
      <c r="D197" s="1" t="s">
        <v>680</v>
      </c>
      <c r="E197" s="2" t="s">
        <v>681</v>
      </c>
      <c r="F197" s="2" t="s">
        <v>682</v>
      </c>
      <c r="G197" s="2">
        <v>8</v>
      </c>
      <c r="H197" s="2">
        <v>0</v>
      </c>
      <c r="I197" s="1">
        <v>0</v>
      </c>
      <c r="J197" s="3" t="s">
        <v>18</v>
      </c>
      <c r="K197" s="2" t="str">
        <f>J197*5917.83</f>
        <v>0</v>
      </c>
      <c r="L197" s="5"/>
    </row>
    <row r="198" spans="1:12" customHeight="1" ht="105" outlineLevel="5">
      <c r="A198" s="1"/>
      <c r="B198" s="1">
        <v>827154</v>
      </c>
      <c r="C198" s="1" t="s">
        <v>683</v>
      </c>
      <c r="D198" s="1" t="s">
        <v>684</v>
      </c>
      <c r="E198" s="2" t="s">
        <v>685</v>
      </c>
      <c r="F198" s="2" t="s">
        <v>686</v>
      </c>
      <c r="G198" s="2">
        <v>4</v>
      </c>
      <c r="H198" s="2">
        <v>0</v>
      </c>
      <c r="I198" s="1">
        <v>0</v>
      </c>
      <c r="J198" s="3" t="s">
        <v>18</v>
      </c>
      <c r="K198" s="2" t="str">
        <f>J198*4386.79</f>
        <v>0</v>
      </c>
      <c r="L198" s="5"/>
    </row>
    <row r="199" spans="1:12" customHeight="1" ht="105" outlineLevel="5">
      <c r="A199" s="1"/>
      <c r="B199" s="1">
        <v>827164</v>
      </c>
      <c r="C199" s="1" t="s">
        <v>687</v>
      </c>
      <c r="D199" s="1" t="s">
        <v>688</v>
      </c>
      <c r="E199" s="2" t="s">
        <v>689</v>
      </c>
      <c r="F199" s="2" t="s">
        <v>690</v>
      </c>
      <c r="G199" s="2">
        <v>8</v>
      </c>
      <c r="H199" s="2">
        <v>0</v>
      </c>
      <c r="I199" s="1">
        <v>0</v>
      </c>
      <c r="J199" s="3" t="s">
        <v>18</v>
      </c>
      <c r="K199" s="2" t="str">
        <f>J199*1917.75</f>
        <v>0</v>
      </c>
      <c r="L199" s="5"/>
    </row>
    <row r="200" spans="1:12" customHeight="1" ht="105" outlineLevel="5">
      <c r="A200" s="1"/>
      <c r="B200" s="1">
        <v>827166</v>
      </c>
      <c r="C200" s="1" t="s">
        <v>691</v>
      </c>
      <c r="D200" s="1" t="s">
        <v>692</v>
      </c>
      <c r="E200" s="2" t="s">
        <v>693</v>
      </c>
      <c r="F200" s="2" t="s">
        <v>694</v>
      </c>
      <c r="G200" s="2" t="s">
        <v>382</v>
      </c>
      <c r="H200" s="2">
        <v>0</v>
      </c>
      <c r="I200" s="1">
        <v>0</v>
      </c>
      <c r="J200" s="3" t="s">
        <v>18</v>
      </c>
      <c r="K200" s="2" t="str">
        <f>J200*3279.26</f>
        <v>0</v>
      </c>
      <c r="L200" s="5"/>
    </row>
    <row r="201" spans="1:12" customHeight="1" ht="105" outlineLevel="5">
      <c r="A201" s="1"/>
      <c r="B201" s="1">
        <v>827170</v>
      </c>
      <c r="C201" s="1" t="s">
        <v>695</v>
      </c>
      <c r="D201" s="1" t="s">
        <v>696</v>
      </c>
      <c r="E201" s="2" t="s">
        <v>697</v>
      </c>
      <c r="F201" s="2" t="s">
        <v>698</v>
      </c>
      <c r="G201" s="2" t="s">
        <v>369</v>
      </c>
      <c r="H201" s="2">
        <v>0</v>
      </c>
      <c r="I201" s="1">
        <v>0</v>
      </c>
      <c r="J201" s="3" t="s">
        <v>18</v>
      </c>
      <c r="K201" s="2" t="str">
        <f>J201*3021.58</f>
        <v>0</v>
      </c>
      <c r="L201" s="5"/>
    </row>
    <row r="202" spans="1:12" customHeight="1" ht="105" outlineLevel="5">
      <c r="A202" s="1"/>
      <c r="B202" s="1">
        <v>827172</v>
      </c>
      <c r="C202" s="1" t="s">
        <v>699</v>
      </c>
      <c r="D202" s="1" t="s">
        <v>700</v>
      </c>
      <c r="E202" s="2" t="s">
        <v>701</v>
      </c>
      <c r="F202" s="2" t="s">
        <v>702</v>
      </c>
      <c r="G202" s="2">
        <v>0</v>
      </c>
      <c r="H202" s="2">
        <v>0</v>
      </c>
      <c r="I202" s="1">
        <v>0</v>
      </c>
      <c r="J202" s="3" t="s">
        <v>18</v>
      </c>
      <c r="K202" s="2" t="str">
        <f>J202*2175.43</f>
        <v>0</v>
      </c>
      <c r="L202" s="5"/>
    </row>
    <row r="203" spans="1:12" customHeight="1" ht="105" outlineLevel="5">
      <c r="A203" s="1"/>
      <c r="B203" s="1">
        <v>827174</v>
      </c>
      <c r="C203" s="1" t="s">
        <v>703</v>
      </c>
      <c r="D203" s="1" t="s">
        <v>704</v>
      </c>
      <c r="E203" s="2" t="s">
        <v>705</v>
      </c>
      <c r="F203" s="2" t="s">
        <v>706</v>
      </c>
      <c r="G203" s="2">
        <v>5</v>
      </c>
      <c r="H203" s="2">
        <v>0</v>
      </c>
      <c r="I203" s="1">
        <v>0</v>
      </c>
      <c r="J203" s="3" t="s">
        <v>18</v>
      </c>
      <c r="K203" s="2" t="str">
        <f>J203*4405.39</f>
        <v>0</v>
      </c>
      <c r="L203" s="5"/>
    </row>
    <row r="204" spans="1:12" customHeight="1" ht="105" outlineLevel="5">
      <c r="A204" s="1"/>
      <c r="B204" s="1">
        <v>827183</v>
      </c>
      <c r="C204" s="1" t="s">
        <v>707</v>
      </c>
      <c r="D204" s="1" t="s">
        <v>708</v>
      </c>
      <c r="E204" s="2" t="s">
        <v>709</v>
      </c>
      <c r="F204" s="2" t="s">
        <v>710</v>
      </c>
      <c r="G204" s="2">
        <v>0</v>
      </c>
      <c r="H204" s="2">
        <v>0</v>
      </c>
      <c r="I204" s="1">
        <v>0</v>
      </c>
      <c r="J204" s="3" t="s">
        <v>18</v>
      </c>
      <c r="K204" s="2" t="str">
        <f>J204*3535.56</f>
        <v>0</v>
      </c>
      <c r="L204" s="5"/>
    </row>
    <row r="205" spans="1:12" customHeight="1" ht="105" outlineLevel="5">
      <c r="A205" s="1"/>
      <c r="B205" s="1">
        <v>827184</v>
      </c>
      <c r="C205" s="1" t="s">
        <v>711</v>
      </c>
      <c r="D205" s="1" t="s">
        <v>712</v>
      </c>
      <c r="E205" s="2" t="s">
        <v>713</v>
      </c>
      <c r="F205" s="2" t="s">
        <v>714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J205*4276.54</f>
        <v>0</v>
      </c>
      <c r="L205" s="5"/>
    </row>
    <row r="206" spans="1:12" customHeight="1" ht="105" outlineLevel="5">
      <c r="A206" s="1"/>
      <c r="B206" s="1">
        <v>827185</v>
      </c>
      <c r="C206" s="1" t="s">
        <v>715</v>
      </c>
      <c r="D206" s="1" t="s">
        <v>716</v>
      </c>
      <c r="E206" s="2" t="s">
        <v>717</v>
      </c>
      <c r="F206" s="2" t="s">
        <v>718</v>
      </c>
      <c r="G206" s="2">
        <v>8</v>
      </c>
      <c r="H206" s="2">
        <v>0</v>
      </c>
      <c r="I206" s="1">
        <v>0</v>
      </c>
      <c r="J206" s="3" t="s">
        <v>18</v>
      </c>
      <c r="K206" s="2" t="str">
        <f>J206*2492.59</f>
        <v>0</v>
      </c>
      <c r="L206" s="5"/>
    </row>
    <row r="207" spans="1:12" customHeight="1" ht="105" outlineLevel="5">
      <c r="A207" s="1"/>
      <c r="B207" s="1">
        <v>827187</v>
      </c>
      <c r="C207" s="1" t="s">
        <v>719</v>
      </c>
      <c r="D207" s="1" t="s">
        <v>720</v>
      </c>
      <c r="E207" s="2" t="s">
        <v>721</v>
      </c>
      <c r="F207" s="2" t="s">
        <v>722</v>
      </c>
      <c r="G207" s="2">
        <v>2</v>
      </c>
      <c r="H207" s="2">
        <v>0</v>
      </c>
      <c r="I207" s="1">
        <v>0</v>
      </c>
      <c r="J207" s="3" t="s">
        <v>18</v>
      </c>
      <c r="K207" s="2" t="str">
        <f>J207*5283.67</f>
        <v>0</v>
      </c>
      <c r="L207" s="5"/>
    </row>
    <row r="208" spans="1:12" customHeight="1" ht="105" outlineLevel="5">
      <c r="A208" s="1"/>
      <c r="B208" s="1">
        <v>827190</v>
      </c>
      <c r="C208" s="1" t="s">
        <v>723</v>
      </c>
      <c r="D208" s="1" t="s">
        <v>724</v>
      </c>
      <c r="E208" s="2" t="s">
        <v>725</v>
      </c>
      <c r="F208" s="2" t="s">
        <v>726</v>
      </c>
      <c r="G208" s="2">
        <v>0</v>
      </c>
      <c r="H208" s="2">
        <v>0</v>
      </c>
      <c r="I208" s="1">
        <v>0</v>
      </c>
      <c r="J208" s="3" t="s">
        <v>18</v>
      </c>
      <c r="K208" s="2" t="str">
        <f>J208*5173.18</f>
        <v>0</v>
      </c>
      <c r="L208" s="5"/>
    </row>
    <row r="209" spans="1:12" customHeight="1" ht="105" outlineLevel="5">
      <c r="A209" s="1"/>
      <c r="B209" s="1">
        <v>827191</v>
      </c>
      <c r="C209" s="1" t="s">
        <v>727</v>
      </c>
      <c r="D209" s="1" t="s">
        <v>728</v>
      </c>
      <c r="E209" s="2" t="s">
        <v>729</v>
      </c>
      <c r="F209" s="2" t="s">
        <v>730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J209*4798.09</f>
        <v>0</v>
      </c>
      <c r="L209" s="5"/>
    </row>
    <row r="210" spans="1:12" customHeight="1" ht="105" outlineLevel="5">
      <c r="A210" s="1"/>
      <c r="B210" s="1">
        <v>827193</v>
      </c>
      <c r="C210" s="1" t="s">
        <v>731</v>
      </c>
      <c r="D210" s="1" t="s">
        <v>732</v>
      </c>
      <c r="E210" s="2" t="s">
        <v>733</v>
      </c>
      <c r="F210" s="2" t="s">
        <v>718</v>
      </c>
      <c r="G210" s="2" t="s">
        <v>382</v>
      </c>
      <c r="H210" s="2">
        <v>0</v>
      </c>
      <c r="I210" s="1">
        <v>0</v>
      </c>
      <c r="J210" s="3" t="s">
        <v>18</v>
      </c>
      <c r="K210" s="2" t="str">
        <f>J210*2492.59</f>
        <v>0</v>
      </c>
      <c r="L210" s="5"/>
    </row>
    <row r="211" spans="1:12" customHeight="1" ht="105" outlineLevel="5">
      <c r="A211" s="1"/>
      <c r="B211" s="1">
        <v>827194</v>
      </c>
      <c r="C211" s="1" t="s">
        <v>734</v>
      </c>
      <c r="D211" s="1" t="s">
        <v>735</v>
      </c>
      <c r="E211" s="2" t="s">
        <v>736</v>
      </c>
      <c r="F211" s="2" t="s">
        <v>737</v>
      </c>
      <c r="G211" s="2">
        <v>5</v>
      </c>
      <c r="H211" s="2">
        <v>0</v>
      </c>
      <c r="I211" s="1">
        <v>0</v>
      </c>
      <c r="J211" s="3" t="s">
        <v>18</v>
      </c>
      <c r="K211" s="2" t="str">
        <f>J211*4022.58</f>
        <v>0</v>
      </c>
      <c r="L211" s="5"/>
    </row>
    <row r="212" spans="1:12" customHeight="1" ht="105" outlineLevel="5">
      <c r="A212" s="1"/>
      <c r="B212" s="1">
        <v>827197</v>
      </c>
      <c r="C212" s="1" t="s">
        <v>738</v>
      </c>
      <c r="D212" s="1" t="s">
        <v>739</v>
      </c>
      <c r="E212" s="2" t="s">
        <v>740</v>
      </c>
      <c r="F212" s="2" t="s">
        <v>741</v>
      </c>
      <c r="G212" s="2">
        <v>0</v>
      </c>
      <c r="H212" s="2">
        <v>0</v>
      </c>
      <c r="I212" s="1">
        <v>0</v>
      </c>
      <c r="J212" s="3" t="s">
        <v>18</v>
      </c>
      <c r="K212" s="2" t="str">
        <f>J212*3462.92</f>
        <v>0</v>
      </c>
      <c r="L212" s="5"/>
    </row>
    <row r="213" spans="1:12" customHeight="1" ht="105" outlineLevel="5">
      <c r="A213" s="1"/>
      <c r="B213" s="1">
        <v>827198</v>
      </c>
      <c r="C213" s="1" t="s">
        <v>742</v>
      </c>
      <c r="D213" s="1" t="s">
        <v>743</v>
      </c>
      <c r="E213" s="2" t="s">
        <v>744</v>
      </c>
      <c r="F213" s="2" t="s">
        <v>745</v>
      </c>
      <c r="G213" s="2">
        <v>10</v>
      </c>
      <c r="H213" s="2">
        <v>0</v>
      </c>
      <c r="I213" s="1">
        <v>0</v>
      </c>
      <c r="J213" s="3" t="s">
        <v>18</v>
      </c>
      <c r="K213" s="2" t="str">
        <f>J213*3509.69</f>
        <v>0</v>
      </c>
      <c r="L213" s="5"/>
    </row>
    <row r="214" spans="1:12" customHeight="1" ht="105" outlineLevel="5">
      <c r="A214" s="1"/>
      <c r="B214" s="1">
        <v>827199</v>
      </c>
      <c r="C214" s="1" t="s">
        <v>746</v>
      </c>
      <c r="D214" s="1" t="s">
        <v>747</v>
      </c>
      <c r="E214" s="2" t="s">
        <v>748</v>
      </c>
      <c r="F214" s="2" t="s">
        <v>749</v>
      </c>
      <c r="G214" s="2">
        <v>10</v>
      </c>
      <c r="H214" s="2">
        <v>0</v>
      </c>
      <c r="I214" s="1">
        <v>0</v>
      </c>
      <c r="J214" s="3" t="s">
        <v>18</v>
      </c>
      <c r="K214" s="2" t="str">
        <f>J214*4007.71</f>
        <v>0</v>
      </c>
      <c r="L214" s="5"/>
    </row>
    <row r="215" spans="1:12" customHeight="1" ht="105" outlineLevel="5">
      <c r="A215" s="1"/>
      <c r="B215" s="1">
        <v>827201</v>
      </c>
      <c r="C215" s="1" t="s">
        <v>750</v>
      </c>
      <c r="D215" s="1" t="s">
        <v>751</v>
      </c>
      <c r="E215" s="2" t="s">
        <v>752</v>
      </c>
      <c r="F215" s="2" t="s">
        <v>753</v>
      </c>
      <c r="G215" s="2" t="s">
        <v>369</v>
      </c>
      <c r="H215" s="2">
        <v>0</v>
      </c>
      <c r="I215" s="1">
        <v>0</v>
      </c>
      <c r="J215" s="3" t="s">
        <v>18</v>
      </c>
      <c r="K215" s="2" t="str">
        <f>J215*2011.91</f>
        <v>0</v>
      </c>
      <c r="L215" s="5"/>
    </row>
    <row r="216" spans="1:12" customHeight="1" ht="105" outlineLevel="5">
      <c r="A216" s="1"/>
      <c r="B216" s="1">
        <v>827204</v>
      </c>
      <c r="C216" s="1" t="s">
        <v>754</v>
      </c>
      <c r="D216" s="1" t="s">
        <v>755</v>
      </c>
      <c r="E216" s="2" t="s">
        <v>756</v>
      </c>
      <c r="F216" s="2" t="s">
        <v>757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J216*1809.98</f>
        <v>0</v>
      </c>
      <c r="L216" s="5"/>
    </row>
    <row r="217" spans="1:12" customHeight="1" ht="105" outlineLevel="5">
      <c r="A217" s="1"/>
      <c r="B217" s="1">
        <v>827211</v>
      </c>
      <c r="C217" s="1" t="s">
        <v>758</v>
      </c>
      <c r="D217" s="1" t="s">
        <v>759</v>
      </c>
      <c r="E217" s="2" t="s">
        <v>760</v>
      </c>
      <c r="F217" s="2" t="s">
        <v>761</v>
      </c>
      <c r="G217" s="2" t="s">
        <v>382</v>
      </c>
      <c r="H217" s="2">
        <v>0</v>
      </c>
      <c r="I217" s="1">
        <v>0</v>
      </c>
      <c r="J217" s="3" t="s">
        <v>18</v>
      </c>
      <c r="K217" s="2" t="str">
        <f>J217*1705.91</f>
        <v>0</v>
      </c>
      <c r="L217" s="5"/>
    </row>
    <row r="218" spans="1:12" customHeight="1" ht="105" outlineLevel="5">
      <c r="A218" s="1"/>
      <c r="B218" s="1">
        <v>827214</v>
      </c>
      <c r="C218" s="1" t="s">
        <v>762</v>
      </c>
      <c r="D218" s="1" t="s">
        <v>763</v>
      </c>
      <c r="E218" s="2" t="s">
        <v>764</v>
      </c>
      <c r="F218" s="2" t="s">
        <v>765</v>
      </c>
      <c r="G218" s="2" t="s">
        <v>382</v>
      </c>
      <c r="H218" s="2">
        <v>0</v>
      </c>
      <c r="I218" s="1">
        <v>0</v>
      </c>
      <c r="J218" s="3" t="s">
        <v>18</v>
      </c>
      <c r="K218" s="2" t="str">
        <f>J218*3046.36</f>
        <v>0</v>
      </c>
      <c r="L218" s="5"/>
    </row>
    <row r="219" spans="1:12" customHeight="1" ht="105" outlineLevel="5">
      <c r="A219" s="1"/>
      <c r="B219" s="1">
        <v>827217</v>
      </c>
      <c r="C219" s="1" t="s">
        <v>766</v>
      </c>
      <c r="D219" s="1" t="s">
        <v>767</v>
      </c>
      <c r="E219" s="2" t="s">
        <v>768</v>
      </c>
      <c r="F219" s="2" t="s">
        <v>769</v>
      </c>
      <c r="G219" s="2">
        <v>4</v>
      </c>
      <c r="H219" s="2">
        <v>0</v>
      </c>
      <c r="I219" s="1">
        <v>0</v>
      </c>
      <c r="J219" s="3" t="s">
        <v>18</v>
      </c>
      <c r="K219" s="2" t="str">
        <f>J219*1818.64</f>
        <v>0</v>
      </c>
      <c r="L219" s="5"/>
    </row>
    <row r="220" spans="1:12" customHeight="1" ht="105" outlineLevel="5">
      <c r="A220" s="1"/>
      <c r="B220" s="1">
        <v>827219</v>
      </c>
      <c r="C220" s="1" t="s">
        <v>770</v>
      </c>
      <c r="D220" s="1" t="s">
        <v>771</v>
      </c>
      <c r="E220" s="2" t="s">
        <v>772</v>
      </c>
      <c r="F220" s="2" t="s">
        <v>773</v>
      </c>
      <c r="G220" s="2" t="s">
        <v>382</v>
      </c>
      <c r="H220" s="2">
        <v>0</v>
      </c>
      <c r="I220" s="1">
        <v>0</v>
      </c>
      <c r="J220" s="3" t="s">
        <v>18</v>
      </c>
      <c r="K220" s="2" t="str">
        <f>J220*2362.50</f>
        <v>0</v>
      </c>
      <c r="L220" s="5"/>
    </row>
    <row r="221" spans="1:12" customHeight="1" ht="105" outlineLevel="5">
      <c r="A221" s="1"/>
      <c r="B221" s="1">
        <v>827220</v>
      </c>
      <c r="C221" s="1" t="s">
        <v>774</v>
      </c>
      <c r="D221" s="1" t="s">
        <v>775</v>
      </c>
      <c r="E221" s="2" t="s">
        <v>776</v>
      </c>
      <c r="F221" s="2" t="s">
        <v>777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J221*2886.27</f>
        <v>0</v>
      </c>
      <c r="L221" s="5"/>
    </row>
    <row r="222" spans="1:12" customHeight="1" ht="105" outlineLevel="5">
      <c r="A222" s="1"/>
      <c r="B222" s="1">
        <v>827222</v>
      </c>
      <c r="C222" s="1" t="s">
        <v>778</v>
      </c>
      <c r="D222" s="1" t="s">
        <v>779</v>
      </c>
      <c r="E222" s="2" t="s">
        <v>780</v>
      </c>
      <c r="F222" s="2" t="s">
        <v>781</v>
      </c>
      <c r="G222" s="2" t="s">
        <v>369</v>
      </c>
      <c r="H222" s="2">
        <v>0</v>
      </c>
      <c r="I222" s="1">
        <v>0</v>
      </c>
      <c r="J222" s="3" t="s">
        <v>18</v>
      </c>
      <c r="K222" s="2" t="str">
        <f>J222*2511.17</f>
        <v>0</v>
      </c>
      <c r="L222" s="5"/>
    </row>
    <row r="223" spans="1:12" customHeight="1" ht="105" outlineLevel="5">
      <c r="A223" s="1"/>
      <c r="B223" s="1">
        <v>827224</v>
      </c>
      <c r="C223" s="1" t="s">
        <v>782</v>
      </c>
      <c r="D223" s="1" t="s">
        <v>783</v>
      </c>
      <c r="E223" s="2" t="s">
        <v>784</v>
      </c>
      <c r="F223" s="2" t="s">
        <v>785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J223*2863.00</f>
        <v>0</v>
      </c>
      <c r="L223" s="5"/>
    </row>
    <row r="224" spans="1:12" customHeight="1" ht="105" outlineLevel="5">
      <c r="A224" s="1"/>
      <c r="B224" s="1">
        <v>827225</v>
      </c>
      <c r="C224" s="1" t="s">
        <v>786</v>
      </c>
      <c r="D224" s="1" t="s">
        <v>787</v>
      </c>
      <c r="E224" s="2" t="s">
        <v>788</v>
      </c>
      <c r="F224" s="2" t="s">
        <v>785</v>
      </c>
      <c r="G224" s="2">
        <v>8</v>
      </c>
      <c r="H224" s="2">
        <v>0</v>
      </c>
      <c r="I224" s="1">
        <v>0</v>
      </c>
      <c r="J224" s="3" t="s">
        <v>18</v>
      </c>
      <c r="K224" s="2" t="str">
        <f>J224*2863.00</f>
        <v>0</v>
      </c>
      <c r="L224" s="5"/>
    </row>
    <row r="225" spans="1:12" customHeight="1" ht="105" outlineLevel="5">
      <c r="A225" s="1"/>
      <c r="B225" s="1">
        <v>827226</v>
      </c>
      <c r="C225" s="1" t="s">
        <v>789</v>
      </c>
      <c r="D225" s="1" t="s">
        <v>790</v>
      </c>
      <c r="E225" s="2" t="s">
        <v>791</v>
      </c>
      <c r="F225" s="2" t="s">
        <v>785</v>
      </c>
      <c r="G225" s="2">
        <v>8</v>
      </c>
      <c r="H225" s="2">
        <v>0</v>
      </c>
      <c r="I225" s="1">
        <v>0</v>
      </c>
      <c r="J225" s="3" t="s">
        <v>18</v>
      </c>
      <c r="K225" s="2" t="str">
        <f>J225*2863.00</f>
        <v>0</v>
      </c>
      <c r="L225" s="5"/>
    </row>
    <row r="226" spans="1:12" customHeight="1" ht="105" outlineLevel="5">
      <c r="A226" s="1"/>
      <c r="B226" s="1">
        <v>827286</v>
      </c>
      <c r="C226" s="1" t="s">
        <v>792</v>
      </c>
      <c r="D226" s="1" t="s">
        <v>793</v>
      </c>
      <c r="E226" s="2" t="s">
        <v>794</v>
      </c>
      <c r="F226" s="2" t="s">
        <v>795</v>
      </c>
      <c r="G226" s="2">
        <v>5</v>
      </c>
      <c r="H226" s="2">
        <v>0</v>
      </c>
      <c r="I226" s="1">
        <v>0</v>
      </c>
      <c r="J226" s="3" t="s">
        <v>18</v>
      </c>
      <c r="K226" s="2" t="str">
        <f>J226*3347.40</f>
        <v>0</v>
      </c>
      <c r="L226" s="5"/>
    </row>
    <row r="227" spans="1:12" customHeight="1" ht="105" outlineLevel="5">
      <c r="A227" s="1"/>
      <c r="B227" s="1">
        <v>827287</v>
      </c>
      <c r="C227" s="1" t="s">
        <v>796</v>
      </c>
      <c r="D227" s="1" t="s">
        <v>797</v>
      </c>
      <c r="E227" s="2" t="s">
        <v>798</v>
      </c>
      <c r="F227" s="2" t="s">
        <v>799</v>
      </c>
      <c r="G227" s="2" t="s">
        <v>369</v>
      </c>
      <c r="H227" s="2">
        <v>0</v>
      </c>
      <c r="I227" s="1">
        <v>0</v>
      </c>
      <c r="J227" s="3" t="s">
        <v>18</v>
      </c>
      <c r="K227" s="2" t="str">
        <f>J227*1636.54</f>
        <v>0</v>
      </c>
      <c r="L227" s="5"/>
    </row>
    <row r="228" spans="1:12" customHeight="1" ht="105" outlineLevel="5">
      <c r="A228" s="1"/>
      <c r="B228" s="1">
        <v>827288</v>
      </c>
      <c r="C228" s="1" t="s">
        <v>800</v>
      </c>
      <c r="D228" s="1" t="s">
        <v>801</v>
      </c>
      <c r="E228" s="2" t="s">
        <v>802</v>
      </c>
      <c r="F228" s="2" t="s">
        <v>803</v>
      </c>
      <c r="G228" s="2">
        <v>3</v>
      </c>
      <c r="H228" s="2">
        <v>0</v>
      </c>
      <c r="I228" s="1">
        <v>0</v>
      </c>
      <c r="J228" s="3" t="s">
        <v>18</v>
      </c>
      <c r="K228" s="2" t="str">
        <f>J228*2666.03</f>
        <v>0</v>
      </c>
      <c r="L228" s="5"/>
    </row>
    <row r="229" spans="1:12" customHeight="1" ht="105" outlineLevel="5">
      <c r="A229" s="1"/>
      <c r="B229" s="1">
        <v>827292</v>
      </c>
      <c r="C229" s="1" t="s">
        <v>804</v>
      </c>
      <c r="D229" s="1" t="s">
        <v>805</v>
      </c>
      <c r="E229" s="2" t="s">
        <v>806</v>
      </c>
      <c r="F229" s="2" t="s">
        <v>807</v>
      </c>
      <c r="G229" s="2" t="s">
        <v>382</v>
      </c>
      <c r="H229" s="2">
        <v>0</v>
      </c>
      <c r="I229" s="1">
        <v>0</v>
      </c>
      <c r="J229" s="3" t="s">
        <v>18</v>
      </c>
      <c r="K229" s="2" t="str">
        <f>J229*2281.98</f>
        <v>0</v>
      </c>
      <c r="L229" s="5"/>
    </row>
    <row r="230" spans="1:12" customHeight="1" ht="105" outlineLevel="5">
      <c r="A230" s="1"/>
      <c r="B230" s="1">
        <v>827293</v>
      </c>
      <c r="C230" s="1" t="s">
        <v>808</v>
      </c>
      <c r="D230" s="1" t="s">
        <v>809</v>
      </c>
      <c r="E230" s="2" t="s">
        <v>810</v>
      </c>
      <c r="F230" s="2" t="s">
        <v>807</v>
      </c>
      <c r="G230" s="2" t="s">
        <v>369</v>
      </c>
      <c r="H230" s="2">
        <v>0</v>
      </c>
      <c r="I230" s="1">
        <v>0</v>
      </c>
      <c r="J230" s="3" t="s">
        <v>18</v>
      </c>
      <c r="K230" s="2" t="str">
        <f>J230*2281.98</f>
        <v>0</v>
      </c>
      <c r="L230" s="5"/>
    </row>
    <row r="231" spans="1:12" customHeight="1" ht="105" outlineLevel="5">
      <c r="A231" s="1"/>
      <c r="B231" s="1">
        <v>827294</v>
      </c>
      <c r="C231" s="1" t="s">
        <v>811</v>
      </c>
      <c r="D231" s="1" t="s">
        <v>812</v>
      </c>
      <c r="E231" s="2" t="s">
        <v>813</v>
      </c>
      <c r="F231" s="2" t="s">
        <v>807</v>
      </c>
      <c r="G231" s="2" t="s">
        <v>382</v>
      </c>
      <c r="H231" s="2">
        <v>0</v>
      </c>
      <c r="I231" s="1">
        <v>0</v>
      </c>
      <c r="J231" s="3" t="s">
        <v>18</v>
      </c>
      <c r="K231" s="2" t="str">
        <f>J231*2281.98</f>
        <v>0</v>
      </c>
      <c r="L231" s="5"/>
    </row>
    <row r="232" spans="1:12" customHeight="1" ht="105" outlineLevel="5">
      <c r="A232" s="1"/>
      <c r="B232" s="1">
        <v>827297</v>
      </c>
      <c r="C232" s="1" t="s">
        <v>814</v>
      </c>
      <c r="D232" s="1" t="s">
        <v>815</v>
      </c>
      <c r="E232" s="2" t="s">
        <v>816</v>
      </c>
      <c r="F232" s="2" t="s">
        <v>817</v>
      </c>
      <c r="G232" s="2" t="s">
        <v>382</v>
      </c>
      <c r="H232" s="2">
        <v>0</v>
      </c>
      <c r="I232" s="1">
        <v>0</v>
      </c>
      <c r="J232" s="3" t="s">
        <v>18</v>
      </c>
      <c r="K232" s="2" t="str">
        <f>J232*2156.85</f>
        <v>0</v>
      </c>
      <c r="L232" s="5"/>
    </row>
    <row r="233" spans="1:12" customHeight="1" ht="105" outlineLevel="5">
      <c r="A233" s="1"/>
      <c r="B233" s="1">
        <v>827298</v>
      </c>
      <c r="C233" s="1" t="s">
        <v>818</v>
      </c>
      <c r="D233" s="1" t="s">
        <v>819</v>
      </c>
      <c r="E233" s="2" t="s">
        <v>820</v>
      </c>
      <c r="F233" s="2" t="s">
        <v>817</v>
      </c>
      <c r="G233" s="2" t="s">
        <v>382</v>
      </c>
      <c r="H233" s="2">
        <v>0</v>
      </c>
      <c r="I233" s="1">
        <v>0</v>
      </c>
      <c r="J233" s="3" t="s">
        <v>18</v>
      </c>
      <c r="K233" s="2" t="str">
        <f>J233*2156.85</f>
        <v>0</v>
      </c>
      <c r="L233" s="5"/>
    </row>
    <row r="234" spans="1:12" customHeight="1" ht="105" outlineLevel="5">
      <c r="A234" s="1"/>
      <c r="B234" s="1">
        <v>827299</v>
      </c>
      <c r="C234" s="1" t="s">
        <v>821</v>
      </c>
      <c r="D234" s="1" t="s">
        <v>822</v>
      </c>
      <c r="E234" s="2" t="s">
        <v>823</v>
      </c>
      <c r="F234" s="2" t="s">
        <v>824</v>
      </c>
      <c r="G234" s="2">
        <v>7</v>
      </c>
      <c r="H234" s="2">
        <v>0</v>
      </c>
      <c r="I234" s="1">
        <v>0</v>
      </c>
      <c r="J234" s="3" t="s">
        <v>18</v>
      </c>
      <c r="K234" s="2" t="str">
        <f>J234*2253.49</f>
        <v>0</v>
      </c>
      <c r="L234" s="5"/>
    </row>
    <row r="235" spans="1:12" customHeight="1" ht="105" outlineLevel="5">
      <c r="A235" s="1"/>
      <c r="B235" s="1">
        <v>827300</v>
      </c>
      <c r="C235" s="1" t="s">
        <v>825</v>
      </c>
      <c r="D235" s="1" t="s">
        <v>826</v>
      </c>
      <c r="E235" s="2" t="s">
        <v>827</v>
      </c>
      <c r="F235" s="2" t="s">
        <v>824</v>
      </c>
      <c r="G235" s="2">
        <v>3</v>
      </c>
      <c r="H235" s="2">
        <v>0</v>
      </c>
      <c r="I235" s="1">
        <v>0</v>
      </c>
      <c r="J235" s="3" t="s">
        <v>18</v>
      </c>
      <c r="K235" s="2" t="str">
        <f>J235*2253.49</f>
        <v>0</v>
      </c>
      <c r="L235" s="5"/>
    </row>
    <row r="236" spans="1:12" customHeight="1" ht="105" outlineLevel="5">
      <c r="A236" s="1"/>
      <c r="B236" s="1">
        <v>827315</v>
      </c>
      <c r="C236" s="1" t="s">
        <v>828</v>
      </c>
      <c r="D236" s="1" t="s">
        <v>829</v>
      </c>
      <c r="E236" s="2" t="s">
        <v>830</v>
      </c>
      <c r="F236" s="2" t="s">
        <v>831</v>
      </c>
      <c r="G236" s="2" t="s">
        <v>382</v>
      </c>
      <c r="H236" s="2">
        <v>0</v>
      </c>
      <c r="I236" s="1">
        <v>0</v>
      </c>
      <c r="J236" s="3" t="s">
        <v>18</v>
      </c>
      <c r="K236" s="2" t="str">
        <f>J236*2078.81</f>
        <v>0</v>
      </c>
      <c r="L236" s="5"/>
    </row>
    <row r="237" spans="1:12" customHeight="1" ht="105" outlineLevel="5">
      <c r="A237" s="1"/>
      <c r="B237" s="1">
        <v>827316</v>
      </c>
      <c r="C237" s="1" t="s">
        <v>832</v>
      </c>
      <c r="D237" s="1" t="s">
        <v>833</v>
      </c>
      <c r="E237" s="2" t="s">
        <v>834</v>
      </c>
      <c r="F237" s="2" t="s">
        <v>835</v>
      </c>
      <c r="G237" s="2">
        <v>9</v>
      </c>
      <c r="H237" s="2">
        <v>0</v>
      </c>
      <c r="I237" s="1">
        <v>0</v>
      </c>
      <c r="J237" s="3" t="s">
        <v>18</v>
      </c>
      <c r="K237" s="2" t="str">
        <f>J237*3294.12</f>
        <v>0</v>
      </c>
      <c r="L237" s="5"/>
    </row>
    <row r="238" spans="1:12" customHeight="1" ht="105" outlineLevel="5">
      <c r="A238" s="1"/>
      <c r="B238" s="1">
        <v>827317</v>
      </c>
      <c r="C238" s="1" t="s">
        <v>836</v>
      </c>
      <c r="D238" s="1" t="s">
        <v>837</v>
      </c>
      <c r="E238" s="2" t="s">
        <v>838</v>
      </c>
      <c r="F238" s="2" t="s">
        <v>835</v>
      </c>
      <c r="G238" s="2">
        <v>1</v>
      </c>
      <c r="H238" s="2">
        <v>0</v>
      </c>
      <c r="I238" s="1">
        <v>0</v>
      </c>
      <c r="J238" s="3" t="s">
        <v>18</v>
      </c>
      <c r="K238" s="2" t="str">
        <f>J238*3294.12</f>
        <v>0</v>
      </c>
      <c r="L238" s="5"/>
    </row>
    <row r="239" spans="1:12" customHeight="1" ht="105" outlineLevel="5">
      <c r="A239" s="1"/>
      <c r="B239" s="1">
        <v>827318</v>
      </c>
      <c r="C239" s="1" t="s">
        <v>839</v>
      </c>
      <c r="D239" s="1" t="s">
        <v>840</v>
      </c>
      <c r="E239" s="2" t="s">
        <v>841</v>
      </c>
      <c r="F239" s="2" t="s">
        <v>842</v>
      </c>
      <c r="G239" s="2">
        <v>9</v>
      </c>
      <c r="H239" s="2">
        <v>0</v>
      </c>
      <c r="I239" s="1">
        <v>0</v>
      </c>
      <c r="J239" s="3" t="s">
        <v>18</v>
      </c>
      <c r="K239" s="2" t="str">
        <f>J239*2797.34</f>
        <v>0</v>
      </c>
      <c r="L239" s="5"/>
    </row>
    <row r="240" spans="1:12" customHeight="1" ht="105" outlineLevel="5">
      <c r="A240" s="1"/>
      <c r="B240" s="1">
        <v>827319</v>
      </c>
      <c r="C240" s="1" t="s">
        <v>843</v>
      </c>
      <c r="D240" s="1" t="s">
        <v>844</v>
      </c>
      <c r="E240" s="2" t="s">
        <v>845</v>
      </c>
      <c r="F240" s="2" t="s">
        <v>842</v>
      </c>
      <c r="G240" s="2">
        <v>10</v>
      </c>
      <c r="H240" s="2">
        <v>0</v>
      </c>
      <c r="I240" s="1">
        <v>0</v>
      </c>
      <c r="J240" s="3" t="s">
        <v>18</v>
      </c>
      <c r="K240" s="2" t="str">
        <f>J240*2797.34</f>
        <v>0</v>
      </c>
      <c r="L240" s="5"/>
    </row>
    <row r="241" spans="1:12" customHeight="1" ht="105" outlineLevel="5">
      <c r="A241" s="1"/>
      <c r="B241" s="1">
        <v>827322</v>
      </c>
      <c r="C241" s="1" t="s">
        <v>846</v>
      </c>
      <c r="D241" s="1" t="s">
        <v>847</v>
      </c>
      <c r="E241" s="2" t="s">
        <v>848</v>
      </c>
      <c r="F241" s="2" t="s">
        <v>849</v>
      </c>
      <c r="G241" s="2">
        <v>10</v>
      </c>
      <c r="H241" s="2">
        <v>0</v>
      </c>
      <c r="I241" s="1">
        <v>0</v>
      </c>
      <c r="J241" s="3" t="s">
        <v>18</v>
      </c>
      <c r="K241" s="2" t="str">
        <f>J241*2830.79</f>
        <v>0</v>
      </c>
      <c r="L241" s="5"/>
    </row>
    <row r="242" spans="1:12" customHeight="1" ht="105" outlineLevel="5">
      <c r="A242" s="1"/>
      <c r="B242" s="1">
        <v>827324</v>
      </c>
      <c r="C242" s="1" t="s">
        <v>850</v>
      </c>
      <c r="D242" s="1" t="s">
        <v>851</v>
      </c>
      <c r="E242" s="2" t="s">
        <v>852</v>
      </c>
      <c r="F242" s="2" t="s">
        <v>853</v>
      </c>
      <c r="G242" s="2">
        <v>9</v>
      </c>
      <c r="H242" s="2">
        <v>0</v>
      </c>
      <c r="I242" s="1">
        <v>0</v>
      </c>
      <c r="J242" s="3" t="s">
        <v>18</v>
      </c>
      <c r="K242" s="2" t="str">
        <f>J242*3375.90</f>
        <v>0</v>
      </c>
      <c r="L242" s="5"/>
    </row>
    <row r="243" spans="1:12" customHeight="1" ht="105" outlineLevel="5">
      <c r="A243" s="1"/>
      <c r="B243" s="1">
        <v>827328</v>
      </c>
      <c r="C243" s="1" t="s">
        <v>854</v>
      </c>
      <c r="D243" s="1" t="s">
        <v>855</v>
      </c>
      <c r="E243" s="2" t="s">
        <v>856</v>
      </c>
      <c r="F243" s="2" t="s">
        <v>857</v>
      </c>
      <c r="G243" s="2">
        <v>10</v>
      </c>
      <c r="H243" s="2">
        <v>0</v>
      </c>
      <c r="I243" s="1">
        <v>0</v>
      </c>
      <c r="J243" s="3" t="s">
        <v>18</v>
      </c>
      <c r="K243" s="2" t="str">
        <f>J243*2937.33</f>
        <v>0</v>
      </c>
      <c r="L243" s="5"/>
    </row>
    <row r="244" spans="1:12" customHeight="1" ht="105" outlineLevel="5">
      <c r="A244" s="1"/>
      <c r="B244" s="1">
        <v>827332</v>
      </c>
      <c r="C244" s="1" t="s">
        <v>858</v>
      </c>
      <c r="D244" s="1" t="s">
        <v>859</v>
      </c>
      <c r="E244" s="2" t="s">
        <v>860</v>
      </c>
      <c r="F244" s="2" t="s">
        <v>398</v>
      </c>
      <c r="G244" s="2">
        <v>0</v>
      </c>
      <c r="H244" s="2">
        <v>0</v>
      </c>
      <c r="I244" s="1">
        <v>0</v>
      </c>
      <c r="J244" s="3" t="s">
        <v>18</v>
      </c>
      <c r="K244" s="2" t="str">
        <f>J244*0.00</f>
        <v>0</v>
      </c>
      <c r="L244" s="5"/>
    </row>
    <row r="245" spans="1:12" customHeight="1" ht="105" outlineLevel="5">
      <c r="A245" s="1"/>
      <c r="B245" s="1">
        <v>827338</v>
      </c>
      <c r="C245" s="1" t="s">
        <v>861</v>
      </c>
      <c r="D245" s="1" t="s">
        <v>862</v>
      </c>
      <c r="E245" s="2" t="s">
        <v>863</v>
      </c>
      <c r="F245" s="2" t="s">
        <v>864</v>
      </c>
      <c r="G245" s="2" t="s">
        <v>369</v>
      </c>
      <c r="H245" s="2">
        <v>0</v>
      </c>
      <c r="I245" s="1">
        <v>0</v>
      </c>
      <c r="J245" s="3" t="s">
        <v>18</v>
      </c>
      <c r="K245" s="2" t="str">
        <f>J245*1964.82</f>
        <v>0</v>
      </c>
      <c r="L245" s="5"/>
    </row>
    <row r="246" spans="1:12" customHeight="1" ht="105" outlineLevel="5">
      <c r="A246" s="1"/>
      <c r="B246" s="1">
        <v>827340</v>
      </c>
      <c r="C246" s="1" t="s">
        <v>865</v>
      </c>
      <c r="D246" s="1" t="s">
        <v>866</v>
      </c>
      <c r="E246" s="2" t="s">
        <v>867</v>
      </c>
      <c r="F246" s="2" t="s">
        <v>868</v>
      </c>
      <c r="G246" s="2" t="s">
        <v>369</v>
      </c>
      <c r="H246" s="2">
        <v>0</v>
      </c>
      <c r="I246" s="1">
        <v>0</v>
      </c>
      <c r="J246" s="3" t="s">
        <v>18</v>
      </c>
      <c r="K246" s="2" t="str">
        <f>J246*1963.58</f>
        <v>0</v>
      </c>
      <c r="L246" s="5"/>
    </row>
    <row r="247" spans="1:12" customHeight="1" ht="105" outlineLevel="5">
      <c r="A247" s="1"/>
      <c r="B247" s="1">
        <v>828485</v>
      </c>
      <c r="C247" s="1" t="s">
        <v>869</v>
      </c>
      <c r="D247" s="1" t="s">
        <v>870</v>
      </c>
      <c r="E247" s="2" t="s">
        <v>871</v>
      </c>
      <c r="F247" s="2" t="s">
        <v>872</v>
      </c>
      <c r="G247" s="2" t="s">
        <v>382</v>
      </c>
      <c r="H247" s="2">
        <v>0</v>
      </c>
      <c r="I247" s="1">
        <v>0</v>
      </c>
      <c r="J247" s="3" t="s">
        <v>18</v>
      </c>
      <c r="K247" s="2" t="str">
        <f>J247*2205.16</f>
        <v>0</v>
      </c>
      <c r="L247" s="5"/>
    </row>
    <row r="248" spans="1:12" customHeight="1" ht="105" outlineLevel="5">
      <c r="A248" s="1"/>
      <c r="B248" s="1">
        <v>829366</v>
      </c>
      <c r="C248" s="1" t="s">
        <v>873</v>
      </c>
      <c r="D248" s="1" t="s">
        <v>874</v>
      </c>
      <c r="E248" s="2" t="s">
        <v>875</v>
      </c>
      <c r="F248" s="2" t="s">
        <v>876</v>
      </c>
      <c r="G248" s="2">
        <v>5</v>
      </c>
      <c r="H248" s="2">
        <v>0</v>
      </c>
      <c r="I248" s="1">
        <v>0</v>
      </c>
      <c r="J248" s="3" t="s">
        <v>18</v>
      </c>
      <c r="K248" s="2" t="str">
        <f>J248*2994.31</f>
        <v>0</v>
      </c>
      <c r="L248" s="5"/>
    </row>
    <row r="249" spans="1:12" customHeight="1" ht="105" outlineLevel="5">
      <c r="A249" s="1"/>
      <c r="B249" s="1">
        <v>831662</v>
      </c>
      <c r="C249" s="1" t="s">
        <v>877</v>
      </c>
      <c r="D249" s="1" t="s">
        <v>878</v>
      </c>
      <c r="E249" s="2" t="s">
        <v>879</v>
      </c>
      <c r="F249" s="2" t="s">
        <v>398</v>
      </c>
      <c r="G249" s="2">
        <v>7</v>
      </c>
      <c r="H249" s="2">
        <v>0</v>
      </c>
      <c r="I249" s="1">
        <v>0</v>
      </c>
      <c r="J249" s="3" t="s">
        <v>18</v>
      </c>
      <c r="K249" s="2" t="str">
        <f>J249*0.00</f>
        <v>0</v>
      </c>
      <c r="L249" s="5"/>
    </row>
    <row r="250" spans="1:12" customHeight="1" ht="105" outlineLevel="5">
      <c r="A250" s="1"/>
      <c r="B250" s="1">
        <v>831661</v>
      </c>
      <c r="C250" s="1" t="s">
        <v>880</v>
      </c>
      <c r="D250" s="1" t="s">
        <v>881</v>
      </c>
      <c r="E250" s="2" t="s">
        <v>882</v>
      </c>
      <c r="F250" s="2" t="s">
        <v>883</v>
      </c>
      <c r="G250" s="2">
        <v>0</v>
      </c>
      <c r="H250" s="2">
        <v>0</v>
      </c>
      <c r="I250" s="1">
        <v>0</v>
      </c>
      <c r="J250" s="3" t="s">
        <v>18</v>
      </c>
      <c r="K250" s="2" t="str">
        <f>J250*3699.24</f>
        <v>0</v>
      </c>
      <c r="L250" s="5"/>
    </row>
    <row r="251" spans="1:12" customHeight="1" ht="105" outlineLevel="5">
      <c r="A251" s="1"/>
      <c r="B251" s="1">
        <v>834697</v>
      </c>
      <c r="C251" s="1" t="s">
        <v>884</v>
      </c>
      <c r="D251" s="1" t="s">
        <v>885</v>
      </c>
      <c r="E251" s="2" t="s">
        <v>886</v>
      </c>
      <c r="F251" s="2" t="s">
        <v>887</v>
      </c>
      <c r="G251" s="2">
        <v>0</v>
      </c>
      <c r="H251" s="2">
        <v>0</v>
      </c>
      <c r="I251" s="1">
        <v>0</v>
      </c>
      <c r="J251" s="3" t="s">
        <v>18</v>
      </c>
      <c r="K251" s="2" t="str">
        <f>J251*3714.10</f>
        <v>0</v>
      </c>
      <c r="L251" s="5"/>
    </row>
    <row r="252" spans="1:12" customHeight="1" ht="105" outlineLevel="5">
      <c r="A252" s="1"/>
      <c r="B252" s="1">
        <v>858648</v>
      </c>
      <c r="C252" s="1" t="s">
        <v>888</v>
      </c>
      <c r="D252" s="1" t="s">
        <v>889</v>
      </c>
      <c r="E252" s="2" t="s">
        <v>890</v>
      </c>
      <c r="F252" s="2" t="s">
        <v>891</v>
      </c>
      <c r="G252" s="2">
        <v>0</v>
      </c>
      <c r="H252" s="2">
        <v>0</v>
      </c>
      <c r="I252" s="1">
        <v>0</v>
      </c>
      <c r="J252" s="3" t="s">
        <v>18</v>
      </c>
      <c r="K252" s="2" t="str">
        <f>J252*3473.76</f>
        <v>0</v>
      </c>
      <c r="L252" s="5"/>
    </row>
    <row r="253" spans="1:12" customHeight="1" ht="105" outlineLevel="5">
      <c r="A253" s="1"/>
      <c r="B253" s="1">
        <v>858649</v>
      </c>
      <c r="C253" s="1" t="s">
        <v>892</v>
      </c>
      <c r="D253" s="1" t="s">
        <v>893</v>
      </c>
      <c r="E253" s="2" t="s">
        <v>894</v>
      </c>
      <c r="F253" s="2" t="s">
        <v>895</v>
      </c>
      <c r="G253" s="2">
        <v>7</v>
      </c>
      <c r="H253" s="2">
        <v>0</v>
      </c>
      <c r="I253" s="1">
        <v>0</v>
      </c>
      <c r="J253" s="3" t="s">
        <v>18</v>
      </c>
      <c r="K253" s="2" t="str">
        <f>J253*3471.28</f>
        <v>0</v>
      </c>
      <c r="L253" s="5"/>
    </row>
    <row r="254" spans="1:12" customHeight="1" ht="105" outlineLevel="5">
      <c r="A254" s="1"/>
      <c r="B254" s="1">
        <v>858650</v>
      </c>
      <c r="C254" s="1" t="s">
        <v>896</v>
      </c>
      <c r="D254" s="1" t="s">
        <v>897</v>
      </c>
      <c r="E254" s="2" t="s">
        <v>898</v>
      </c>
      <c r="F254" s="2" t="s">
        <v>398</v>
      </c>
      <c r="G254" s="2">
        <v>0</v>
      </c>
      <c r="H254" s="2">
        <v>0</v>
      </c>
      <c r="I254" s="1">
        <v>0</v>
      </c>
      <c r="J254" s="3" t="s">
        <v>18</v>
      </c>
      <c r="K254" s="2" t="str">
        <f>J254*0.00</f>
        <v>0</v>
      </c>
      <c r="L254" s="5"/>
    </row>
    <row r="255" spans="1:12" customHeight="1" ht="105" outlineLevel="5">
      <c r="A255" s="1"/>
      <c r="B255" s="1">
        <v>859050</v>
      </c>
      <c r="C255" s="1" t="s">
        <v>899</v>
      </c>
      <c r="D255" s="1" t="s">
        <v>900</v>
      </c>
      <c r="E255" s="2" t="s">
        <v>901</v>
      </c>
      <c r="F255" s="2" t="s">
        <v>902</v>
      </c>
      <c r="G255" s="2">
        <v>0</v>
      </c>
      <c r="H255" s="2">
        <v>0</v>
      </c>
      <c r="I255" s="1">
        <v>0</v>
      </c>
      <c r="J255" s="3" t="s">
        <v>18</v>
      </c>
      <c r="K255" s="2" t="str">
        <f>J255*3405.40</f>
        <v>0</v>
      </c>
      <c r="L255" s="5"/>
    </row>
    <row r="256" spans="1:12" customHeight="1" ht="105" outlineLevel="5">
      <c r="A256" s="1"/>
      <c r="B256" s="1">
        <v>859051</v>
      </c>
      <c r="C256" s="1" t="s">
        <v>903</v>
      </c>
      <c r="D256" s="1" t="s">
        <v>904</v>
      </c>
      <c r="E256" s="2" t="s">
        <v>905</v>
      </c>
      <c r="F256" s="2" t="s">
        <v>902</v>
      </c>
      <c r="G256" s="2">
        <v>0</v>
      </c>
      <c r="H256" s="2">
        <v>0</v>
      </c>
      <c r="I256" s="1">
        <v>0</v>
      </c>
      <c r="J256" s="3" t="s">
        <v>18</v>
      </c>
      <c r="K256" s="2" t="str">
        <f>J256*3405.40</f>
        <v>0</v>
      </c>
      <c r="L256" s="5"/>
    </row>
    <row r="257" spans="1:12" customHeight="1" ht="105" outlineLevel="5">
      <c r="A257" s="1"/>
      <c r="B257" s="1">
        <v>835559</v>
      </c>
      <c r="C257" s="1" t="s">
        <v>906</v>
      </c>
      <c r="D257" s="1" t="s">
        <v>907</v>
      </c>
      <c r="E257" s="2" t="s">
        <v>908</v>
      </c>
      <c r="F257" s="2" t="s">
        <v>909</v>
      </c>
      <c r="G257" s="2">
        <v>3</v>
      </c>
      <c r="H257" s="2">
        <v>0</v>
      </c>
      <c r="I257" s="1">
        <v>0</v>
      </c>
      <c r="J257" s="3" t="s">
        <v>18</v>
      </c>
      <c r="K257" s="2" t="str">
        <f>J257*3429.16</f>
        <v>0</v>
      </c>
      <c r="L257" s="5"/>
    </row>
    <row r="258" spans="1:12" customHeight="1" ht="105" outlineLevel="5">
      <c r="A258" s="1"/>
      <c r="B258" s="1">
        <v>871587</v>
      </c>
      <c r="C258" s="1" t="s">
        <v>910</v>
      </c>
      <c r="D258" s="1" t="s">
        <v>911</v>
      </c>
      <c r="E258" s="2" t="s">
        <v>912</v>
      </c>
      <c r="F258" s="2" t="s">
        <v>913</v>
      </c>
      <c r="G258" s="2">
        <v>10</v>
      </c>
      <c r="H258" s="2">
        <v>0</v>
      </c>
      <c r="I258" s="1">
        <v>0</v>
      </c>
      <c r="J258" s="3" t="s">
        <v>18</v>
      </c>
      <c r="K258" s="2" t="str">
        <f>J258*4331.67</f>
        <v>0</v>
      </c>
      <c r="L258" s="5"/>
    </row>
    <row r="259" spans="1:12" customHeight="1" ht="105" outlineLevel="5">
      <c r="A259" s="1"/>
      <c r="B259" s="1">
        <v>880091</v>
      </c>
      <c r="C259" s="1" t="s">
        <v>914</v>
      </c>
      <c r="D259" s="1" t="s">
        <v>915</v>
      </c>
      <c r="E259" s="2" t="s">
        <v>916</v>
      </c>
      <c r="F259" s="2" t="s">
        <v>917</v>
      </c>
      <c r="G259" s="2">
        <v>0</v>
      </c>
      <c r="H259" s="2">
        <v>0</v>
      </c>
      <c r="I259" s="1">
        <v>0</v>
      </c>
      <c r="J259" s="3" t="s">
        <v>18</v>
      </c>
      <c r="K259" s="2" t="str">
        <f>J259*2342.92</f>
        <v>0</v>
      </c>
      <c r="L259" s="5"/>
    </row>
    <row r="260" spans="1:12" customHeight="1" ht="105" outlineLevel="5">
      <c r="A260" s="1"/>
      <c r="B260" s="1">
        <v>890494</v>
      </c>
      <c r="C260" s="1" t="s">
        <v>918</v>
      </c>
      <c r="D260" s="1" t="s">
        <v>919</v>
      </c>
      <c r="E260" s="2" t="s">
        <v>920</v>
      </c>
      <c r="F260" s="2" t="s">
        <v>921</v>
      </c>
      <c r="G260" s="2" t="s">
        <v>382</v>
      </c>
      <c r="H260" s="2">
        <v>0</v>
      </c>
      <c r="I260" s="1">
        <v>0</v>
      </c>
      <c r="J260" s="3" t="s">
        <v>18</v>
      </c>
      <c r="K260" s="2" t="str">
        <f>J260*2725.49</f>
        <v>0</v>
      </c>
      <c r="L260" s="5"/>
    </row>
    <row r="261" spans="1:12" customHeight="1" ht="105" outlineLevel="5">
      <c r="A261" s="1"/>
      <c r="B261" s="1">
        <v>890495</v>
      </c>
      <c r="C261" s="1" t="s">
        <v>922</v>
      </c>
      <c r="D261" s="1" t="s">
        <v>923</v>
      </c>
      <c r="E261" s="2" t="s">
        <v>924</v>
      </c>
      <c r="F261" s="2" t="s">
        <v>925</v>
      </c>
      <c r="G261" s="2">
        <v>7</v>
      </c>
      <c r="H261" s="2">
        <v>0</v>
      </c>
      <c r="I261" s="1">
        <v>0</v>
      </c>
      <c r="J261" s="3" t="s">
        <v>18</v>
      </c>
      <c r="K261" s="2" t="str">
        <f>J261*2779.18</f>
        <v>0</v>
      </c>
      <c r="L261" s="5"/>
    </row>
    <row r="262" spans="1:12" customHeight="1" ht="105" outlineLevel="5">
      <c r="A262" s="1"/>
      <c r="B262" s="1">
        <v>890496</v>
      </c>
      <c r="C262" s="1" t="s">
        <v>926</v>
      </c>
      <c r="D262" s="1" t="s">
        <v>927</v>
      </c>
      <c r="E262" s="2" t="s">
        <v>928</v>
      </c>
      <c r="F262" s="2" t="s">
        <v>505</v>
      </c>
      <c r="G262" s="2">
        <v>10</v>
      </c>
      <c r="H262" s="2">
        <v>0</v>
      </c>
      <c r="I262" s="1">
        <v>0</v>
      </c>
      <c r="J262" s="3" t="s">
        <v>18</v>
      </c>
      <c r="K262" s="2" t="str">
        <f>J262*3261.91</f>
        <v>0</v>
      </c>
      <c r="L262" s="5"/>
    </row>
    <row r="263" spans="1:12" customHeight="1" ht="105" outlineLevel="5">
      <c r="A263" s="1"/>
      <c r="B263" s="1">
        <v>890497</v>
      </c>
      <c r="C263" s="1" t="s">
        <v>929</v>
      </c>
      <c r="D263" s="1" t="s">
        <v>930</v>
      </c>
      <c r="E263" s="2" t="s">
        <v>931</v>
      </c>
      <c r="F263" s="2" t="s">
        <v>932</v>
      </c>
      <c r="G263" s="2">
        <v>8</v>
      </c>
      <c r="H263" s="2">
        <v>0</v>
      </c>
      <c r="I263" s="1">
        <v>0</v>
      </c>
      <c r="J263" s="3" t="s">
        <v>18</v>
      </c>
      <c r="K263" s="2" t="str">
        <f>J263*4145.21</f>
        <v>0</v>
      </c>
      <c r="L263" s="5"/>
    </row>
    <row r="264" spans="1:12" customHeight="1" ht="105" outlineLevel="5">
      <c r="A264" s="1"/>
      <c r="B264" s="1">
        <v>959789</v>
      </c>
      <c r="C264" s="1" t="s">
        <v>933</v>
      </c>
      <c r="D264" s="1" t="s">
        <v>934</v>
      </c>
      <c r="E264" s="2" t="s">
        <v>935</v>
      </c>
      <c r="F264" s="2" t="s">
        <v>936</v>
      </c>
      <c r="G264" s="2">
        <v>9</v>
      </c>
      <c r="H264" s="2">
        <v>0</v>
      </c>
      <c r="I264" s="1">
        <v>0</v>
      </c>
      <c r="J264" s="3" t="s">
        <v>18</v>
      </c>
      <c r="K264" s="2" t="str">
        <f>J264*5088.71</f>
        <v>0</v>
      </c>
      <c r="L264" s="5"/>
    </row>
    <row r="265" spans="1:12" customHeight="1" ht="105" outlineLevel="5">
      <c r="A265" s="1"/>
      <c r="B265" s="1">
        <v>959791</v>
      </c>
      <c r="C265" s="1" t="s">
        <v>937</v>
      </c>
      <c r="D265" s="1" t="s">
        <v>938</v>
      </c>
      <c r="E265" s="2" t="s">
        <v>939</v>
      </c>
      <c r="F265" s="2" t="s">
        <v>940</v>
      </c>
      <c r="G265" s="2">
        <v>9</v>
      </c>
      <c r="H265" s="2">
        <v>0</v>
      </c>
      <c r="I265" s="1">
        <v>0</v>
      </c>
      <c r="J265" s="3" t="s">
        <v>18</v>
      </c>
      <c r="K265" s="2" t="str">
        <f>J265*5018.76</f>
        <v>0</v>
      </c>
      <c r="L265" s="5"/>
    </row>
    <row r="266" spans="1:12" customHeight="1" ht="105" outlineLevel="5">
      <c r="A266" s="1"/>
      <c r="B266" s="1">
        <v>959792</v>
      </c>
      <c r="C266" s="1" t="s">
        <v>941</v>
      </c>
      <c r="D266" s="1" t="s">
        <v>942</v>
      </c>
      <c r="E266" s="2" t="s">
        <v>943</v>
      </c>
      <c r="F266" s="2" t="s">
        <v>944</v>
      </c>
      <c r="G266" s="2">
        <v>4</v>
      </c>
      <c r="H266" s="2">
        <v>0</v>
      </c>
      <c r="I266" s="1">
        <v>0</v>
      </c>
      <c r="J266" s="3" t="s">
        <v>18</v>
      </c>
      <c r="K266" s="2" t="str">
        <f>J266*1780.35</f>
        <v>0</v>
      </c>
      <c r="L266" s="5"/>
    </row>
    <row r="267" spans="1:12" customHeight="1" ht="105" outlineLevel="5">
      <c r="A267" s="1"/>
      <c r="B267" s="1">
        <v>959798</v>
      </c>
      <c r="C267" s="1" t="s">
        <v>945</v>
      </c>
      <c r="D267" s="1" t="s">
        <v>946</v>
      </c>
      <c r="E267" s="2" t="s">
        <v>947</v>
      </c>
      <c r="F267" s="2" t="s">
        <v>948</v>
      </c>
      <c r="G267" s="2" t="s">
        <v>382</v>
      </c>
      <c r="H267" s="2">
        <v>0</v>
      </c>
      <c r="I267" s="1">
        <v>0</v>
      </c>
      <c r="J267" s="3" t="s">
        <v>18</v>
      </c>
      <c r="K267" s="2" t="str">
        <f>J267*3346.16</f>
        <v>0</v>
      </c>
      <c r="L267" s="5"/>
    </row>
    <row r="268" spans="1:12" customHeight="1" ht="105" outlineLevel="5">
      <c r="A268" s="1"/>
      <c r="B268" s="1">
        <v>959799</v>
      </c>
      <c r="C268" s="1" t="s">
        <v>949</v>
      </c>
      <c r="D268" s="1" t="s">
        <v>950</v>
      </c>
      <c r="E268" s="2" t="s">
        <v>951</v>
      </c>
      <c r="F268" s="2" t="s">
        <v>952</v>
      </c>
      <c r="G268" s="2" t="s">
        <v>382</v>
      </c>
      <c r="H268" s="2">
        <v>0</v>
      </c>
      <c r="I268" s="1">
        <v>0</v>
      </c>
      <c r="J268" s="3" t="s">
        <v>18</v>
      </c>
      <c r="K268" s="2" t="str">
        <f>J268*5557.31</f>
        <v>0</v>
      </c>
      <c r="L268" s="5"/>
    </row>
    <row r="269" spans="1:12" customHeight="1" ht="105" outlineLevel="5">
      <c r="A269" s="1"/>
      <c r="B269" s="1">
        <v>959800</v>
      </c>
      <c r="C269" s="1" t="s">
        <v>953</v>
      </c>
      <c r="D269" s="1" t="s">
        <v>954</v>
      </c>
      <c r="E269" s="2" t="s">
        <v>939</v>
      </c>
      <c r="F269" s="2" t="s">
        <v>955</v>
      </c>
      <c r="G269" s="2">
        <v>1</v>
      </c>
      <c r="H269" s="2">
        <v>0</v>
      </c>
      <c r="I269" s="1">
        <v>0</v>
      </c>
      <c r="J269" s="3" t="s">
        <v>18</v>
      </c>
      <c r="K269" s="2" t="str">
        <f>J269*5442.71</f>
        <v>0</v>
      </c>
      <c r="L269" s="5"/>
    </row>
    <row r="270" spans="1:12" customHeight="1" ht="105" outlineLevel="5">
      <c r="A270" s="1"/>
      <c r="B270" s="1">
        <v>959801</v>
      </c>
      <c r="C270" s="1" t="s">
        <v>956</v>
      </c>
      <c r="D270" s="1" t="s">
        <v>957</v>
      </c>
      <c r="E270" s="2" t="s">
        <v>939</v>
      </c>
      <c r="F270" s="2" t="s">
        <v>958</v>
      </c>
      <c r="G270" s="2">
        <v>9</v>
      </c>
      <c r="H270" s="2">
        <v>0</v>
      </c>
      <c r="I270" s="1">
        <v>0</v>
      </c>
      <c r="J270" s="3" t="s">
        <v>18</v>
      </c>
      <c r="K270" s="2" t="str">
        <f>J270*5023.91</f>
        <v>0</v>
      </c>
      <c r="L270" s="5"/>
    </row>
    <row r="271" spans="1:12" customHeight="1" ht="105" outlineLevel="5">
      <c r="A271" s="1"/>
      <c r="B271" s="1">
        <v>959802</v>
      </c>
      <c r="C271" s="1" t="s">
        <v>959</v>
      </c>
      <c r="D271" s="1" t="s">
        <v>960</v>
      </c>
      <c r="E271" s="2" t="s">
        <v>961</v>
      </c>
      <c r="F271" s="2" t="s">
        <v>962</v>
      </c>
      <c r="G271" s="2">
        <v>10</v>
      </c>
      <c r="H271" s="2">
        <v>0</v>
      </c>
      <c r="I271" s="1">
        <v>0</v>
      </c>
      <c r="J271" s="3" t="s">
        <v>18</v>
      </c>
      <c r="K271" s="2" t="str">
        <f>J271*2417.18</f>
        <v>0</v>
      </c>
      <c r="L271" s="5"/>
    </row>
    <row r="272" spans="1:12" customHeight="1" ht="105" outlineLevel="5">
      <c r="A272" s="1"/>
      <c r="B272" s="1">
        <v>959803</v>
      </c>
      <c r="C272" s="1" t="s">
        <v>963</v>
      </c>
      <c r="D272" s="1" t="s">
        <v>964</v>
      </c>
      <c r="E272" s="2" t="s">
        <v>965</v>
      </c>
      <c r="F272" s="2" t="s">
        <v>966</v>
      </c>
      <c r="G272" s="2">
        <v>6</v>
      </c>
      <c r="H272" s="2">
        <v>0</v>
      </c>
      <c r="I272" s="1">
        <v>0</v>
      </c>
      <c r="J272" s="3" t="s">
        <v>18</v>
      </c>
      <c r="K272" s="2" t="str">
        <f>J272*3098.59</f>
        <v>0</v>
      </c>
      <c r="L272" s="5"/>
    </row>
    <row r="273" spans="1:12" customHeight="1" ht="105" outlineLevel="5">
      <c r="A273" s="1"/>
      <c r="B273" s="1">
        <v>959809</v>
      </c>
      <c r="C273" s="1" t="s">
        <v>967</v>
      </c>
      <c r="D273" s="1" t="s">
        <v>968</v>
      </c>
      <c r="E273" s="2" t="s">
        <v>969</v>
      </c>
      <c r="F273" s="2" t="s">
        <v>970</v>
      </c>
      <c r="G273" s="2">
        <v>0</v>
      </c>
      <c r="H273" s="2">
        <v>0</v>
      </c>
      <c r="I273" s="1">
        <v>0</v>
      </c>
      <c r="J273" s="3" t="s">
        <v>18</v>
      </c>
      <c r="K273" s="2" t="str">
        <f>J273*2589.38</f>
        <v>0</v>
      </c>
      <c r="L273" s="5"/>
    </row>
    <row r="274" spans="1:12" customHeight="1" ht="105" outlineLevel="5">
      <c r="A274" s="1"/>
      <c r="B274" s="1">
        <v>959810</v>
      </c>
      <c r="C274" s="1" t="s">
        <v>971</v>
      </c>
      <c r="D274" s="1" t="s">
        <v>972</v>
      </c>
      <c r="E274" s="2" t="s">
        <v>973</v>
      </c>
      <c r="F274" s="2" t="s">
        <v>974</v>
      </c>
      <c r="G274" s="2">
        <v>0</v>
      </c>
      <c r="H274" s="2">
        <v>0</v>
      </c>
      <c r="I274" s="1">
        <v>0</v>
      </c>
      <c r="J274" s="3" t="s">
        <v>18</v>
      </c>
      <c r="K274" s="2" t="str">
        <f>J274*4186.37</f>
        <v>0</v>
      </c>
      <c r="L274" s="5"/>
    </row>
    <row r="275" spans="1:12" customHeight="1" ht="105" outlineLevel="5">
      <c r="A275" s="1"/>
      <c r="B275" s="1">
        <v>959812</v>
      </c>
      <c r="C275" s="1" t="s">
        <v>975</v>
      </c>
      <c r="D275" s="1" t="s">
        <v>976</v>
      </c>
      <c r="E275" s="2" t="s">
        <v>977</v>
      </c>
      <c r="F275" s="2" t="s">
        <v>978</v>
      </c>
      <c r="G275" s="2">
        <v>10</v>
      </c>
      <c r="H275" s="2">
        <v>0</v>
      </c>
      <c r="I275" s="1">
        <v>0</v>
      </c>
      <c r="J275" s="3" t="s">
        <v>18</v>
      </c>
      <c r="K275" s="2" t="str">
        <f>J275*2351.51</f>
        <v>0</v>
      </c>
      <c r="L275" s="5"/>
    </row>
    <row r="276" spans="1:12" customHeight="1" ht="105" outlineLevel="5">
      <c r="A276" s="1"/>
      <c r="B276" s="1">
        <v>959813</v>
      </c>
      <c r="C276" s="1" t="s">
        <v>979</v>
      </c>
      <c r="D276" s="1" t="s">
        <v>980</v>
      </c>
      <c r="E276" s="2" t="s">
        <v>981</v>
      </c>
      <c r="F276" s="2" t="s">
        <v>982</v>
      </c>
      <c r="G276" s="2">
        <v>8</v>
      </c>
      <c r="H276" s="2">
        <v>0</v>
      </c>
      <c r="I276" s="1">
        <v>0</v>
      </c>
      <c r="J276" s="3" t="s">
        <v>18</v>
      </c>
      <c r="K276" s="2" t="str">
        <f>J276*2230.09</f>
        <v>0</v>
      </c>
      <c r="L276" s="5"/>
    </row>
    <row r="277" spans="1:12" customHeight="1" ht="105" outlineLevel="5">
      <c r="A277" s="1"/>
      <c r="B277" s="1">
        <v>959814</v>
      </c>
      <c r="C277" s="1" t="s">
        <v>983</v>
      </c>
      <c r="D277" s="1" t="s">
        <v>984</v>
      </c>
      <c r="E277" s="2" t="s">
        <v>985</v>
      </c>
      <c r="F277" s="2" t="s">
        <v>986</v>
      </c>
      <c r="G277" s="2">
        <v>6</v>
      </c>
      <c r="H277" s="2">
        <v>0</v>
      </c>
      <c r="I277" s="1">
        <v>0</v>
      </c>
      <c r="J277" s="3" t="s">
        <v>18</v>
      </c>
      <c r="K277" s="2" t="str">
        <f>J277*3480.18</f>
        <v>0</v>
      </c>
      <c r="L277" s="5"/>
    </row>
    <row r="278" spans="1:12" customHeight="1" ht="105" outlineLevel="5">
      <c r="A278" s="1"/>
      <c r="B278" s="1">
        <v>959819</v>
      </c>
      <c r="C278" s="1" t="s">
        <v>987</v>
      </c>
      <c r="D278" s="1" t="s">
        <v>988</v>
      </c>
      <c r="E278" s="2" t="s">
        <v>989</v>
      </c>
      <c r="F278" s="2" t="s">
        <v>990</v>
      </c>
      <c r="G278" s="2">
        <v>9</v>
      </c>
      <c r="H278" s="2">
        <v>0</v>
      </c>
      <c r="I278" s="1">
        <v>0</v>
      </c>
      <c r="J278" s="3" t="s">
        <v>18</v>
      </c>
      <c r="K278" s="2" t="str">
        <f>J278*2413.45</f>
        <v>0</v>
      </c>
      <c r="L278" s="5"/>
    </row>
    <row r="279" spans="1:12" customHeight="1" ht="105" outlineLevel="5">
      <c r="A279" s="1"/>
      <c r="B279" s="1">
        <v>871618</v>
      </c>
      <c r="C279" s="1" t="s">
        <v>991</v>
      </c>
      <c r="D279" s="1" t="s">
        <v>992</v>
      </c>
      <c r="E279" s="2" t="s">
        <v>993</v>
      </c>
      <c r="F279" s="2"/>
      <c r="G279" s="2">
        <v>1</v>
      </c>
      <c r="H279" s="2">
        <v>0</v>
      </c>
      <c r="I279" s="1">
        <v>0</v>
      </c>
      <c r="J279" s="3" t="s">
        <v>18</v>
      </c>
      <c r="K279" s="2" t="str">
        <f>J279*0</f>
        <v>0</v>
      </c>
      <c r="L2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97:K97"/>
    <mergeCell ref="A137:K137"/>
    <mergeCell ref="A5:K5"/>
    <mergeCell ref="A98:K98"/>
    <mergeCell ref="A107:K107"/>
    <mergeCell ref="A127:K127"/>
    <mergeCell ref="A138:K138"/>
    <mergeCell ref="A153:K153"/>
    <mergeCell ref="A159:K1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2026-08-31T09:19:10+03:00</dcterms:created>
  <dcterms:modified xsi:type="dcterms:W3CDTF">2026-08-31T09:19:10+03:00</dcterms:modified>
  <dc:title>Untitled Spreadsheet</dc:title>
  <dc:description/>
  <dc:subject/>
  <cp:keywords/>
  <cp:category/>
</cp:coreProperties>
</file>