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<sst xmlns="http://schemas.openxmlformats.org/spreadsheetml/2006/main" uniqueCount="888">
  <si>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</si>
  <si>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</si>
  <si>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</si>
  <si>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</si>
  <si>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</si>
  <si>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</si>
  <si>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</si>
  <si>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</si>
  <si>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</si>
  <si>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</si>
  <si>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</si>
  <si>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</si>
  <si>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в сборе VALTEC</t>
  </si>
  <si>
    <t>VLC-811011</t>
  </si>
  <si>
    <t>VTc.588.EMNX.0603</t>
  </si>
  <si>
    <t>Коллекторная группа НЕРЖ, в сборе, 1"х3 вых. Евроконус 3/4"</t>
  </si>
  <si>
    <t>9 028.00 руб.</t>
  </si>
  <si>
    <t>&gt;25</t>
  </si>
  <si>
    <t>шт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</si>
  <si>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</si>
  <si>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</si>
  <si>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</si>
  <si>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</si>
  <si>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&gt;10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</si>
  <si>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</si>
  <si>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</si>
  <si>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</si>
  <si>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</si>
  <si>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</si>
  <si>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</si>
  <si>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</si>
  <si>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</si>
  <si>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</si>
  <si>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</si>
  <si>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</si>
  <si>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</si>
  <si>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</si>
  <si>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</si>
  <si>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</si>
  <si>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</si>
  <si>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</si>
  <si>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</si>
  <si>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</si>
  <si>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</si>
  <si>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</si>
  <si>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</si>
  <si>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</si>
  <si>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</si>
  <si>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</si>
  <si>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</si>
  <si>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</si>
  <si>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25 719.00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</si>
  <si>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</si>
  <si>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</si>
  <si>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</si>
  <si>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</si>
  <si>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</si>
  <si>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</si>
  <si>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</si>
  <si>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27 009.00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</si>
  <si>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</si>
  <si>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</si>
  <si>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</si>
  <si>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34 710.00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</si>
  <si>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</si>
  <si>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</si>
  <si>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</si>
  <si>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38 731.00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</si>
  <si>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</si>
  <si>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</si>
  <si>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</si>
  <si>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60 839.00 руб.</t>
  </si>
  <si>
    <t>VLC-811072</t>
  </si>
  <si>
    <t>VTc.582.EMNX.0603</t>
  </si>
  <si>
    <t>Блок колл. НЕРЖ с ручн. регулир. клап. 1"х3 вых Евроконус 3/4 (Италия)</t>
  </si>
  <si>
    <t>9 129.00 руб.</t>
  </si>
  <si>
    <t>VLC-811073</t>
  </si>
  <si>
    <t>VTc.582.EMNX.0604</t>
  </si>
  <si>
    <t>Блок колл. НЕРЖ с ручн. регулир. клап. 1"х4 вых Евроконус 3/4 (Италия)</t>
  </si>
  <si>
    <t>11 200.00 руб.</t>
  </si>
  <si>
    <t>Коллекторные группы в сборе VIEIR</t>
  </si>
  <si>
    <t>STP-210001</t>
  </si>
  <si>
    <t>VR113-02A</t>
  </si>
  <si>
    <t>Коллекторная группа с расход. 2-вых  НЕРЖ. С ТРОЙНИКАМИ 1"x3/4" "ViEiR" (5/1шт)</t>
  </si>
  <si>
    <t>4 959.33 руб.</t>
  </si>
  <si>
    <t>STP-210002</t>
  </si>
  <si>
    <t>VR113-03A</t>
  </si>
  <si>
    <t>Коллекторная группа с расход. 3-вых  НЕРЖ. С ТРОЙНИКАМИ 1"x3/4" "ViEiR" (5/1шт)</t>
  </si>
  <si>
    <t>5 853.31 руб.</t>
  </si>
  <si>
    <t>STP-210003</t>
  </si>
  <si>
    <t>VR113-04A</t>
  </si>
  <si>
    <t>Коллекторная группа с расход. 4-вых  НЕРЖ. С ТРОЙНИКАМИ 1"x3/4" "ViEiR" (5/1шт)</t>
  </si>
  <si>
    <t>6 854.40 руб.</t>
  </si>
  <si>
    <t>STP-210004</t>
  </si>
  <si>
    <t>VR113-05A</t>
  </si>
  <si>
    <t>Коллекторная группа с расход. 5-вых  НЕРЖ. С ТРОЙНИКАМИ 1"x3/4" "ViEiR" (5/1шт)</t>
  </si>
  <si>
    <t>7 770.70 руб.</t>
  </si>
  <si>
    <t>STP-210005</t>
  </si>
  <si>
    <t>VR113-06A</t>
  </si>
  <si>
    <t>Коллекторная группа с расход. 6-вых  НЕРЖ. С ТРОЙНИКАМИ 1"x3/4" "ViEiR" (5/1шт)</t>
  </si>
  <si>
    <t>8 749.48 руб.</t>
  </si>
  <si>
    <t>STP-210006</t>
  </si>
  <si>
    <t>VR113-07A</t>
  </si>
  <si>
    <t>Коллекторная группа с расход. 7-вых  НЕРЖ. С ТРОЙНИКАМИ 1"x3/4" "ViEiR" (5/1шт)</t>
  </si>
  <si>
    <t>9 646.44 руб.</t>
  </si>
  <si>
    <t>STP-210007</t>
  </si>
  <si>
    <t>VR113-08A</t>
  </si>
  <si>
    <t>Коллекторная группа с расход. 8-вых  НЕРЖ. С ТРОЙНИКАМИ 1"x3/4" "ViEiR" (3/1шт)</t>
  </si>
  <si>
    <t>10 605.88 руб.</t>
  </si>
  <si>
    <t>STP-210008</t>
  </si>
  <si>
    <t>VR113-09A</t>
  </si>
  <si>
    <t>Коллекторная группа с расход. 9-вых  НЕРЖ. С ТРОЙНИКАМИ 1"x3/4" "ViEiR" (3/1шт)</t>
  </si>
  <si>
    <t>11 602.50 руб.</t>
  </si>
  <si>
    <t>STP-210009</t>
  </si>
  <si>
    <t>VR113-10A</t>
  </si>
  <si>
    <t>Коллекторная группа с расход. 10-вых  НЕРЖ. С ТРОЙНИКАМИ 1"x3/4" "ViEiR" (2/1шт)</t>
  </si>
  <si>
    <t>12 698.79 руб.</t>
  </si>
  <si>
    <t>STP-210010</t>
  </si>
  <si>
    <t>VR113-11A</t>
  </si>
  <si>
    <t>Коллекторная группа с расход. 11-вых  НЕРЖ. С ТРОЙНИКАМИ 1"x3/4" "ViEiR" (2/1шт)</t>
  </si>
  <si>
    <t>13 748.96 руб.</t>
  </si>
  <si>
    <t>STP-210011</t>
  </si>
  <si>
    <t>VR113-12A</t>
  </si>
  <si>
    <t>Коллекторная группа с расход. 12-вых  НЕРЖ. С ТРОЙНИКАМИ 1"x3/4" "ViEiR" (2/1шт)</t>
  </si>
  <si>
    <t>14 776.83 руб.</t>
  </si>
  <si>
    <t>STP-210023</t>
  </si>
  <si>
    <t>VR115-02A</t>
  </si>
  <si>
    <t>Группа коллекторов БЕЗ РАСХОД 2 -вых. НЕРЖ. С ТРОЙНИКАМИ 1"x3/4" "ViEiR" (5/1шт)</t>
  </si>
  <si>
    <t>4 840.33 руб.</t>
  </si>
  <si>
    <t>STP-210024</t>
  </si>
  <si>
    <t>VR115-03A</t>
  </si>
  <si>
    <t>Группа коллекторов БЕЗ РАСХОД 3 -вых. НЕРЖ. С ТРОЙНИКАМИ 1"x3/4" "ViEiR" (5/1шт)</t>
  </si>
  <si>
    <t>5 772.99 руб.</t>
  </si>
  <si>
    <t>STP-210025</t>
  </si>
  <si>
    <t>VR115-04A</t>
  </si>
  <si>
    <t>Группа коллекторов БЕЗ РАСХОД 4 -вых. НЕРЖ. С ТРОЙНИКАМИ 1"x3/4" "ViEiR" (5/1шт)</t>
  </si>
  <si>
    <t>6 570.29 руб.</t>
  </si>
  <si>
    <t>STP-210026</t>
  </si>
  <si>
    <t>VR115-05A</t>
  </si>
  <si>
    <t>Группа коллекторов БЕЗ РАСХОД 5 -вых. НЕРЖ. С ТРОЙНИКАМИ 1"x3/4" "ViEiR" (5/1шт)</t>
  </si>
  <si>
    <t>7 401.80 руб.</t>
  </si>
  <si>
    <t>STP-210027</t>
  </si>
  <si>
    <t>VR115-06A</t>
  </si>
  <si>
    <t>Группа коллекторов БЕЗ РАСХОД 6 -вых. НЕРЖ. С ТРОЙНИКАМИ 1"x3/4" "ViEiR" (5/1шт)</t>
  </si>
  <si>
    <t>8 205.05 руб.</t>
  </si>
  <si>
    <t>STP-210028</t>
  </si>
  <si>
    <t>VR115-07A</t>
  </si>
  <si>
    <t>Группа коллекторов БЕЗ РАСХОД 7 -вых. НЕРЖ. С ТРОЙНИКАМИ 1"x3/4" "ViEiR" (5/1шт)</t>
  </si>
  <si>
    <t>9 164.49 руб.</t>
  </si>
  <si>
    <t>STP-210029</t>
  </si>
  <si>
    <t>VR115-08A</t>
  </si>
  <si>
    <t>Группа коллекторов БЕЗ РАСХОД 8 -вых. НЕРЖ. С ТРОЙНИКАМИ 1"x3/4" "ViEiR" (3/1шт)</t>
  </si>
  <si>
    <t>10 007.90 руб.</t>
  </si>
  <si>
    <t>STP-210030</t>
  </si>
  <si>
    <t>VR115-09A</t>
  </si>
  <si>
    <t>Группа коллекторов БЕЗ РАСХОД 9 -вых. НЕРЖ. С ТРОЙНИКАМИ 1"x3/4" "ViEiR" (3/1шт)</t>
  </si>
  <si>
    <t>10 842.39 руб.</t>
  </si>
  <si>
    <t>STP-210031</t>
  </si>
  <si>
    <t>VR115-10A</t>
  </si>
  <si>
    <t>Группа коллекторов БЕЗ РАСХОД 10 -вых. НЕРЖ. С ТРОЙНИКАМИ 1"x3/4" "ViEiR" (2/1шт)</t>
  </si>
  <si>
    <t>11 990.74 руб.</t>
  </si>
  <si>
    <t>STP-210032</t>
  </si>
  <si>
    <t>VR115-11A</t>
  </si>
  <si>
    <t>Группа коллекторов БЕЗ РАСХОД 11 -вых. НЕРЖ. С ТРОЙНИКАМИ 1"x3/4" "ViEiR" (2/1шт)</t>
  </si>
  <si>
    <t>13 017.11 руб.</t>
  </si>
  <si>
    <t>STP-210033</t>
  </si>
  <si>
    <t>VR115-12A</t>
  </si>
  <si>
    <t>Группа коллекторов БЕЗ РАСХОД 12 -вых. НЕРЖ. С ТРОЙНИКАМИ 1"x3/4" "ViEiR" (2/1шт)</t>
  </si>
  <si>
    <t>13 988.45 руб.</t>
  </si>
  <si>
    <t>STP-410004</t>
  </si>
  <si>
    <t>VR1102A</t>
  </si>
  <si>
    <t>Пара прямых шар. кранов полусгон с доп. упл 1" (синяя красная бабочки) (2/24шт)</t>
  </si>
  <si>
    <t>2 176.21 руб.</t>
  </si>
  <si>
    <t>пар</t>
  </si>
  <si>
    <t>STP-410005</t>
  </si>
  <si>
    <t>VR1102</t>
  </si>
  <si>
    <t>Пара прямых шар. кранов полусгон с доп. упл 1" С ТЕРМОМЕТРАМИ В КОРПУСЕ (2/24шт)</t>
  </si>
  <si>
    <t>2 951.20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</si>
  <si>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</si>
  <si>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</si>
  <si>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</si>
  <si>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3 681.56 руб.</t>
  </si>
  <si>
    <t>STP-410007</t>
  </si>
  <si>
    <t>VR1108</t>
  </si>
  <si>
    <t>ПАРА тройников коллек.в сборе1"(тройник,воздух. дренажный кран) (50/2шт)</t>
  </si>
  <si>
    <t>2 014.08 руб.</t>
  </si>
  <si>
    <t>VER-000129</t>
  </si>
  <si>
    <t>VR1102B</t>
  </si>
  <si>
    <t>Пара прямых шар. кранов полусгон с доп. упл 1" С ТЕРМОМЕТРАМИ  В СГОНАХ  (2/24шт)</t>
  </si>
  <si>
    <t>3 342.41 руб.</t>
  </si>
  <si>
    <t>Коллекторные группы в сборе ZEGOR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</si>
  <si>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</si>
  <si>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</si>
  <si>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</si>
  <si>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3 859.10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</si>
  <si>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</si>
  <si>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</si>
  <si>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</si>
  <si>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5 432.54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</si>
  <si>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</si>
  <si>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</si>
  <si>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</si>
  <si>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7 035.24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</si>
  <si>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</si>
  <si>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</si>
  <si>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</si>
  <si>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8 640.54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</si>
  <si>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</si>
  <si>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</si>
  <si>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</si>
  <si>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10 243.25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</si>
  <si>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</si>
  <si>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</si>
  <si>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</si>
  <si>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11 848.55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</si>
  <si>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</si>
  <si>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</si>
  <si>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</si>
  <si>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16 113.70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</si>
  <si>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</si>
  <si>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</si>
  <si>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</si>
  <si>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18 043.25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</si>
  <si>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</si>
  <si>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</si>
  <si>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</si>
  <si>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19 972.80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</si>
  <si>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</si>
  <si>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</si>
  <si>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</si>
  <si>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17 144.82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</si>
  <si>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</si>
  <si>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</si>
  <si>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</si>
  <si>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20 777.24 руб.</t>
  </si>
  <si>
    <t>ZGR-000086</t>
  </si>
  <si>
    <t>QS-2801</t>
  </si>
  <si>
    <t>Тройник коллекторный в сборе 1"(тройник,воздухоотвод., дренажный кран) ZEGOR (2/40шт)</t>
  </si>
  <si>
    <t>1 182.37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</si>
  <si>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</si>
  <si>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</si>
  <si>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</si>
  <si>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4 456.87 руб.</t>
  </si>
  <si>
    <t>Комплектующие для теплого пола</t>
  </si>
  <si>
    <t>Комплектующие для теплого пола VALTEC</t>
  </si>
  <si>
    <t>VLC-812001</t>
  </si>
  <si>
    <t>VT.AC674</t>
  </si>
  <si>
    <t>Настроечный клапан с расходомером, коллекторный, встраиваемый  (для VTc.596 и 586)</t>
  </si>
  <si>
    <t>1 386.00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</si>
  <si>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</si>
  <si>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</si>
  <si>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</si>
  <si>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</si>
  <si>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</si>
  <si>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</si>
  <si>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</si>
  <si>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</si>
  <si>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</si>
  <si>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</si>
  <si>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</si>
  <si>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</si>
  <si>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</si>
  <si>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</si>
  <si>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</si>
  <si>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</si>
  <si>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</si>
  <si>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</si>
  <si>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</si>
  <si>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</si>
  <si>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VLC-812010</t>
  </si>
  <si>
    <t>VT.0600.0.06</t>
  </si>
  <si>
    <t>Пробка для коллектора 1"    (50 /400шт)</t>
  </si>
  <si>
    <t>340.00 руб.</t>
  </si>
  <si>
    <t>&gt;100</t>
  </si>
  <si>
    <t>VLC-812011</t>
  </si>
  <si>
    <t>VT.0606.0.06</t>
  </si>
  <si>
    <t>Сдвоенный ниппель, 1"x1" (20 /160шт)</t>
  </si>
  <si>
    <t>1 295.00 руб.</t>
  </si>
  <si>
    <t>&gt;500</t>
  </si>
  <si>
    <t>VLC-812012</t>
  </si>
  <si>
    <t>VT.0606.0.07</t>
  </si>
  <si>
    <t>Сдвоенный ниппель, 1 1/4"x1 1/4"  (10 /80шт)</t>
  </si>
  <si>
    <t>3 184.00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</si>
  <si>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</si>
  <si>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</si>
  <si>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</si>
  <si>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</si>
  <si>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</si>
  <si>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</si>
  <si>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</si>
  <si>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6 621.00 руб.</t>
  </si>
  <si>
    <t>VLC-812015</t>
  </si>
  <si>
    <t>VT.0667T.0.0</t>
  </si>
  <si>
    <t>Байпас проходной 200 мм, (2 /16шт)</t>
  </si>
  <si>
    <t>9 399.00 руб.</t>
  </si>
  <si>
    <t>VLC-812016</t>
  </si>
  <si>
    <t>VT.4615.0.0</t>
  </si>
  <si>
    <t>Тройник с термометром Евроконус (10 /80шт)</t>
  </si>
  <si>
    <t>2 350.00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</si>
  <si>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</si>
  <si>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</si>
  <si>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</si>
  <si>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</si>
  <si>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</si>
  <si>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</si>
  <si>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</si>
  <si>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</si>
  <si>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</si>
  <si>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</si>
  <si>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</si>
  <si>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</si>
  <si>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&gt;50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</si>
  <si>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</si>
  <si>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</si>
  <si>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</si>
  <si>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</si>
  <si>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</si>
  <si>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</si>
  <si>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</si>
  <si>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</si>
  <si>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</si>
  <si>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</si>
  <si>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</si>
  <si>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</si>
  <si>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</si>
  <si>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</si>
  <si>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</si>
  <si>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</si>
  <si>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</si>
  <si>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</si>
  <si>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</si>
  <si>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</si>
  <si>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</si>
  <si>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</si>
  <si>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</si>
  <si>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</si>
  <si>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VLC-812026</t>
  </si>
  <si>
    <t>VT.VDC31.N.0</t>
  </si>
  <si>
    <t>Регулировочный клапан для коллекторных блоков    (50 /400шт)</t>
  </si>
  <si>
    <t>1 042.00 руб.</t>
  </si>
  <si>
    <t>VLC-812027</t>
  </si>
  <si>
    <t>VT.VTC30.N.0</t>
  </si>
  <si>
    <t>Запорный клапан для коллекторных блоков  (50 /400шт)</t>
  </si>
  <si>
    <t>1 230.00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</si>
  <si>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</si>
  <si>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</si>
  <si>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</si>
  <si>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</si>
  <si>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</si>
  <si>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</si>
  <si>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</si>
  <si>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6 733.00 руб.</t>
  </si>
  <si>
    <t>VLC-812030</t>
  </si>
  <si>
    <t>VT.ZC8.0.220</t>
  </si>
  <si>
    <t>Зональный коммуникатор 8 каналов, 220В</t>
  </si>
  <si>
    <t>7 135.00 руб.</t>
  </si>
  <si>
    <t>VLC-813007</t>
  </si>
  <si>
    <t>VT.TE3061.0.024</t>
  </si>
  <si>
    <t>Электротермический аналоговый сервопривод, питание 24 В, упр.напр. 0-10 В</t>
  </si>
  <si>
    <t>12 566.00 руб.</t>
  </si>
  <si>
    <t>VLC-900301</t>
  </si>
  <si>
    <t>VTc.720.NEI.0005</t>
  </si>
  <si>
    <t>Кран для коллектора (евроконус) 501398VA</t>
  </si>
  <si>
    <t>1 166.00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</si>
  <si>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</si>
  <si>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</si>
  <si>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</si>
  <si>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</si>
  <si>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&gt;1000</t>
  </si>
  <si>
    <t>VLC-900412</t>
  </si>
  <si>
    <t>VT.TE3043.0.024</t>
  </si>
  <si>
    <t>Электротермический двухпозиционный сервопривод, норм. ЗАКР., питание 24 В (м)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</si>
  <si>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</si>
  <si>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</si>
  <si>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</si>
  <si>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</si>
  <si>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</si>
  <si>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</si>
  <si>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</si>
  <si>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VLC-999107</t>
  </si>
  <si>
    <t>VT.AC712.0.0</t>
  </si>
  <si>
    <t>Хронотермостат электронный комнатный с Wi-Fi</t>
  </si>
  <si>
    <t>6 090.00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</si>
  <si>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</si>
  <si>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</si>
  <si>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</si>
  <si>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</si>
  <si>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</si>
  <si>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</si>
  <si>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</si>
  <si>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</si>
  <si>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</si>
  <si>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</si>
  <si>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</si>
  <si>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</si>
  <si>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</si>
  <si>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</si>
  <si>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</si>
  <si>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</si>
  <si>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</si>
  <si>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</si>
  <si>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</si>
  <si>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</si>
  <si>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</si>
  <si>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</si>
  <si>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</si>
  <si>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</si>
  <si>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</si>
  <si>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</si>
  <si>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</si>
  <si>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</si>
  <si>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</si>
  <si>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</si>
  <si>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</si>
  <si>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</si>
  <si>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</si>
  <si>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</si>
  <si>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Универсальный контроллер для смесительных узлов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</si>
  <si>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</si>
  <si>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</si>
  <si>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</si>
  <si>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</si>
  <si>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</si>
  <si>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</si>
  <si>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INS-130001</t>
  </si>
  <si>
    <t>VER830</t>
  </si>
  <si>
    <t>Ключ для коллекторных соединителей (24mm-27mm)" VIEIR" (90/1шт)</t>
  </si>
  <si>
    <t>486.41 руб.</t>
  </si>
  <si>
    <t>STP-310019</t>
  </si>
  <si>
    <t>VR1127</t>
  </si>
  <si>
    <t>Сервомотор для трёх-ходового клапана  ViEiR  (18/1шт)</t>
  </si>
  <si>
    <t>3 840.73 руб.</t>
  </si>
  <si>
    <t>STP-410001</t>
  </si>
  <si>
    <t>VR295</t>
  </si>
  <si>
    <t>Термостат комнатный с датчиком температуры пола (220в) (1/100шт)</t>
  </si>
  <si>
    <t>797.30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</si>
  <si>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</si>
  <si>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</si>
  <si>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</si>
  <si>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1 496.43 руб.</t>
  </si>
  <si>
    <t>STP-410003</t>
  </si>
  <si>
    <t>VR1114</t>
  </si>
  <si>
    <t>Сервопривод нормально закрытый (220В) (100шт)</t>
  </si>
  <si>
    <t>766.06 руб.</t>
  </si>
  <si>
    <t>STP-410008</t>
  </si>
  <si>
    <t>VR1110</t>
  </si>
  <si>
    <t>Клапан настроечн. коллекторн. с переходн. ниппелем (установочн.ком.) (30/1шт)</t>
  </si>
  <si>
    <t>388.24 руб.</t>
  </si>
  <si>
    <t>STP-410009</t>
  </si>
  <si>
    <t>VR1111</t>
  </si>
  <si>
    <t>Клапан регуровочн.коллекторн. с переходн. ниппелем (установочн.ком.) (30/1шт)</t>
  </si>
  <si>
    <t>380.80 руб.</t>
  </si>
  <si>
    <t>STP-410010</t>
  </si>
  <si>
    <t>VR1112</t>
  </si>
  <si>
    <t>Расходомер коллекторный с переходн. ниппелем (установочн.ком.) (50/1шт)</t>
  </si>
  <si>
    <t>420.96 руб.</t>
  </si>
  <si>
    <t>STP-410011</t>
  </si>
  <si>
    <t>VR1113</t>
  </si>
  <si>
    <t>Ниппель переходной с уплотнительн. кольцом  (200/10шт)</t>
  </si>
  <si>
    <t>126.44 руб.</t>
  </si>
  <si>
    <t>STP-410012</t>
  </si>
  <si>
    <t>VR1115</t>
  </si>
  <si>
    <t>Байпас коллектора  (32/1шт)</t>
  </si>
  <si>
    <t>1 511.30 руб.</t>
  </si>
  <si>
    <t>STP-410013</t>
  </si>
  <si>
    <t>VR1116</t>
  </si>
  <si>
    <t>Коллекторный тройник  (30/2шт)</t>
  </si>
  <si>
    <t>258.83 руб.</t>
  </si>
  <si>
    <t>STP-410015</t>
  </si>
  <si>
    <t>VR267</t>
  </si>
  <si>
    <t>Кронштейн раздвижной для крепления коллекторной группы (130-180)  КРУГ  (30/1пар)</t>
  </si>
  <si>
    <t>288.58 руб.</t>
  </si>
  <si>
    <t>STP-410016</t>
  </si>
  <si>
    <t>VR267A</t>
  </si>
  <si>
    <t>Кронштейн раздвижной для крепления коллекторной группы (130-180) КВАДРАТ  (30/1пар)</t>
  </si>
  <si>
    <t>359.98 руб.</t>
  </si>
  <si>
    <t>STP-410017</t>
  </si>
  <si>
    <t>VR405</t>
  </si>
  <si>
    <t>Хронотермостат программируемый комнатный без датч темп пола (220В) (1/100шт)</t>
  </si>
  <si>
    <t>1 457.75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</si>
  <si>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</si>
  <si>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</si>
  <si>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</si>
  <si>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1 926.31 руб.</t>
  </si>
  <si>
    <t>STP-410019</t>
  </si>
  <si>
    <t>VR407</t>
  </si>
  <si>
    <t>Хронотермостат сенсорный программируемый комнатный  (220В) (1/100шт)</t>
  </si>
  <si>
    <t>2 375.54 руб.</t>
  </si>
  <si>
    <t>STP-410020</t>
  </si>
  <si>
    <t>VR331</t>
  </si>
  <si>
    <t>Термостат накладной VR(1/50шт)</t>
  </si>
  <si>
    <t>1 018.94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</si>
  <si>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</si>
  <si>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</si>
  <si>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</si>
  <si>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</si>
  <si>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</si>
  <si>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</si>
  <si>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1 068.03 руб.</t>
  </si>
  <si>
    <t>STP-410023</t>
  </si>
  <si>
    <t>VR408</t>
  </si>
  <si>
    <t>Выносной датчик температуры телого пола (металл) VR (1/50шт)</t>
  </si>
  <si>
    <t>179.99 руб.</t>
  </si>
  <si>
    <t>STP-410024</t>
  </si>
  <si>
    <t>VR409</t>
  </si>
  <si>
    <t>Выносной датчик температуры телого пола (пластик) VR (1/50шт)</t>
  </si>
  <si>
    <t>196.35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</si>
  <si>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</si>
  <si>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</si>
  <si>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</si>
  <si>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</si>
  <si>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</si>
  <si>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</si>
  <si>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</si>
  <si>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</si>
  <si>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</si>
  <si>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</si>
  <si>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2 012.59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</si>
  <si>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</si>
  <si>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</si>
  <si>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</si>
  <si>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2 635.85 руб.</t>
  </si>
  <si>
    <t>STP-410031</t>
  </si>
  <si>
    <t>VR1132</t>
  </si>
  <si>
    <t>Гильза для погружного датчика температуры 1/2х150  ViEiR (1/30шт)</t>
  </si>
  <si>
    <t>468.56 руб.</t>
  </si>
  <si>
    <t>STP-410032</t>
  </si>
  <si>
    <t>VR1133</t>
  </si>
  <si>
    <t>Гильза для погружного датчика температуры 1/2х122мм ViEiR (1/30шт)</t>
  </si>
  <si>
    <t>443.28 руб.</t>
  </si>
  <si>
    <t>STP-410033</t>
  </si>
  <si>
    <t>VR1124</t>
  </si>
  <si>
    <t>Сервопривод термоэлектрический нормально открытый  ViEiR  (100/1шт)</t>
  </si>
  <si>
    <t>669.38 руб.</t>
  </si>
  <si>
    <t>STP-410034</t>
  </si>
  <si>
    <t>VR410</t>
  </si>
  <si>
    <t>Термостат электронный комнатный безпроводной "ViEiR" (30/1шт)</t>
  </si>
  <si>
    <t>4 575.55 руб.</t>
  </si>
  <si>
    <t>VER-000163</t>
  </si>
  <si>
    <t>VR1152</t>
  </si>
  <si>
    <t>Байпас коллекторный проходной с перепускным клапаном (30/1шт)</t>
  </si>
  <si>
    <t>3 996.91 руб.</t>
  </si>
  <si>
    <t>VER-000164</t>
  </si>
  <si>
    <t>VR1151</t>
  </si>
  <si>
    <t>Байпас коллекторный тупиковый c перепускным клапаном (30/1шт)</t>
  </si>
  <si>
    <t>3 052.35 руб.</t>
  </si>
  <si>
    <t>Насосно-смесительные узлы и клапана</t>
  </si>
  <si>
    <t>Насосно-смесительные узлы и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</si>
  <si>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</si>
  <si>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</si>
  <si>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</si>
  <si>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</si>
  <si>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</si>
  <si>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</si>
  <si>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</si>
  <si>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5 344.00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</si>
  <si>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</si>
  <si>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</si>
  <si>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</si>
  <si>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</si>
  <si>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</si>
  <si>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</si>
  <si>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</si>
  <si>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7 494.00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</si>
  <si>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</si>
  <si>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</si>
  <si>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</si>
  <si>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</si>
  <si>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</si>
  <si>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</si>
  <si>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</si>
  <si>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7 574.00 руб.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</si>
  <si>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</si>
  <si>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</si>
  <si>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</si>
  <si>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33 860.00 руб.</t>
  </si>
  <si>
    <t>VLC-813010</t>
  </si>
  <si>
    <t>VT.DUAL.0.130</t>
  </si>
  <si>
    <t>Насосно-смесительный узел без насоса, монтажная длина насоса 130 мм</t>
  </si>
  <si>
    <t>40 244.00 руб.</t>
  </si>
  <si>
    <t>VLC-813011</t>
  </si>
  <si>
    <t>VT.MIX03.G.05</t>
  </si>
  <si>
    <t>Трехходовой смесительный клапан 3/4</t>
  </si>
  <si>
    <t>8 556.00 руб.</t>
  </si>
  <si>
    <t>VLC-813012</t>
  </si>
  <si>
    <t>VT.MIX03.G.06</t>
  </si>
  <si>
    <t>Трехходовой смесительный клапан 1</t>
  </si>
  <si>
    <t>8 343.00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</si>
  <si>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</si>
  <si>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</si>
  <si>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</si>
  <si>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</si>
  <si>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</si>
  <si>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</si>
  <si>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</si>
  <si>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</si>
  <si>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</si>
  <si>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</si>
  <si>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</si>
  <si>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9 181.00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</si>
  <si>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</si>
  <si>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</si>
  <si>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</si>
  <si>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</si>
  <si>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</si>
  <si>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</si>
  <si>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</si>
  <si>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</si>
  <si>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</si>
  <si>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</si>
  <si>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</si>
  <si>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</si>
  <si>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</si>
  <si>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</si>
  <si>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</si>
  <si>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</si>
  <si>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</si>
  <si>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</si>
  <si>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</si>
  <si>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</si>
  <si>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</si>
  <si>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</si>
  <si>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</si>
  <si>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</si>
  <si>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</si>
  <si>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</si>
  <si>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</si>
  <si>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</si>
  <si>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</si>
  <si>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11 427.00 руб.</t>
  </si>
  <si>
    <t>VLC-813024</t>
  </si>
  <si>
    <t>VT.ICBOX.5.0</t>
  </si>
  <si>
    <t>Терморегулирующий монтажный комплект IC-BOX 5</t>
  </si>
  <si>
    <t>12 190.00 руб.</t>
  </si>
  <si>
    <t>VLC-813025</t>
  </si>
  <si>
    <t>VT.TECHNOMIX.0.130</t>
  </si>
  <si>
    <t>Насосно-смесительный узел, без насоса, монтажная длина насоса 130 мм (Италия)</t>
  </si>
  <si>
    <t>28 095.00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</si>
  <si>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</si>
  <si>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</si>
  <si>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</si>
  <si>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</si>
  <si>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</si>
  <si>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</si>
  <si>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</si>
  <si>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</si>
  <si>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ZGR-000088</t>
  </si>
  <si>
    <t>QS-6402</t>
  </si>
  <si>
    <t>Насосно-смесительный узел ZEGOR с нижним подводом, монтажная длина 130-180 мм (1/6шт)</t>
  </si>
  <si>
    <t>7 519.17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</si>
  <si>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</si>
  <si>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</si>
  <si>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</si>
  <si>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10 576.60 руб.</t>
  </si>
  <si>
    <t>Насосно-смесительные узлы и клапана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</si>
  <si>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</si>
  <si>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</si>
  <si>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</si>
  <si>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6 659.54 руб.</t>
  </si>
  <si>
    <t>STP-310002</t>
  </si>
  <si>
    <t>HS113</t>
  </si>
  <si>
    <t>Насосно-смес узел VR для ТП 3 термометра с термоголовкой без насоса монтаж длина 180мм (1/5шт)</t>
  </si>
  <si>
    <t>19 920.60 руб.</t>
  </si>
  <si>
    <t>STP-310003</t>
  </si>
  <si>
    <t>VR176</t>
  </si>
  <si>
    <t>Трехходовой смесительный клапан 3/4" VR (1/30шт)</t>
  </si>
  <si>
    <t>1 735.91 руб.</t>
  </si>
  <si>
    <t>STP-310004</t>
  </si>
  <si>
    <t>VR177</t>
  </si>
  <si>
    <t>Трехходовой смесительный клапан 1" VR (1/30шт)</t>
  </si>
  <si>
    <t>1 948.63 руб.</t>
  </si>
  <si>
    <t>STP-310005</t>
  </si>
  <si>
    <t>VR178</t>
  </si>
  <si>
    <t>Трехходовой смесительный клапан 1 1/4" VR (1/30шт)</t>
  </si>
  <si>
    <t>2 439.50 руб.</t>
  </si>
  <si>
    <t>STP-310006</t>
  </si>
  <si>
    <t>VR291</t>
  </si>
  <si>
    <t>Клапан трехходовой смесительный 1" VR (1/30шт)</t>
  </si>
  <si>
    <t>2 049.78 руб.</t>
  </si>
  <si>
    <t>STP-310007</t>
  </si>
  <si>
    <t>VR201</t>
  </si>
  <si>
    <t>Термостатический смесительный клапан 1" (35-60℃, KVS4,5)  VR (1/30шт)</t>
  </si>
  <si>
    <t>4 096.58 руб.</t>
  </si>
  <si>
    <t>STP-310008</t>
  </si>
  <si>
    <t>VR290</t>
  </si>
  <si>
    <t>Термоголовка с погружным датчиком 20-60 °С  ViEiR (1/50шт)</t>
  </si>
  <si>
    <t>862.75 руб.</t>
  </si>
  <si>
    <t>STP-310009</t>
  </si>
  <si>
    <t>VR294</t>
  </si>
  <si>
    <t>Сервомотор для смесительного клапана</t>
  </si>
  <si>
    <t>4 047.49 руб.</t>
  </si>
  <si>
    <t>STP-310010</t>
  </si>
  <si>
    <t>VR204-F</t>
  </si>
  <si>
    <t>Насосно-смес узел VR  с термосмес кл. 35"-60" монтаж длина 130-180мм (1/10шт)</t>
  </si>
  <si>
    <t>8 987.48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</si>
  <si>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</si>
  <si>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</si>
  <si>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</si>
  <si>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11 953.55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</si>
  <si>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</si>
  <si>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</si>
  <si>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</si>
  <si>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12 795.48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</si>
  <si>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</si>
  <si>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</si>
  <si>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</si>
  <si>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10 753.14 руб.</t>
  </si>
  <si>
    <t>STP-310014</t>
  </si>
  <si>
    <t>VR200</t>
  </si>
  <si>
    <t>Насосно-смес узел VR для ТП с термосмес клапан 35-60*С монтаж длина 130-180мм(1/10шт)</t>
  </si>
  <si>
    <t>8 361.24 руб.</t>
  </si>
  <si>
    <t>STP-310015</t>
  </si>
  <si>
    <t>VRT15</t>
  </si>
  <si>
    <t>Терморегулирующий монтажный комплект ViEiR (1/20шт)</t>
  </si>
  <si>
    <t>2 943.76 руб.</t>
  </si>
  <si>
    <t>STP-310016</t>
  </si>
  <si>
    <t>VR200-A</t>
  </si>
  <si>
    <t>Насосно-смес узел VR для ТП с термосмес клапан 20-45*С монтаж длина 130-180мм(1/10шт)</t>
  </si>
  <si>
    <t>8 374.63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</si>
  <si>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</si>
  <si>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</si>
  <si>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</si>
  <si>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</si>
  <si>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</si>
  <si>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</si>
  <si>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6 420.05 руб.</t>
  </si>
  <si>
    <t>Строительные материалы для теплого пола</t>
  </si>
  <si>
    <t>Строительные материалы VALTEC</t>
  </si>
  <si>
    <t>VLC-814001</t>
  </si>
  <si>
    <t>THZ.P.10</t>
  </si>
  <si>
    <t>Пластификатор (за 10 литров)</t>
  </si>
  <si>
    <t>3 280.00 руб.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</si>
  <si>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</si>
  <si>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</si>
  <si>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</si>
  <si>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</si>
  <si>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</si>
  <si>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</si>
  <si>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</si>
  <si>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</si>
  <si>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</si>
  <si>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</si>
  <si>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</si>
  <si>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</si>
  <si>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</si>
  <si>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</si>
  <si>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</si>
  <si>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</si>
  <si>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</si>
  <si>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</si>
  <si>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</si>
  <si>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VLC-814009</t>
  </si>
  <si>
    <t>THZ.LD.100.08.25</t>
  </si>
  <si>
    <t>Лента демпферная 100х8мм (за 25 погонных метров) (12шт)</t>
  </si>
  <si>
    <t>396.00 руб.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</si>
  <si>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</si>
  <si>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</si>
  <si>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</si>
  <si>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</si>
  <si>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</si>
  <si>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м2</t>
  </si>
  <si>
    <t>VLC-814011</t>
  </si>
  <si>
    <t>VT.491.S.16</t>
  </si>
  <si>
    <t>Фиксатор поворота, металл, 90град, для труб 16мм.  (5 /300шт)</t>
  </si>
  <si>
    <t>118.00 руб.</t>
  </si>
  <si>
    <t>&gt;5000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</si>
  <si>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</si>
  <si>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</si>
  <si>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</si>
  <si>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</si>
  <si>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</si>
  <si>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</si>
  <si>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</si>
  <si>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</si>
  <si>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</si>
  <si>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</si>
  <si>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</si>
  <si>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</si>
  <si>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</si>
  <si>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</si>
  <si>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</si>
  <si>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</si>
  <si>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</si>
  <si>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</si>
  <si>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</si>
  <si>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</si>
  <si>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</si>
  <si>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</si>
  <si>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</si>
  <si>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</si>
  <si>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Фитинги коллекторные евроконус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</si>
  <si>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</si>
  <si>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</si>
  <si>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</si>
  <si>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</si>
  <si>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315.00 руб.</t>
  </si>
  <si>
    <t>VLC-811002</t>
  </si>
  <si>
    <t>VT.4410.NVE.16</t>
  </si>
  <si>
    <t>Евроконус для пласт. трубы 16(2,0) (10 /180шт)</t>
  </si>
  <si>
    <t>207.00 руб.</t>
  </si>
  <si>
    <t>VLC-811003</t>
  </si>
  <si>
    <t>VT.4410.NE.20</t>
  </si>
  <si>
    <t>Евроконус для пласт. трубы 20(2,0)   (40 /320шт)</t>
  </si>
  <si>
    <t>369.00 руб.</t>
  </si>
  <si>
    <t>VLC-811004</t>
  </si>
  <si>
    <t>VT.4410.NVE.20</t>
  </si>
  <si>
    <t>Евроконус для пласт. трубы 20(2,0)     (10 /120шт)</t>
  </si>
  <si>
    <t>218.00 руб.</t>
  </si>
  <si>
    <t>VLC-811005</t>
  </si>
  <si>
    <t>VT.4420.NE.16</t>
  </si>
  <si>
    <t>Евроконус для м/п трубы 16(2,0)   (40 /320шт)</t>
  </si>
  <si>
    <t>VLC-811006</t>
  </si>
  <si>
    <t>VT.4420.NVE.16</t>
  </si>
  <si>
    <t>Евроконус для м/п трубы 16(2,0) (10 /180шт)</t>
  </si>
  <si>
    <t>194.00 руб.</t>
  </si>
  <si>
    <t>VLC-811007</t>
  </si>
  <si>
    <t>VT.4420.NE.20</t>
  </si>
  <si>
    <t>Евроконус для м/п трубы 20(2,0)   (40 /320шт)</t>
  </si>
  <si>
    <t>364.00 руб.</t>
  </si>
  <si>
    <t>VLC-811008</t>
  </si>
  <si>
    <t>VT.4420.NVE.20</t>
  </si>
  <si>
    <t>Евроконус для м/п трубы 20(2,0)    (10 /120шт)</t>
  </si>
  <si>
    <t>237.00 руб.</t>
  </si>
  <si>
    <t>VLC-811009</t>
  </si>
  <si>
    <t>VT.4430.NE.15</t>
  </si>
  <si>
    <t>Евроконус для медной трубы 15  (40 /320шт)</t>
  </si>
  <si>
    <t>289.00 руб.</t>
  </si>
  <si>
    <t>VLC-811010</t>
  </si>
  <si>
    <t>VT.4430.NVE.15</t>
  </si>
  <si>
    <t>Евроконус для медной трубы 15  (10 /180шт)</t>
  </si>
  <si>
    <t>163.00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</si>
  <si>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</si>
  <si>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</si>
  <si>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</si>
  <si>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</si>
  <si>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</si>
  <si>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VLC-811069</t>
  </si>
  <si>
    <t>VT.4410.NE.2028</t>
  </si>
  <si>
    <t>Евроконус для пласт. трубы 20(2,8)</t>
  </si>
  <si>
    <t>356.00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</si>
  <si>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</si>
  <si>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</si>
  <si>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</si>
  <si>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</si>
  <si>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142.80 руб.</t>
  </si>
  <si>
    <t>STP-110001</t>
  </si>
  <si>
    <t>VR110-16</t>
  </si>
  <si>
    <t>Евроконус для коллектора 3/4"-16*2,0 (5/200шт)</t>
  </si>
  <si>
    <t>123.46 руб.</t>
  </si>
  <si>
    <t>STP-110002</t>
  </si>
  <si>
    <t>VR110-20</t>
  </si>
  <si>
    <t>Евроконус для коллектора 3/4"-20*2,0 (5/200шт)</t>
  </si>
  <si>
    <t>136.85 руб.</t>
  </si>
  <si>
    <t>STP-110004</t>
  </si>
  <si>
    <t>VR111-16A</t>
  </si>
  <si>
    <t>Конус ХРОМ для коллектора 1/2 -16*2.0  ViEiR (10/500шт)</t>
  </si>
  <si>
    <t>117.51 руб.</t>
  </si>
  <si>
    <t>STP-110005</t>
  </si>
  <si>
    <t>VR111-16B</t>
  </si>
  <si>
    <t>Конус для коллектора 1/2 -16*2.2  ViEiR (5/400шт)</t>
  </si>
  <si>
    <t>104.13 руб.</t>
  </si>
  <si>
    <t>STP-110006</t>
  </si>
  <si>
    <t>VR1622</t>
  </si>
  <si>
    <t>Евроконус для коллектора 3/4 x16*2.2 пластиковое кольцо ViEiR (5/200шт)</t>
  </si>
  <si>
    <t>168.09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</si>
  <si>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</si>
  <si>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</si>
  <si>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</si>
  <si>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</si>
  <si>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</si>
  <si>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</si>
  <si>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153.21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</si>
  <si>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</si>
  <si>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</si>
  <si>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</si>
  <si>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</si>
  <si>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</si>
  <si>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</si>
  <si>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</si>
  <si>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137.09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</si>
  <si>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</si>
  <si>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</si>
  <si>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</si>
  <si>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167.43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</si>
  <si>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</si>
  <si>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</si>
  <si>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</si>
  <si>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148.24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</si>
</sst>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e2f_86a5_11e9_8101_003048fd731b_0794aeba_27b2_11ed_a30e_00259070b4871.jpeg"/><Relationship Id="rId2" Type="http://schemas.openxmlformats.org/officeDocument/2006/relationships/image" Target="../media/9ed4be31_86a5_11e9_8101_003048fd731b_0794aec1_27b2_11ed_a30e_00259070b4872.jpeg"/><Relationship Id="rId3" Type="http://schemas.openxmlformats.org/officeDocument/2006/relationships/image" Target="../media/9ed4be33_86a5_11e9_8101_003048fd731b_0794aec8_27b2_11ed_a30e_00259070b4873.jpeg"/><Relationship Id="rId4" Type="http://schemas.openxmlformats.org/officeDocument/2006/relationships/image" Target="../media/9ed4be35_86a5_11e9_8101_003048fd731b_0794aecf_27b2_11ed_a30e_00259070b4874.jpeg"/><Relationship Id="rId5" Type="http://schemas.openxmlformats.org/officeDocument/2006/relationships/image" Target="../media/9ed4be37_86a5_11e9_8101_003048fd731b_0794aed6_27b2_11ed_a30e_00259070b4875.jpeg"/><Relationship Id="rId6" Type="http://schemas.openxmlformats.org/officeDocument/2006/relationships/image" Target="../media/9ed4be39_86a5_11e9_8101_003048fd731b_0794aedd_27b2_11ed_a30e_00259070b4876.jpeg"/><Relationship Id="rId7" Type="http://schemas.openxmlformats.org/officeDocument/2006/relationships/image" Target="../media/9ed4be3b_86a5_11e9_8101_003048fd731b_0794aee4_27b2_11ed_a30e_00259070b4877.jpeg"/><Relationship Id="rId8" Type="http://schemas.openxmlformats.org/officeDocument/2006/relationships/image" Target="../media/9ed4be3d_86a5_11e9_8101_003048fd731b_0794aeb3_27b2_11ed_a30e_00259070b4878.jpeg"/><Relationship Id="rId9" Type="http://schemas.openxmlformats.org/officeDocument/2006/relationships/image" Target="../media/9ed4be47_86a5_11e9_8101_003048fd731b_0794ae7a_27b2_11ed_a30e_00259070b4879.jpeg"/><Relationship Id="rId10" Type="http://schemas.openxmlformats.org/officeDocument/2006/relationships/image" Target="../media/9ed4be63_86a5_11e9_8101_003048fd731b_0794ae34_27b2_11ed_a30e_00259070b48710.jpeg"/><Relationship Id="rId11" Type="http://schemas.openxmlformats.org/officeDocument/2006/relationships/image" Target="../media/9ed4be6b_86a5_11e9_8101_003048fd731b_0794ae11_27b2_11ed_a30e_00259070b48711.jpeg"/><Relationship Id="rId12" Type="http://schemas.openxmlformats.org/officeDocument/2006/relationships/image" Target="../media/9ed4be6f_86a5_11e9_8101_003048fd731b_0794ae1f_27b2_11ed_a30e_00259070b48712.jpeg"/><Relationship Id="rId13" Type="http://schemas.openxmlformats.org/officeDocument/2006/relationships/image" Target="../media/9ed4be73_86a5_11e9_8101_003048fd731b_0794ade7_27b2_11ed_a30e_00259070b48713.jpeg"/><Relationship Id="rId14" Type="http://schemas.openxmlformats.org/officeDocument/2006/relationships/image" Target="../media/9ed4be8a_86a5_11e9_8101_003048fd731b_0794aef2_27b2_11ed_a30e_00259070b48714.jpeg"/><Relationship Id="rId15" Type="http://schemas.openxmlformats.org/officeDocument/2006/relationships/image" Target="../media/d981da49_77ea_11ea_8111_003048fd731b_0794addf_27b2_11ed_a30e_00259070b48715.jpeg"/><Relationship Id="rId16" Type="http://schemas.openxmlformats.org/officeDocument/2006/relationships/image" Target="../media/d981da4b_77ea_11ea_8111_003048fd731b_0794ade1_27b2_11ed_a30e_00259070b48716.jpeg"/><Relationship Id="rId17" Type="http://schemas.openxmlformats.org/officeDocument/2006/relationships/image" Target="../media/9ed4be8f_86a5_11e9_8101_003048fd731b_0794adbf_27b2_11ed_a30e_00259070b48717.jpeg"/><Relationship Id="rId18" Type="http://schemas.openxmlformats.org/officeDocument/2006/relationships/image" Target="../media/9ed4be91_86a5_11e9_8101_003048fd731b_0794adc0_27b2_11ed_a30e_00259070b48718.jpeg"/><Relationship Id="rId19" Type="http://schemas.openxmlformats.org/officeDocument/2006/relationships/image" Target="../media/9ed4be93_86a5_11e9_8101_003048fd731b_0794adc1_27b2_11ed_a30e_00259070b48719.jpeg"/><Relationship Id="rId20" Type="http://schemas.openxmlformats.org/officeDocument/2006/relationships/image" Target="../media/9ed4be95_86a5_11e9_8101_003048fd731b_0794adc2_27b2_11ed_a30e_00259070b48720.jpeg"/><Relationship Id="rId21" Type="http://schemas.openxmlformats.org/officeDocument/2006/relationships/image" Target="../media/9ed4be97_86a5_11e9_8101_003048fd731b_0794adc3_27b2_11ed_a30e_00259070b48721.jpeg"/><Relationship Id="rId22" Type="http://schemas.openxmlformats.org/officeDocument/2006/relationships/image" Target="../media/9ed4be99_86a5_11e9_8101_003048fd731b_0794adc4_27b2_11ed_a30e_00259070b48722.jpeg"/><Relationship Id="rId23" Type="http://schemas.openxmlformats.org/officeDocument/2006/relationships/image" Target="../media/9ed4be9b_86a5_11e9_8101_003048fd731b_0794adc5_27b2_11ed_a30e_00259070b48723.jpeg"/><Relationship Id="rId24" Type="http://schemas.openxmlformats.org/officeDocument/2006/relationships/image" Target="../media/9ed4be9d_86a5_11e9_8101_003048fd731b_0794adc6_27b2_11ed_a30e_00259070b48724.jpeg"/><Relationship Id="rId25" Type="http://schemas.openxmlformats.org/officeDocument/2006/relationships/image" Target="../media/9ed4be9f_86a5_11e9_8101_003048fd731b_0794adbc_27b2_11ed_a30e_00259070b48725.jpeg"/><Relationship Id="rId26" Type="http://schemas.openxmlformats.org/officeDocument/2006/relationships/image" Target="../media/9ed4bea1_86a5_11e9_8101_003048fd731b_0794adbd_27b2_11ed_a30e_00259070b48726.jpeg"/><Relationship Id="rId27" Type="http://schemas.openxmlformats.org/officeDocument/2006/relationships/image" Target="../media/9ed4bea3_86a5_11e9_8101_003048fd731b_0794adbe_27b2_11ed_a30e_00259070b48727.jpeg"/><Relationship Id="rId28" Type="http://schemas.openxmlformats.org/officeDocument/2006/relationships/image" Target="../media/3c8d8bf8_68f5_11ea_8111_003048fd731b_0794ada9_27b2_11ed_a30e_00259070b48728.jpeg"/><Relationship Id="rId29" Type="http://schemas.openxmlformats.org/officeDocument/2006/relationships/image" Target="../media/3c8d8bfa_68f5_11ea_8111_003048fd731b_0794adaa_27b2_11ed_a30e_00259070b48729.jpeg"/><Relationship Id="rId30" Type="http://schemas.openxmlformats.org/officeDocument/2006/relationships/image" Target="../media/3c8d8bfc_68f5_11ea_8111_003048fd731b_0794adab_27b2_11ed_a30e_00259070b48730.jpeg"/><Relationship Id="rId31" Type="http://schemas.openxmlformats.org/officeDocument/2006/relationships/image" Target="../media/3c8d8bfe_68f5_11ea_8111_003048fd731b_0794adac_27b2_11ed_a30e_00259070b48731.jpeg"/><Relationship Id="rId32" Type="http://schemas.openxmlformats.org/officeDocument/2006/relationships/image" Target="../media/3c8d8c00_68f5_11ea_8111_003048fd731b_0794adad_27b2_11ed_a30e_00259070b48732.jpeg"/><Relationship Id="rId33" Type="http://schemas.openxmlformats.org/officeDocument/2006/relationships/image" Target="../media/3c8d8c02_68f5_11ea_8111_003048fd731b_0794adae_27b2_11ed_a30e_00259070b48733.jpeg"/><Relationship Id="rId34" Type="http://schemas.openxmlformats.org/officeDocument/2006/relationships/image" Target="../media/3c8d8c04_68f5_11ea_8111_003048fd731b_0794adaf_27b2_11ed_a30e_00259070b48734.jpeg"/><Relationship Id="rId35" Type="http://schemas.openxmlformats.org/officeDocument/2006/relationships/image" Target="../media/3c8d8c06_68f5_11ea_8111_003048fd731b_0794adb0_27b2_11ed_a30e_00259070b48735.jpeg"/><Relationship Id="rId36" Type="http://schemas.openxmlformats.org/officeDocument/2006/relationships/image" Target="../media/3c8d8c08_68f5_11ea_8111_003048fd731b_0794ada6_27b2_11ed_a30e_00259070b48736.jpeg"/><Relationship Id="rId37" Type="http://schemas.openxmlformats.org/officeDocument/2006/relationships/image" Target="../media/3c8d8c0a_68f5_11ea_8111_003048fd731b_0794ada7_27b2_11ed_a30e_00259070b48737.jpeg"/><Relationship Id="rId38" Type="http://schemas.openxmlformats.org/officeDocument/2006/relationships/image" Target="../media/3c8d8c0c_68f5_11ea_8111_003048fd731b_0794ada8_27b2_11ed_a30e_00259070b48738.jpeg"/><Relationship Id="rId39" Type="http://schemas.openxmlformats.org/officeDocument/2006/relationships/image" Target="../media/a5fad4da_86a5_11e9_8101_003048fd731b_0794add6_27b2_11ed_a30e_00259070b48739.jpeg"/><Relationship Id="rId40" Type="http://schemas.openxmlformats.org/officeDocument/2006/relationships/image" Target="../media/a5fad4de_86a5_11e9_8101_003048fd731b_1b5db488_f93d_11ef_a6ea_047c1617b14340.jpeg"/><Relationship Id="rId41" Type="http://schemas.openxmlformats.org/officeDocument/2006/relationships/image" Target="../media/a5fad4e2_86a5_11e9_8101_003048fd731b_0794add5_27b2_11ed_a30e_00259070b48741.jpeg"/><Relationship Id="rId42" Type="http://schemas.openxmlformats.org/officeDocument/2006/relationships/image" Target="../media/a5fad4e6_86a5_11e9_8101_003048fd731b_0794adc7_27b2_11ed_a30e_00259070b48742.jpeg"/><Relationship Id="rId43" Type="http://schemas.openxmlformats.org/officeDocument/2006/relationships/image" Target="../media/45f59294_4009_11ec_8370_003048fd731b_1b5db487_f93d_11ef_a6ea_047c1617b14343.jpeg"/><Relationship Id="rId44" Type="http://schemas.openxmlformats.org/officeDocument/2006/relationships/image" Target="../media/970a8f8e_ceda_11eb_82cb_003048fd731b_a1555446_602e_11ec_a20b_00259070b48744.jpeg"/><Relationship Id="rId45" Type="http://schemas.openxmlformats.org/officeDocument/2006/relationships/image" Target="../media/970a8f90_ceda_11eb_82cb_003048fd731b_a1555447_602e_11ec_a20b_00259070b48745.jpeg"/><Relationship Id="rId46" Type="http://schemas.openxmlformats.org/officeDocument/2006/relationships/image" Target="../media/970a8f92_ceda_11eb_82cb_003048fd731b_a1555448_602e_11ec_a20b_00259070b48746.jpeg"/><Relationship Id="rId47" Type="http://schemas.openxmlformats.org/officeDocument/2006/relationships/image" Target="../media/970a8f94_ceda_11eb_82cb_003048fd731b_a1555449_602e_11ec_a20b_00259070b48747.jpeg"/><Relationship Id="rId48" Type="http://schemas.openxmlformats.org/officeDocument/2006/relationships/image" Target="../media/970a8f96_ceda_11eb_82cb_003048fd731b_a155544a_602e_11ec_a20b_00259070b48748.jpeg"/><Relationship Id="rId49" Type="http://schemas.openxmlformats.org/officeDocument/2006/relationships/image" Target="../media/970a8f98_ceda_11eb_82cb_003048fd731b_a155544b_602e_11ec_a20b_00259070b48749.jpeg"/><Relationship Id="rId50" Type="http://schemas.openxmlformats.org/officeDocument/2006/relationships/image" Target="../media/970a8f9a_ceda_11eb_82cb_003048fd731b_a155544c_602e_11ec_a20b_00259070b48750.jpeg"/><Relationship Id="rId51" Type="http://schemas.openxmlformats.org/officeDocument/2006/relationships/image" Target="../media/970a8f9c_ceda_11eb_82cb_003048fd731b_a155544d_602e_11ec_a20b_00259070b48751.jpeg"/><Relationship Id="rId52" Type="http://schemas.openxmlformats.org/officeDocument/2006/relationships/image" Target="../media/970a8f9e_ceda_11eb_82cb_003048fd731b_a155544e_602e_11ec_a20b_00259070b48752.jpeg"/><Relationship Id="rId53" Type="http://schemas.openxmlformats.org/officeDocument/2006/relationships/image" Target="../media/970a8fa0_ceda_11eb_82cb_003048fd731b_a155544f_602e_11ec_a20b_00259070b48753.jpeg"/><Relationship Id="rId54" Type="http://schemas.openxmlformats.org/officeDocument/2006/relationships/image" Target="../media/970a8fa2_ceda_11eb_82cb_003048fd731b_a1555450_602e_11ec_a20b_00259070b48754.jpeg"/><Relationship Id="rId55" Type="http://schemas.openxmlformats.org/officeDocument/2006/relationships/image" Target="../media/970a8fa6_ceda_11eb_82cb_003048fd731b_a1555451_602e_11ec_a20b_00259070b48755.jpeg"/><Relationship Id="rId56" Type="http://schemas.openxmlformats.org/officeDocument/2006/relationships/image" Target="../media/04037912_ceeb_11eb_82cb_003048fd731b_a1555452_602e_11ec_a20b_00259070b48756.jpeg"/><Relationship Id="rId57" Type="http://schemas.openxmlformats.org/officeDocument/2006/relationships/image" Target="../media/a5fad469_86a5_11e9_8101_003048fd731b_634a429b_f953_11e9_810b_003048fd731b57.jpeg"/><Relationship Id="rId58" Type="http://schemas.openxmlformats.org/officeDocument/2006/relationships/image" Target="../media/a5fad46c_86a5_11e9_8101_003048fd731b_634a429c_f953_11e9_810b_003048fd731b58.jpeg"/><Relationship Id="rId59" Type="http://schemas.openxmlformats.org/officeDocument/2006/relationships/image" Target="../media/a5fad470_86a5_11e9_8101_003048fd731b_ab6a8910_27ae_11ed_a30e_00259070b48759.jpeg"/><Relationship Id="rId60" Type="http://schemas.openxmlformats.org/officeDocument/2006/relationships/image" Target="../media/a5fad473_86a5_11e9_8101_003048fd731b_ab6a891e_27ae_11ed_a30e_00259070b48760.jpeg"/><Relationship Id="rId61" Type="http://schemas.openxmlformats.org/officeDocument/2006/relationships/image" Target="../media/a5fad476_86a5_11e9_8101_003048fd731b_ab6a8917_27ae_11ed_a30e_00259070b48761.jpeg"/><Relationship Id="rId62" Type="http://schemas.openxmlformats.org/officeDocument/2006/relationships/image" Target="../media/a5fad479_86a5_11e9_8101_003048fd731b_ab6a8925_27ae_11ed_a30e_00259070b48762.jpeg"/><Relationship Id="rId63" Type="http://schemas.openxmlformats.org/officeDocument/2006/relationships/image" Target="../media/a5fad485_86a5_11e9_8101_003048fd731b_634a42a4_f953_11e9_810b_003048fd731b63.jpeg"/><Relationship Id="rId64" Type="http://schemas.openxmlformats.org/officeDocument/2006/relationships/image" Target="../media/a5fad489_86a5_11e9_8101_003048fd731b_634a42a5_f953_11e9_810b_003048fd731b64.jpeg"/><Relationship Id="rId65" Type="http://schemas.openxmlformats.org/officeDocument/2006/relationships/image" Target="../media/a5fad48d_86a5_11e9_8101_003048fd731b_634a42a6_f953_11e9_810b_003048fd731b65.jpeg"/><Relationship Id="rId66" Type="http://schemas.openxmlformats.org/officeDocument/2006/relationships/image" Target="../media/a5fad491_86a5_11e9_8101_003048fd731b_634a42a7_f953_11e9_810b_003048fd731b66.jpeg"/><Relationship Id="rId67" Type="http://schemas.openxmlformats.org/officeDocument/2006/relationships/image" Target="../media/a5fad495_86a5_11e9_8101_003048fd731b_ab6a893a_27ae_11ed_a30e_00259070b48767.jpeg"/><Relationship Id="rId68" Type="http://schemas.openxmlformats.org/officeDocument/2006/relationships/image" Target="../media/a5fad499_86a5_11e9_8101_003048fd731b_ab6a8964_27ae_11ed_a30e_00259070b48768.jpeg"/><Relationship Id="rId69" Type="http://schemas.openxmlformats.org/officeDocument/2006/relationships/image" Target="../media/a5fad49d_86a5_11e9_8101_003048fd731b_634a42aa_f953_11e9_810b_003048fd731b69.jpeg"/><Relationship Id="rId70" Type="http://schemas.openxmlformats.org/officeDocument/2006/relationships/image" Target="../media/a5fad4a1_86a5_11e9_8101_003048fd731b_ab6a895d_27ae_11ed_a30e_00259070b48770.jpeg"/><Relationship Id="rId71" Type="http://schemas.openxmlformats.org/officeDocument/2006/relationships/image" Target="../media/a5fad4a4_86a5_11e9_8101_003048fd731b_ab6a88f4_27ae_11ed_a30e_00259070b48771.jpeg"/><Relationship Id="rId72" Type="http://schemas.openxmlformats.org/officeDocument/2006/relationships/image" Target="../media/a5fad4a7_86a5_11e9_8101_003048fd731b_ab6a88ed_27ae_11ed_a30e_00259070b48772.jpeg"/><Relationship Id="rId73" Type="http://schemas.openxmlformats.org/officeDocument/2006/relationships/image" Target="../media/a5fad4aa_86a5_11e9_8101_003048fd731b_634a42ae_f953_11e9_810b_003048fd731b73.jpeg"/><Relationship Id="rId74" Type="http://schemas.openxmlformats.org/officeDocument/2006/relationships/image" Target="../media/a5fad4ad_86a5_11e9_8101_003048fd731b_ab6a8941_27ae_11ed_a30e_00259070b48774.jpeg"/><Relationship Id="rId75" Type="http://schemas.openxmlformats.org/officeDocument/2006/relationships/image" Target="../media/a5fad4b0_86a5_11e9_8101_003048fd731b_634a42b0_f953_11e9_810b_003048fd731b75.jpeg"/><Relationship Id="rId76" Type="http://schemas.openxmlformats.org/officeDocument/2006/relationships/image" Target="../media/a5fad4b3_86a5_11e9_8101_003048fd731b_ab6a88f3_27ae_11ed_a30e_00259070b48776.jpeg"/><Relationship Id="rId77" Type="http://schemas.openxmlformats.org/officeDocument/2006/relationships/image" Target="../media/a5fad4b6_86a5_11e9_8101_003048fd731b_ab6a896b_27ae_11ed_a30e_00259070b48777.jpeg"/><Relationship Id="rId78" Type="http://schemas.openxmlformats.org/officeDocument/2006/relationships/image" Target="../media/a5fad4b9_86a5_11e9_8101_003048fd731b_ab6a8909_27ae_11ed_a30e_00259070b48778.jpeg"/><Relationship Id="rId79" Type="http://schemas.openxmlformats.org/officeDocument/2006/relationships/image" Target="../media/a5fad4bb_86a5_11e9_8101_003048fd731b_634a42b4_f953_11e9_810b_003048fd731b79.jpeg"/><Relationship Id="rId80" Type="http://schemas.openxmlformats.org/officeDocument/2006/relationships/image" Target="../media/a5fad4bf_86a5_11e9_8101_003048fd731b_634a42b5_f953_11e9_810b_003048fd731b80.jpeg"/><Relationship Id="rId81" Type="http://schemas.openxmlformats.org/officeDocument/2006/relationships/image" Target="../media/a5fad4c3_86a5_11e9_8101_003048fd731b_634a42b6_f953_11e9_810b_003048fd731b81.jpeg"/><Relationship Id="rId82" Type="http://schemas.openxmlformats.org/officeDocument/2006/relationships/image" Target="../media/a5fad4c7_86a5_11e9_8101_003048fd731b_ab6a8948_27ae_11ed_a30e_00259070b48782.jpeg"/><Relationship Id="rId83" Type="http://schemas.openxmlformats.org/officeDocument/2006/relationships/image" Target="../media/a5fad4c9_86a5_11e9_8101_003048fd731b_ab6a894f_27ae_11ed_a30e_00259070b48783.jpeg"/><Relationship Id="rId84" Type="http://schemas.openxmlformats.org/officeDocument/2006/relationships/image" Target="../media/a5fad40f_86a5_11e9_8101_003048fd731b_ab6a8971_27ae_11ed_a30e_00259070b48784.jpeg"/><Relationship Id="rId85" Type="http://schemas.openxmlformats.org/officeDocument/2006/relationships/image" Target="../media/6d083a4f_3466_11eb_81f3_003048fd731b_ab6a88ee_27ae_11ed_a30e_00259070b48785.jpeg"/><Relationship Id="rId86" Type="http://schemas.openxmlformats.org/officeDocument/2006/relationships/image" Target="../media/6d083b2b_3466_11eb_81f3_003048fd731b_ab6a88ef_27ae_11ed_a30e_00259070b48786.jpeg"/><Relationship Id="rId87" Type="http://schemas.openxmlformats.org/officeDocument/2006/relationships/image" Target="../media/6d083b2d_3466_11eb_81f3_003048fd731b_ab6a88f0_27ae_11ed_a30e_00259070b48787.jpeg"/><Relationship Id="rId88" Type="http://schemas.openxmlformats.org/officeDocument/2006/relationships/image" Target="../media/6d083b2f_3466_11eb_81f3_003048fd731b_ab6a88f1_27ae_11ed_a30e_00259070b48788.jpeg"/><Relationship Id="rId89" Type="http://schemas.openxmlformats.org/officeDocument/2006/relationships/image" Target="../media/6d083b31_3466_11eb_81f3_003048fd731b_ab6a88f2_27ae_11ed_a30e_00259070b48789.jpeg"/><Relationship Id="rId90" Type="http://schemas.openxmlformats.org/officeDocument/2006/relationships/image" Target="../media/65637d88_0b65_11ec_831e_003048fd731b_ab6a8956_27ae_11ed_a30e_00259070b48790.jpeg"/><Relationship Id="rId91" Type="http://schemas.openxmlformats.org/officeDocument/2006/relationships/image" Target="../media/65637d8a_0b65_11ec_831e_003048fd731b_ab6a8933_27ae_11ed_a30e_00259070b48791.jpeg"/><Relationship Id="rId92" Type="http://schemas.openxmlformats.org/officeDocument/2006/relationships/image" Target="../media/65637d8c_0b65_11ec_831e_003048fd731b_ab6a892c_27ae_11ed_a30e_00259070b48792.jpeg"/><Relationship Id="rId93" Type="http://schemas.openxmlformats.org/officeDocument/2006/relationships/image" Target="../media/65637d8e_0b65_11ec_831e_003048fd731b_ab6a88fb_27ae_11ed_a30e_00259070b48793.jpeg"/><Relationship Id="rId94" Type="http://schemas.openxmlformats.org/officeDocument/2006/relationships/image" Target="../media/65637d90_0b65_11ec_831e_003048fd731b_ab6a8902_27ae_11ed_a30e_00259070b48794.jpeg"/><Relationship Id="rId95" Type="http://schemas.openxmlformats.org/officeDocument/2006/relationships/image" Target="../media/65637d92_0b65_11ec_831e_003048fd731b_b22990cc_27ae_11ed_a30e_00259070b48795.jpeg"/><Relationship Id="rId96" Type="http://schemas.openxmlformats.org/officeDocument/2006/relationships/image" Target="../media/65637d94_0b65_11ec_831e_003048fd731b_b22990da_27ae_11ed_a30e_00259070b48796.jpeg"/><Relationship Id="rId97" Type="http://schemas.openxmlformats.org/officeDocument/2006/relationships/image" Target="../media/65637d96_0b65_11ec_831e_003048fd731b_b22990be_27ae_11ed_a30e_00259070b48797.jpeg"/><Relationship Id="rId98" Type="http://schemas.openxmlformats.org/officeDocument/2006/relationships/image" Target="../media/65637d98_0b65_11ec_831e_003048fd731b_b22990d3_27ae_11ed_a30e_00259070b48798.jpeg"/><Relationship Id="rId99" Type="http://schemas.openxmlformats.org/officeDocument/2006/relationships/image" Target="../media/65637d9c_0b65_11ec_831e_003048fd731b_b22990c0_27ae_11ed_a30e_00259070b48799.jpeg"/><Relationship Id="rId100" Type="http://schemas.openxmlformats.org/officeDocument/2006/relationships/image" Target="../media/65637d9e_0b65_11ec_831e_003048fd731b_b22990c6_27ae_11ed_a30e_00259070b487100.jpeg"/><Relationship Id="rId101" Type="http://schemas.openxmlformats.org/officeDocument/2006/relationships/image" Target="../media/3650f780_f3c8_11eb_82ff_003048fd731b_b22990e9_27ae_11ed_a30e_00259070b487101.jpeg"/><Relationship Id="rId102" Type="http://schemas.openxmlformats.org/officeDocument/2006/relationships/image" Target="../media/1fcb312c_5f91_11eb_822d_003048fd731b_b22990fb_27ae_11ed_a30e_00259070b487102.jpeg"/><Relationship Id="rId103" Type="http://schemas.openxmlformats.org/officeDocument/2006/relationships/image" Target="../media/a5fad4ce_86a5_11e9_8101_003048fd731b_b22990f1_27ae_11ed_a30e_00259070b487103.jpeg"/><Relationship Id="rId104" Type="http://schemas.openxmlformats.org/officeDocument/2006/relationships/image" Target="../media/a5fad4d2_86a5_11e9_8101_003048fd731b_b22990f3_27ae_11ed_a30e_00259070b487104.jpeg"/><Relationship Id="rId105" Type="http://schemas.openxmlformats.org/officeDocument/2006/relationships/image" Target="../media/a5fad4d6_86a5_11e9_8101_003048fd731b_b22990ed_27ae_11ed_a30e_00259070b487105.jpeg"/><Relationship Id="rId106" Type="http://schemas.openxmlformats.org/officeDocument/2006/relationships/image" Target="../media/a5fad4ea_86a5_11e9_8101_003048fd731b_4829b045_0627_11ea_810d_003048fd731b106.jpeg"/><Relationship Id="rId107" Type="http://schemas.openxmlformats.org/officeDocument/2006/relationships/image" Target="../media/a5fad4ee_86a5_11e9_8101_003048fd731b_4829b046_0627_11ea_810d_003048fd731b107.jpeg"/><Relationship Id="rId108" Type="http://schemas.openxmlformats.org/officeDocument/2006/relationships/image" Target="../media/a5fad4f2_86a5_11e9_8101_003048fd731b_7e5777aa_c05c_11ee_a549_047c1617b143108.jpeg"/><Relationship Id="rId109" Type="http://schemas.openxmlformats.org/officeDocument/2006/relationships/image" Target="../media/a5fad4f6_86a5_11e9_8101_003048fd731b_b22990e1_27ae_11ed_a30e_00259070b487109.jpeg"/><Relationship Id="rId110" Type="http://schemas.openxmlformats.org/officeDocument/2006/relationships/image" Target="../media/a5fad4fa_86a5_11e9_8101_003048fd731b_b22990f0_27ae_11ed_a30e_00259070b487110.jpeg"/><Relationship Id="rId111" Type="http://schemas.openxmlformats.org/officeDocument/2006/relationships/image" Target="../media/a5fad4fe_86a5_11e9_8101_003048fd731b_b22990e4_27ae_11ed_a30e_00259070b487111.jpeg"/><Relationship Id="rId112" Type="http://schemas.openxmlformats.org/officeDocument/2006/relationships/image" Target="../media/a5fad506_86a5_11e9_8101_003048fd731b_b22990e6_27ae_11ed_a30e_00259070b487112.jpeg"/><Relationship Id="rId113" Type="http://schemas.openxmlformats.org/officeDocument/2006/relationships/image" Target="../media/a5fad50a_86a5_11e9_8101_003048fd731b_b22990e5_27ae_11ed_a30e_00259070b487113.jpeg"/><Relationship Id="rId114" Type="http://schemas.openxmlformats.org/officeDocument/2006/relationships/image" Target="../media/60a9d7a0_d53f_11e9_8109_003048fd731b_b22990f2_27ae_11ed_a30e_00259070b487114.jpeg"/><Relationship Id="rId115" Type="http://schemas.openxmlformats.org/officeDocument/2006/relationships/image" Target="../media/60a9d7a2_d53f_11e9_8109_003048fd731b_4829b03e_0627_11ea_810d_003048fd731b115.png"/><Relationship Id="rId116" Type="http://schemas.openxmlformats.org/officeDocument/2006/relationships/image" Target="../media/60a9d7a4_d53f_11e9_8109_003048fd731b_b22990f5_27ae_11ed_a30e_00259070b487116.jpeg"/><Relationship Id="rId117" Type="http://schemas.openxmlformats.org/officeDocument/2006/relationships/image" Target="../media/60a9d7a6_d53f_11e9_8109_003048fd731b_b22990ee_27ae_11ed_a30e_00259070b487117.jpeg"/><Relationship Id="rId118" Type="http://schemas.openxmlformats.org/officeDocument/2006/relationships/image" Target="../media/60a9d7a8_d53f_11e9_8109_003048fd731b_4829b04f_0627_11ea_810d_003048fd731b118.jpeg"/><Relationship Id="rId119" Type="http://schemas.openxmlformats.org/officeDocument/2006/relationships/image" Target="../media/60a9d7aa_d53f_11e9_8109_003048fd731b_b22990ef_27ae_11ed_a30e_00259070b487119.jpeg"/><Relationship Id="rId120" Type="http://schemas.openxmlformats.org/officeDocument/2006/relationships/image" Target="../media/60a9d7ac_d53f_11e9_8109_003048fd731b_b22990e2_27ae_11ed_a30e_00259070b487120.jpeg"/><Relationship Id="rId121" Type="http://schemas.openxmlformats.org/officeDocument/2006/relationships/image" Target="../media/60a9d7ae_d53f_11e9_8109_003048fd731b_b22990e3_27ae_11ed_a30e_00259070b487121.jpeg"/><Relationship Id="rId122" Type="http://schemas.openxmlformats.org/officeDocument/2006/relationships/image" Target="../media/b6b0b29f_419a_11ea_810f_003048fd731b_e24a3655_518a_11ea_810f_003048fd731b122.jpeg"/><Relationship Id="rId123" Type="http://schemas.openxmlformats.org/officeDocument/2006/relationships/image" Target="../media/b6b0b2a1_419a_11ea_810f_003048fd731b_e24a3656_518a_11ea_810f_003048fd731b123.jpeg"/><Relationship Id="rId124" Type="http://schemas.openxmlformats.org/officeDocument/2006/relationships/image" Target="../media/5eb5c5ec_7c9e_11ea_8111_003048fd731b_0794add3_27b2_11ed_a30e_00259070b487124.jpeg"/><Relationship Id="rId125" Type="http://schemas.openxmlformats.org/officeDocument/2006/relationships/image" Target="../media/32cd960e_0918_11eb_81b8_003048fd731b_b22990f7_27ae_11ed_a30e_00259070b487125.jpeg"/><Relationship Id="rId126" Type="http://schemas.openxmlformats.org/officeDocument/2006/relationships/image" Target="../media/b3858dbb_8705_11ea_8112_003048fd731b_b22990eb_27ae_11ed_a30e_00259070b487126.jpeg"/><Relationship Id="rId127" Type="http://schemas.openxmlformats.org/officeDocument/2006/relationships/image" Target="../media/b3858dbd_8705_11ea_8112_003048fd731b_b22990e7_27ae_11ed_a30e_00259070b487127.jpeg"/><Relationship Id="rId128" Type="http://schemas.openxmlformats.org/officeDocument/2006/relationships/image" Target="../media/1fcb3128_5f91_11eb_822d_003048fd731b_b22990ec_27ae_11ed_a30e_00259070b487128.jpeg"/><Relationship Id="rId129" Type="http://schemas.openxmlformats.org/officeDocument/2006/relationships/image" Target="../media/f093114a_0c72_11ec_8321_003048fd731b_f50daa05_c05b_11ee_a549_047c1617b143129.jpeg"/><Relationship Id="rId130" Type="http://schemas.openxmlformats.org/officeDocument/2006/relationships/image" Target="../media/f3d2eb80_7759_11ec_a212_00259070b487_7e5777b6_c05c_11ee_a549_047c1617b143130.jpeg"/><Relationship Id="rId131" Type="http://schemas.openxmlformats.org/officeDocument/2006/relationships/image" Target="../media/f3d2eb82_7759_11ec_a212_00259070b487_7e5777b3_c05c_11ee_a549_047c1617b143131.jpeg"/><Relationship Id="rId132" Type="http://schemas.openxmlformats.org/officeDocument/2006/relationships/image" Target="../media/a5fad3f8_86a5_11e9_8101_003048fd731b_ab6a8872_27ae_11ed_a30e_00259070b487132.jpeg"/><Relationship Id="rId133" Type="http://schemas.openxmlformats.org/officeDocument/2006/relationships/image" Target="../media/a5fad3fc_86a5_11e9_8101_003048fd731b_ab6a886b_27ae_11ed_a30e_00259070b487133.jpeg"/><Relationship Id="rId134" Type="http://schemas.openxmlformats.org/officeDocument/2006/relationships/image" Target="../media/a5fad400_86a5_11e9_8101_003048fd731b_ab6a8864_27ae_11ed_a30e_00259070b487134.jpeg"/><Relationship Id="rId135" Type="http://schemas.openxmlformats.org/officeDocument/2006/relationships/image" Target="../media/a5fad403_86a5_11e9_8101_003048fd731b_ab6a8879_27ae_11ed_a30e_00259070b487135.jpeg"/><Relationship Id="rId136" Type="http://schemas.openxmlformats.org/officeDocument/2006/relationships/image" Target="../media/a5fad407_86a5_11e9_8101_003048fd731b_ab6a8887_27ae_11ed_a30e_00259070b487136.jpeg"/><Relationship Id="rId137" Type="http://schemas.openxmlformats.org/officeDocument/2006/relationships/image" Target="../media/a5fad40b_86a5_11e9_8101_003048fd731b_ab6a8880_27ae_11ed_a30e_00259070b487137.jpeg"/><Relationship Id="rId138" Type="http://schemas.openxmlformats.org/officeDocument/2006/relationships/image" Target="../media/a5fad412_86a5_11e9_8101_003048fd731b_cbd0a3cd_27ac_11ed_a30e_00259070b487138.jpeg"/><Relationship Id="rId139" Type="http://schemas.openxmlformats.org/officeDocument/2006/relationships/image" Target="../media/a5fad417_86a5_11e9_8101_003048fd731b_ab6a883c_27ae_11ed_a30e_00259070b487139.jpeg"/><Relationship Id="rId140" Type="http://schemas.openxmlformats.org/officeDocument/2006/relationships/image" Target="../media/a5fad419_86a5_11e9_8101_003048fd731b_ab6a888e_27ae_11ed_a30e_00259070b487140.jpeg"/><Relationship Id="rId141" Type="http://schemas.openxmlformats.org/officeDocument/2006/relationships/image" Target="../media/a5fad41c_86a5_11e9_8101_003048fd731b_ab6a8895_27ae_11ed_a30e_00259070b487141.jpeg"/><Relationship Id="rId142" Type="http://schemas.openxmlformats.org/officeDocument/2006/relationships/image" Target="../media/a5fad41f_86a5_11e9_8101_003048fd731b_ab6a889c_27ae_11ed_a30e_00259070b487142.jpeg"/><Relationship Id="rId143" Type="http://schemas.openxmlformats.org/officeDocument/2006/relationships/image" Target="../media/a5fad422_86a5_11e9_8101_003048fd731b_ab6a88a3_27ae_11ed_a30e_00259070b487143.jpeg"/><Relationship Id="rId144" Type="http://schemas.openxmlformats.org/officeDocument/2006/relationships/image" Target="../media/a5fad425_86a5_11e9_8101_003048fd731b_ab6a88aa_27ae_11ed_a30e_00259070b487144.jpeg"/><Relationship Id="rId145" Type="http://schemas.openxmlformats.org/officeDocument/2006/relationships/image" Target="../media/a5fad428_86a5_11e9_8101_003048fd731b_ab6a88b1_27ae_11ed_a30e_00259070b487145.jpeg"/><Relationship Id="rId146" Type="http://schemas.openxmlformats.org/officeDocument/2006/relationships/image" Target="../media/a5fad42b_86a5_11e9_8101_003048fd731b_3d7c0738_0312_11ef_a5a4_047c1617b143146.jpeg"/><Relationship Id="rId147" Type="http://schemas.openxmlformats.org/officeDocument/2006/relationships/image" Target="../media/a5fad42d_86a5_11e9_8101_003048fd731b_3d7c073c_0312_11ef_a5a4_047c1617b143147.jpeg"/><Relationship Id="rId148" Type="http://schemas.openxmlformats.org/officeDocument/2006/relationships/image" Target="../media/a5fad42f_86a5_11e9_8101_003048fd731b_3d7c0740_0312_11ef_a5a4_047c1617b143148.jpeg"/><Relationship Id="rId149" Type="http://schemas.openxmlformats.org/officeDocument/2006/relationships/image" Target="../media/a5fad432_86a5_11e9_8101_003048fd731b_3d7c0734_0312_11ef_a5a4_047c1617b143149.jpeg"/><Relationship Id="rId150" Type="http://schemas.openxmlformats.org/officeDocument/2006/relationships/image" Target="../media/a5fad434_86a5_11e9_8101_003048fd731b_ab6a8841_27ae_11ed_a30e_00259070b487150.jpeg"/><Relationship Id="rId151" Type="http://schemas.openxmlformats.org/officeDocument/2006/relationships/image" Target="../media/a5fad437_86a5_11e9_8101_003048fd731b_ab6a8848_27ae_11ed_a30e_00259070b487151.jpeg"/><Relationship Id="rId152" Type="http://schemas.openxmlformats.org/officeDocument/2006/relationships/image" Target="../media/a5fad43a_86a5_11e9_8101_003048fd731b_ab6a884f_27ae_11ed_a30e_00259070b487152.jpeg"/><Relationship Id="rId153" Type="http://schemas.openxmlformats.org/officeDocument/2006/relationships/image" Target="../media/a5fad43d_86a5_11e9_8101_003048fd731b_ab6a8856_27ae_11ed_a30e_00259070b487153.jpeg"/><Relationship Id="rId154" Type="http://schemas.openxmlformats.org/officeDocument/2006/relationships/image" Target="../media/a5fad440_86a5_11e9_8101_003048fd731b_cbd0a3c6_27ac_11ed_a30e_00259070b487154.jpeg"/><Relationship Id="rId155" Type="http://schemas.openxmlformats.org/officeDocument/2006/relationships/image" Target="../media/a5fad442_86a5_11e9_8101_003048fd731b_4b3c1d7c_5a46_11f0_a775_047c1617b143155.jpeg"/><Relationship Id="rId156" Type="http://schemas.openxmlformats.org/officeDocument/2006/relationships/image" Target="../media/65637da0_0b65_11ec_831e_003048fd731b_ab6a8835_27ae_11ed_a30e_00259070b487156.jpeg"/><Relationship Id="rId157" Type="http://schemas.openxmlformats.org/officeDocument/2006/relationships/image" Target="../media/5540d78d_f5a0_11eb_8302_003048fd731b_a1555453_602e_11ec_a20b_00259070b487157.jpeg"/><Relationship Id="rId158" Type="http://schemas.openxmlformats.org/officeDocument/2006/relationships/image" Target="../media/a71fc60a_46c3_11ef_a5fc_047c1617b143_14e1e0cf_f93d_11ef_a6ea_047c1617b143158.jpeg"/><Relationship Id="rId159" Type="http://schemas.openxmlformats.org/officeDocument/2006/relationships/image" Target="../media/a5fad445_86a5_11e9_8101_003048fd731b_cbd0a3ad_27ac_11ed_a30e_00259070b487159.jpeg"/><Relationship Id="rId160" Type="http://schemas.openxmlformats.org/officeDocument/2006/relationships/image" Target="../media/a5fad449_86a5_11e9_8101_003048fd731b_cbd0a3b3_27ac_11ed_a30e_00259070b487160.jpeg"/><Relationship Id="rId161" Type="http://schemas.openxmlformats.org/officeDocument/2006/relationships/image" Target="../media/a5fad44d_86a5_11e9_8101_003048fd731b_cbd0a3b9_27ac_11ed_a30e_00259070b487161.jpeg"/><Relationship Id="rId162" Type="http://schemas.openxmlformats.org/officeDocument/2006/relationships/image" Target="../media/a5fad451_86a5_11e9_8101_003048fd731b_cbd0a3bb_27ac_11ed_a30e_00259070b487162.jpeg"/><Relationship Id="rId163" Type="http://schemas.openxmlformats.org/officeDocument/2006/relationships/image" Target="../media/a5fad455_86a5_11e9_8101_003048fd731b_cbd0a3bd_27ac_11ed_a30e_00259070b487163.jpeg"/><Relationship Id="rId164" Type="http://schemas.openxmlformats.org/officeDocument/2006/relationships/image" Target="../media/a5fad459_86a5_11e9_8101_003048fd731b_cbd0a3bc_27ac_11ed_a30e_00259070b487164.jpeg"/><Relationship Id="rId165" Type="http://schemas.openxmlformats.org/officeDocument/2006/relationships/image" Target="../media/a5fad45d_86a5_11e9_8101_003048fd731b_cbd0a3be_27ac_11ed_a30e_00259070b487165.jpeg"/><Relationship Id="rId166" Type="http://schemas.openxmlformats.org/officeDocument/2006/relationships/image" Target="../media/a5fad461_86a5_11e9_8101_003048fd731b_cbd0a3ba_27ac_11ed_a30e_00259070b487166.jpeg"/><Relationship Id="rId167" Type="http://schemas.openxmlformats.org/officeDocument/2006/relationships/image" Target="../media/a5fad465_86a5_11e9_8101_003048fd731b_e24a3654_518a_11ea_810f_003048fd731b167.jpeg"/><Relationship Id="rId168" Type="http://schemas.openxmlformats.org/officeDocument/2006/relationships/image" Target="../media/3e1e3585_f95c_11e9_810b_003048fd731b_3d7c0744_0312_11ef_a5a4_047c1617b143168.jpeg"/><Relationship Id="rId169" Type="http://schemas.openxmlformats.org/officeDocument/2006/relationships/image" Target="../media/3c8d8c24_68f5_11ea_8111_003048fd731b_cbd0a3b2_27ac_11ed_a30e_00259070b487169.jpeg"/><Relationship Id="rId170" Type="http://schemas.openxmlformats.org/officeDocument/2006/relationships/image" Target="../media/3c8d8c26_68f5_11ea_8111_003048fd731b_cbd0a3b1_27ac_11ed_a30e_00259070b487170.jpeg"/><Relationship Id="rId171" Type="http://schemas.openxmlformats.org/officeDocument/2006/relationships/image" Target="../media/3c8d8c28_68f5_11ea_8111_003048fd731b_cbd0a3b0_27ac_11ed_a30e_00259070b487171.jpeg"/><Relationship Id="rId172" Type="http://schemas.openxmlformats.org/officeDocument/2006/relationships/image" Target="../media/1c9ed0ed_aad1_11ea_8138_003048fd731b_cbd0a3af_27ac_11ed_a30e_00259070b487172.jpeg"/><Relationship Id="rId173" Type="http://schemas.openxmlformats.org/officeDocument/2006/relationships/image" Target="../media/5eb5c5ea_7c9e_11ea_8111_003048fd731b_cbd0a3b6_27ac_11ed_a30e_00259070b487173.jpeg"/><Relationship Id="rId174" Type="http://schemas.openxmlformats.org/officeDocument/2006/relationships/image" Target="../media/1fcb310e_5f91_11eb_822d_003048fd731b_cbd0a3ae_27ac_11ed_a30e_00259070b487174.jpeg"/><Relationship Id="rId175" Type="http://schemas.openxmlformats.org/officeDocument/2006/relationships/image" Target="../media/1fcb3110_5f91_11eb_822d_003048fd731b_7e577789_c05c_11ee_a549_047c1617b143175.jpeg"/><Relationship Id="rId176" Type="http://schemas.openxmlformats.org/officeDocument/2006/relationships/image" Target="../media/19176348_f3c8_11eb_82ff_003048fd731b_cbd0a3a3_27ac_11ed_a30e_00259070b487176.jpeg"/><Relationship Id="rId177" Type="http://schemas.openxmlformats.org/officeDocument/2006/relationships/image" Target="../media/a5fad51f_86a5_11e9_8101_003048fd731b_e872284e_518a_11ea_810f_003048fd731b177.jpeg"/><Relationship Id="rId178" Type="http://schemas.openxmlformats.org/officeDocument/2006/relationships/image" Target="../media/a5fad521_86a5_11e9_8101_003048fd731b_ab6a88e0_27ae_11ed_a30e_00259070b487178.jpeg"/><Relationship Id="rId179" Type="http://schemas.openxmlformats.org/officeDocument/2006/relationships/image" Target="../media/a5fad524_86a5_11e9_8101_003048fd731b_e872284b_518a_11ea_810f_003048fd731b179.jpeg"/><Relationship Id="rId180" Type="http://schemas.openxmlformats.org/officeDocument/2006/relationships/image" Target="../media/a5fad52d_86a5_11e9_8101_003048fd731b_7e5777ab_c05c_11ee_a549_047c1617b143180.jpeg"/><Relationship Id="rId181" Type="http://schemas.openxmlformats.org/officeDocument/2006/relationships/image" Target="../media/a5fad530_86a5_11e9_8101_003048fd731b_e872284f_518a_11ea_810f_003048fd731b181.jpeg"/><Relationship Id="rId182" Type="http://schemas.openxmlformats.org/officeDocument/2006/relationships/image" Target="../media/a5fad510_86a5_11e9_8101_003048fd731b_ab6a88e1_27ae_11ed_a30e_00259070b487182.jpeg"/><Relationship Id="rId183" Type="http://schemas.openxmlformats.org/officeDocument/2006/relationships/image" Target="../media/a5fad513_86a5_11e9_8101_003048fd731b_ab6a88e2_27ae_11ed_a30e_00259070b487183.jpeg"/><Relationship Id="rId184" Type="http://schemas.openxmlformats.org/officeDocument/2006/relationships/image" Target="../media/a5fad515_86a5_11e9_8101_003048fd731b_634a42d6_f953_11e9_810b_003048fd731b184.jpeg"/><Relationship Id="rId185" Type="http://schemas.openxmlformats.org/officeDocument/2006/relationships/image" Target="../media/a5fad517_86a5_11e9_8101_003048fd731b_ab6a88d2_27ae_11ed_a30e_00259070b487185.jpeg"/><Relationship Id="rId186" Type="http://schemas.openxmlformats.org/officeDocument/2006/relationships/image" Target="../media/a5fad51b_86a5_11e9_8101_003048fd731b_ab6a88d9_27ae_11ed_a30e_00259070b487186.jpeg"/><Relationship Id="rId187" Type="http://schemas.openxmlformats.org/officeDocument/2006/relationships/image" Target="../media/ac33c801_86a5_11e9_8101_003048fd731b_ab6a88d1_27ae_11ed_a30e_00259070b487187.jpeg"/><Relationship Id="rId188" Type="http://schemas.openxmlformats.org/officeDocument/2006/relationships/image" Target="../media/ac33c804_86a5_11e9_8101_003048fd731b_e8722851_518a_11ea_810f_003048fd731b188.jpeg"/><Relationship Id="rId189" Type="http://schemas.openxmlformats.org/officeDocument/2006/relationships/image" Target="../media/ac33c807_86a5_11e9_8101_003048fd731b_e8722852_518a_11ea_810f_003048fd731b189.jpeg"/><Relationship Id="rId190" Type="http://schemas.openxmlformats.org/officeDocument/2006/relationships/image" Target="../media/d981da6b_77ea_11ea_8111_003048fd731b_ab6a88e3_27ae_11ed_a30e_00259070b487190.jpeg"/><Relationship Id="rId191" Type="http://schemas.openxmlformats.org/officeDocument/2006/relationships/image" Target="../media/d981da6d_77ea_11ea_8111_003048fd731b_ab6a88cb_27ae_11ed_a30e_00259070b487191.jpeg"/><Relationship Id="rId192" Type="http://schemas.openxmlformats.org/officeDocument/2006/relationships/image" Target="../media/9ed4bdf9_86a5_11e9_8101_003048fd731b_634a4259_f953_11e9_810b_003048fd731b192.jpeg"/><Relationship Id="rId193" Type="http://schemas.openxmlformats.org/officeDocument/2006/relationships/image" Target="../media/9ed4bdfd_86a5_11e9_8101_003048fd731b_634a425a_f953_11e9_810b_003048fd731b193.jpeg"/><Relationship Id="rId194" Type="http://schemas.openxmlformats.org/officeDocument/2006/relationships/image" Target="../media/9ed4be01_86a5_11e9_8101_003048fd731b_634a425b_f953_11e9_810b_003048fd731b194.jpeg"/><Relationship Id="rId195" Type="http://schemas.openxmlformats.org/officeDocument/2006/relationships/image" Target="../media/9ed4be05_86a5_11e9_8101_003048fd731b_634a425c_f953_11e9_810b_003048fd731b195.jpeg"/><Relationship Id="rId196" Type="http://schemas.openxmlformats.org/officeDocument/2006/relationships/image" Target="../media/9ed4be09_86a5_11e9_8101_003048fd731b_634a425d_f953_11e9_810b_003048fd731b196.jpeg"/><Relationship Id="rId197" Type="http://schemas.openxmlformats.org/officeDocument/2006/relationships/image" Target="../media/9ed4be0d_86a5_11e9_8101_003048fd731b_634a425e_f953_11e9_810b_003048fd731b197.jpeg"/><Relationship Id="rId198" Type="http://schemas.openxmlformats.org/officeDocument/2006/relationships/image" Target="../media/9ed4be11_86a5_11e9_8101_003048fd731b_634a425f_f953_11e9_810b_003048fd731b198.jpeg"/><Relationship Id="rId199" Type="http://schemas.openxmlformats.org/officeDocument/2006/relationships/image" Target="../media/9ed4be15_86a5_11e9_8101_003048fd731b_634a4260_f953_11e9_810b_003048fd731b199.jpeg"/><Relationship Id="rId200" Type="http://schemas.openxmlformats.org/officeDocument/2006/relationships/image" Target="../media/9ed4be19_86a5_11e9_8101_003048fd731b_634a4261_f953_11e9_810b_003048fd731b200.jpeg"/><Relationship Id="rId201" Type="http://schemas.openxmlformats.org/officeDocument/2006/relationships/image" Target="../media/9ed4be1d_86a5_11e9_8101_003048fd731b_634a4262_f953_11e9_810b_003048fd731b201.jpeg"/><Relationship Id="rId202" Type="http://schemas.openxmlformats.org/officeDocument/2006/relationships/image" Target="../media/4687ac4b_ffbc_11e9_810b_003048fd731b_e24a3645_518a_11ea_810f_003048fd731b202.jpeg"/><Relationship Id="rId203" Type="http://schemas.openxmlformats.org/officeDocument/2006/relationships/image" Target="../media/d981da41_77ea_11ea_8111_003048fd731b_7d28a33f_7d94_11ea_8111_003048fd731b203.jpeg"/><Relationship Id="rId204" Type="http://schemas.openxmlformats.org/officeDocument/2006/relationships/image" Target="../media/d981da43_77ea_11ea_8111_003048fd731b_7d28a340_7d94_11ea_8111_003048fd731b204.jpeg"/><Relationship Id="rId205" Type="http://schemas.openxmlformats.org/officeDocument/2006/relationships/image" Target="../media/64b52edf_7c9e_11ea_8111_003048fd731b_cbd0a39f_27ac_11ed_a30e_00259070b487205.jpeg"/><Relationship Id="rId206" Type="http://schemas.openxmlformats.org/officeDocument/2006/relationships/image" Target="../media/9ed4be22_86a5_11e9_8101_003048fd731b_4829b01a_0627_11ea_810d_003048fd731b206.jpeg"/><Relationship Id="rId207" Type="http://schemas.openxmlformats.org/officeDocument/2006/relationships/image" Target="../media/9ed4be24_86a5_11e9_8101_003048fd731b_4829b01b_0627_11ea_810d_003048fd731b207.jpeg"/><Relationship Id="rId208" Type="http://schemas.openxmlformats.org/officeDocument/2006/relationships/image" Target="../media/1fcb3104_5f91_11eb_822d_003048fd731b_cbd0a39e_27ac_11ed_a30e_00259070b487208.jpeg"/><Relationship Id="rId209" Type="http://schemas.openxmlformats.org/officeDocument/2006/relationships/image" Target="../media/1fcb3106_5f91_11eb_822d_003048fd731b_cbd0a39d_27ac_11ed_a30e_00259070b487209.jpeg"/><Relationship Id="rId210" Type="http://schemas.openxmlformats.org/officeDocument/2006/relationships/image" Target="../media/1fcb3108_5f91_11eb_822d_003048fd731b_cbd0a39c_27ac_11ed_a30e_00259070b487210.jpeg"/><Relationship Id="rId211" Type="http://schemas.openxmlformats.org/officeDocument/2006/relationships/image" Target="../media/1fcb310a_5f91_11eb_822d_003048fd731b_cbd0a3a1_27ac_11ed_a30e_00259070b487211.jpeg"/><Relationship Id="rId212" Type="http://schemas.openxmlformats.org/officeDocument/2006/relationships/image" Target="../media/1fcb310c_5f91_11eb_822d_003048fd731b_cbd0a3a2_27ac_11ed_a30e_00259070b487212.jpeg"/><Relationship Id="rId213" Type="http://schemas.openxmlformats.org/officeDocument/2006/relationships/image" Target="../media/1fcb3102_5f91_11eb_822d_003048fd731b_cbd0a3a0_27ac_11ed_a30e_00259070b487213.jpeg"/><Relationship Id="rId214" Type="http://schemas.openxmlformats.org/officeDocument/2006/relationships/image" Target="../media/970a8fa4_ceda_11eb_82cb_003048fd731b_7e5777af_c05c_11ee_a549_047c1617b143214.jpeg"/><Relationship Id="rId215" Type="http://schemas.openxmlformats.org/officeDocument/2006/relationships/image" Target="../media/9e5408a9_9114_11ed_a3b7_047c1617b143_7e5777ad_c05c_11ee_a549_047c1617b143215.jpeg"/><Relationship Id="rId216" Type="http://schemas.openxmlformats.org/officeDocument/2006/relationships/image" Target="../media/9e5408ab_9114_11ed_a3b7_047c1617b143_7e5777ae_c05c_11ee_a549_047c1617b1432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6" name="Image_104" descr="Image_10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7" name="Image_105" descr="Image_10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8" name="Image_106" descr="Image_1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8" name="Image_159" descr="Image_15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9" name="Image_160" descr="Image_16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0" name="Image_161" descr="Image_16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1" name="Image_162" descr="Image_16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2" name="Image_163" descr="Image_16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3" name="Image_164" descr="Image_16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4" name="Image_165" descr="Image_16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5" name="Image_166" descr="Image_16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6" name="Image_167" descr="Image_16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7" name="Image_168" descr="Image_16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3" name="Image_175" descr="Image_17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4" name="Image_176" descr="Image_17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5" name="Image_177" descr="Image_17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6" name="Image_178" descr="Image_17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7" name="Image_179" descr="Image_17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8" name="Image_180" descr="Image_18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9" name="Image_181" descr="Image_18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0" name="Image_182" descr="Image_18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1" name="Image_183" descr="Image_18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2" name="Image_184" descr="Image_18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3" name="Image_185" descr="Image_18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4" name="Image_186" descr="Image_18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5" name="Image_187" descr="Image_18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6" name="Image_188" descr="Image_18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7" name="Image_191" descr="Image_19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8" name="Image_192" descr="Image_19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9" name="Image_193" descr="Image_19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2" name="Image_208" descr="Image_208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3" name="Image_209" descr="Image_209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4" name="Image_210" descr="Image_210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5" name="Image_211" descr="Image_211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6" name="Image_212" descr="Image_212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7" name="Image_213" descr="Image_213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8" name="Image_214" descr="Image_214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9" name="Image_215" descr="Image_215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0" name="Image_216" descr="Image_216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1" name="Image_217" descr="Image_217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2" name="Image_218" descr="Image_218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3" name="Image_219" descr="Image_219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4" name="Image_220" descr="Image_220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5" name="Image_222" descr="Image_22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6" name="Image_223" descr="Image_22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7" name="Image_224" descr="Image_22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8" name="Image_225" descr="Image_22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9" name="Image_226" descr="Image_22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0" name="Image_227" descr="Image_22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1" name="Image_228" descr="Image_22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2" name="Image_229" descr="Image_22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3" name="Image_230" descr="Image_23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4" name="Image_232" descr="Image_23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5" name="Image_233" descr="Image_23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6" name="Image_234" descr="Image_23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819275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J5*9028.00</f>
        <v>0</v>
      </c>
      <c r="L5" s="5"/>
    </row>
    <row r="6" spans="1:12" customHeight="1" ht="105" outlineLevel="4">
      <c r="A6" s="1"/>
      <c r="B6" s="1">
        <v>819276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J6*10818.00</f>
        <v>0</v>
      </c>
      <c r="L6" s="5"/>
    </row>
    <row r="7" spans="1:12" customHeight="1" ht="105" outlineLevel="4">
      <c r="A7" s="1"/>
      <c r="B7" s="1">
        <v>819277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7</v>
      </c>
      <c r="I7" s="1">
        <v>0</v>
      </c>
      <c r="J7" s="3" t="s">
        <v>18</v>
      </c>
      <c r="K7" s="2" t="str">
        <f>J7*11454.00</f>
        <v>0</v>
      </c>
      <c r="L7" s="5"/>
    </row>
    <row r="8" spans="1:12" customHeight="1" ht="105" outlineLevel="4">
      <c r="A8" s="1"/>
      <c r="B8" s="1">
        <v>819278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17</v>
      </c>
      <c r="I8" s="1">
        <v>0</v>
      </c>
      <c r="J8" s="3" t="s">
        <v>18</v>
      </c>
      <c r="K8" s="2" t="str">
        <f>J8*15110.00</f>
        <v>0</v>
      </c>
      <c r="L8" s="5"/>
    </row>
    <row r="9" spans="1:12" customHeight="1" ht="105" outlineLevel="4">
      <c r="A9" s="1"/>
      <c r="B9" s="1">
        <v>819279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1</v>
      </c>
      <c r="H9" s="2" t="s">
        <v>17</v>
      </c>
      <c r="I9" s="1">
        <v>0</v>
      </c>
      <c r="J9" s="3" t="s">
        <v>18</v>
      </c>
      <c r="K9" s="2" t="str">
        <f>J9*15669.00</f>
        <v>0</v>
      </c>
      <c r="L9" s="5"/>
    </row>
    <row r="10" spans="1:12" customHeight="1" ht="105" outlineLevel="4">
      <c r="A10" s="1"/>
      <c r="B10" s="1">
        <v>819280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1</v>
      </c>
      <c r="H10" s="2" t="s">
        <v>23</v>
      </c>
      <c r="I10" s="1">
        <v>0</v>
      </c>
      <c r="J10" s="3" t="s">
        <v>18</v>
      </c>
      <c r="K10" s="2" t="str">
        <f>J10*17915.00</f>
        <v>0</v>
      </c>
      <c r="L10" s="5"/>
    </row>
    <row r="11" spans="1:12" customHeight="1" ht="105" outlineLevel="4">
      <c r="A11" s="1"/>
      <c r="B11" s="1">
        <v>819281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23</v>
      </c>
      <c r="I11" s="1">
        <v>0</v>
      </c>
      <c r="J11" s="3" t="s">
        <v>18</v>
      </c>
      <c r="K11" s="2" t="str">
        <f>J11*20197.00</f>
        <v>0</v>
      </c>
      <c r="L11" s="5"/>
    </row>
    <row r="12" spans="1:12" customHeight="1" ht="105" outlineLevel="4">
      <c r="A12" s="1"/>
      <c r="B12" s="1">
        <v>819282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10</v>
      </c>
      <c r="I12" s="1">
        <v>0</v>
      </c>
      <c r="J12" s="3" t="s">
        <v>18</v>
      </c>
      <c r="K12" s="2" t="str">
        <f>J12*22265.00</f>
        <v>0</v>
      </c>
      <c r="L12" s="5"/>
    </row>
    <row r="13" spans="1:12" customHeight="1" ht="105" outlineLevel="4">
      <c r="A13" s="1"/>
      <c r="B13" s="1">
        <v>819287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2</v>
      </c>
      <c r="H13" s="2" t="s">
        <v>17</v>
      </c>
      <c r="I13" s="1">
        <v>0</v>
      </c>
      <c r="J13" s="3" t="s">
        <v>18</v>
      </c>
      <c r="K13" s="2" t="str">
        <f>J13*25719.00</f>
        <v>0</v>
      </c>
      <c r="L13" s="5"/>
    </row>
    <row r="14" spans="1:12" customHeight="1" ht="105" outlineLevel="4">
      <c r="A14" s="1"/>
      <c r="B14" s="1">
        <v>819301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J14*20474.00</f>
        <v>0</v>
      </c>
      <c r="L14" s="5"/>
    </row>
    <row r="15" spans="1:12" customHeight="1" ht="105" outlineLevel="4">
      <c r="A15" s="1"/>
      <c r="B15" s="1">
        <v>819305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7</v>
      </c>
      <c r="I15" s="1">
        <v>0</v>
      </c>
      <c r="J15" s="3" t="s">
        <v>18</v>
      </c>
      <c r="K15" s="2" t="str">
        <f>J15*27009.00</f>
        <v>0</v>
      </c>
      <c r="L15" s="5"/>
    </row>
    <row r="16" spans="1:12" customHeight="1" ht="105" outlineLevel="4">
      <c r="A16" s="1"/>
      <c r="B16" s="1">
        <v>819307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5</v>
      </c>
      <c r="I16" s="1">
        <v>0</v>
      </c>
      <c r="J16" s="3" t="s">
        <v>18</v>
      </c>
      <c r="K16" s="2" t="str">
        <f>J16*34710.00</f>
        <v>0</v>
      </c>
      <c r="L16" s="5"/>
    </row>
    <row r="17" spans="1:12" customHeight="1" ht="105" outlineLevel="4">
      <c r="A17" s="1"/>
      <c r="B17" s="1">
        <v>819309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6</v>
      </c>
      <c r="I17" s="1">
        <v>0</v>
      </c>
      <c r="J17" s="3" t="s">
        <v>18</v>
      </c>
      <c r="K17" s="2" t="str">
        <f>J17*38731.00</f>
        <v>0</v>
      </c>
      <c r="L17" s="5"/>
    </row>
    <row r="18" spans="1:12" customHeight="1" ht="105" outlineLevel="4">
      <c r="A18" s="1"/>
      <c r="B18" s="1">
        <v>819320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3</v>
      </c>
      <c r="I18" s="1">
        <v>0</v>
      </c>
      <c r="J18" s="3" t="s">
        <v>18</v>
      </c>
      <c r="K18" s="2" t="str">
        <f>J18*60839.00</f>
        <v>0</v>
      </c>
      <c r="L18" s="5"/>
    </row>
    <row r="19" spans="1:12" customHeight="1" ht="105" outlineLevel="4">
      <c r="A19" s="1"/>
      <c r="B19" s="1">
        <v>825466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 t="s">
        <v>23</v>
      </c>
      <c r="I19" s="1">
        <v>0</v>
      </c>
      <c r="J19" s="3" t="s">
        <v>18</v>
      </c>
      <c r="K19" s="2" t="str">
        <f>J19*9129.00</f>
        <v>0</v>
      </c>
      <c r="L19" s="5"/>
    </row>
    <row r="20" spans="1:12" customHeight="1" ht="105" outlineLevel="4">
      <c r="A20" s="1"/>
      <c r="B20" s="1">
        <v>825467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3</v>
      </c>
      <c r="I20" s="1">
        <v>0</v>
      </c>
      <c r="J20" s="3" t="s">
        <v>18</v>
      </c>
      <c r="K20" s="2" t="str">
        <f>J20*11200.00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819322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2</v>
      </c>
      <c r="H22" s="2">
        <v>0</v>
      </c>
      <c r="I22" s="1">
        <v>0</v>
      </c>
      <c r="J22" s="3" t="s">
        <v>18</v>
      </c>
      <c r="K22" s="2" t="str">
        <f>J22*4959.33</f>
        <v>0</v>
      </c>
      <c r="L22" s="5"/>
    </row>
    <row r="23" spans="1:12" customHeight="1" ht="105" outlineLevel="4">
      <c r="A23" s="1"/>
      <c r="B23" s="1">
        <v>819323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4</v>
      </c>
      <c r="H23" s="2">
        <v>0</v>
      </c>
      <c r="I23" s="1">
        <v>0</v>
      </c>
      <c r="J23" s="3" t="s">
        <v>18</v>
      </c>
      <c r="K23" s="2" t="str">
        <f>J23*5853.31</f>
        <v>0</v>
      </c>
      <c r="L23" s="5"/>
    </row>
    <row r="24" spans="1:12" customHeight="1" ht="105" outlineLevel="4">
      <c r="A24" s="1"/>
      <c r="B24" s="1">
        <v>819324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0</v>
      </c>
      <c r="H24" s="2">
        <v>0</v>
      </c>
      <c r="I24" s="1">
        <v>0</v>
      </c>
      <c r="J24" s="3" t="s">
        <v>18</v>
      </c>
      <c r="K24" s="2" t="str">
        <f>J24*6854.40</f>
        <v>0</v>
      </c>
      <c r="L24" s="5"/>
    </row>
    <row r="25" spans="1:12" customHeight="1" ht="105" outlineLevel="4">
      <c r="A25" s="1"/>
      <c r="B25" s="1">
        <v>819325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J25*7770.70</f>
        <v>0</v>
      </c>
      <c r="L25" s="5"/>
    </row>
    <row r="26" spans="1:12" customHeight="1" ht="105" outlineLevel="4">
      <c r="A26" s="1"/>
      <c r="B26" s="1">
        <v>819326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1</v>
      </c>
      <c r="H26" s="2">
        <v>0</v>
      </c>
      <c r="I26" s="1">
        <v>0</v>
      </c>
      <c r="J26" s="3" t="s">
        <v>18</v>
      </c>
      <c r="K26" s="2" t="str">
        <f>J26*8749.48</f>
        <v>0</v>
      </c>
      <c r="L26" s="5"/>
    </row>
    <row r="27" spans="1:12" customHeight="1" ht="105" outlineLevel="4">
      <c r="A27" s="1"/>
      <c r="B27" s="1">
        <v>819327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2</v>
      </c>
      <c r="H27" s="2">
        <v>0</v>
      </c>
      <c r="I27" s="1">
        <v>0</v>
      </c>
      <c r="J27" s="3" t="s">
        <v>18</v>
      </c>
      <c r="K27" s="2" t="str">
        <f>J27*9646.44</f>
        <v>0</v>
      </c>
      <c r="L27" s="5"/>
    </row>
    <row r="28" spans="1:12" customHeight="1" ht="105" outlineLevel="4">
      <c r="A28" s="1"/>
      <c r="B28" s="1">
        <v>819328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1</v>
      </c>
      <c r="H28" s="2">
        <v>0</v>
      </c>
      <c r="I28" s="1">
        <v>0</v>
      </c>
      <c r="J28" s="3" t="s">
        <v>18</v>
      </c>
      <c r="K28" s="2" t="str">
        <f>J28*10605.88</f>
        <v>0</v>
      </c>
      <c r="L28" s="5"/>
    </row>
    <row r="29" spans="1:12" customHeight="1" ht="105" outlineLevel="4">
      <c r="A29" s="1"/>
      <c r="B29" s="1">
        <v>819329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>
        <v>0</v>
      </c>
      <c r="I29" s="1">
        <v>0</v>
      </c>
      <c r="J29" s="3" t="s">
        <v>18</v>
      </c>
      <c r="K29" s="2" t="str">
        <f>J29*11602.50</f>
        <v>0</v>
      </c>
      <c r="L29" s="5"/>
    </row>
    <row r="30" spans="1:12" customHeight="1" ht="105" outlineLevel="4">
      <c r="A30" s="1"/>
      <c r="B30" s="1">
        <v>819330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1</v>
      </c>
      <c r="H30" s="2">
        <v>0</v>
      </c>
      <c r="I30" s="1">
        <v>0</v>
      </c>
      <c r="J30" s="3" t="s">
        <v>18</v>
      </c>
      <c r="K30" s="2" t="str">
        <f>J30*12698.79</f>
        <v>0</v>
      </c>
      <c r="L30" s="5"/>
    </row>
    <row r="31" spans="1:12" customHeight="1" ht="105" outlineLevel="4">
      <c r="A31" s="1"/>
      <c r="B31" s="1">
        <v>819331</v>
      </c>
      <c r="C31" s="1" t="s">
        <v>117</v>
      </c>
      <c r="D31" s="1" t="s">
        <v>118</v>
      </c>
      <c r="E31" s="2" t="s">
        <v>119</v>
      </c>
      <c r="F31" s="2" t="s">
        <v>120</v>
      </c>
      <c r="G31" s="2">
        <v>0</v>
      </c>
      <c r="H31" s="2">
        <v>0</v>
      </c>
      <c r="I31" s="1">
        <v>0</v>
      </c>
      <c r="J31" s="3" t="s">
        <v>18</v>
      </c>
      <c r="K31" s="2" t="str">
        <f>J31*13748.96</f>
        <v>0</v>
      </c>
      <c r="L31" s="5"/>
    </row>
    <row r="32" spans="1:12" customHeight="1" ht="105" outlineLevel="4">
      <c r="A32" s="1"/>
      <c r="B32" s="1">
        <v>819332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1</v>
      </c>
      <c r="H32" s="2">
        <v>0</v>
      </c>
      <c r="I32" s="1">
        <v>0</v>
      </c>
      <c r="J32" s="3" t="s">
        <v>18</v>
      </c>
      <c r="K32" s="2" t="str">
        <f>J32*14776.83</f>
        <v>0</v>
      </c>
      <c r="L32" s="5"/>
    </row>
    <row r="33" spans="1:12" customHeight="1" ht="105" outlineLevel="4">
      <c r="A33" s="1"/>
      <c r="B33" s="1">
        <v>825252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2</v>
      </c>
      <c r="H33" s="2">
        <v>0</v>
      </c>
      <c r="I33" s="1">
        <v>0</v>
      </c>
      <c r="J33" s="3" t="s">
        <v>18</v>
      </c>
      <c r="K33" s="2" t="str">
        <f>J33*4840.33</f>
        <v>0</v>
      </c>
      <c r="L33" s="5"/>
    </row>
    <row r="34" spans="1:12" customHeight="1" ht="105" outlineLevel="4">
      <c r="A34" s="1"/>
      <c r="B34" s="1">
        <v>825253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1</v>
      </c>
      <c r="H34" s="2">
        <v>0</v>
      </c>
      <c r="I34" s="1">
        <v>0</v>
      </c>
      <c r="J34" s="3" t="s">
        <v>18</v>
      </c>
      <c r="K34" s="2" t="str">
        <f>J34*5772.99</f>
        <v>0</v>
      </c>
      <c r="L34" s="5"/>
    </row>
    <row r="35" spans="1:12" customHeight="1" ht="105" outlineLevel="4">
      <c r="A35" s="1"/>
      <c r="B35" s="1">
        <v>825254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1</v>
      </c>
      <c r="H35" s="2">
        <v>0</v>
      </c>
      <c r="I35" s="1">
        <v>0</v>
      </c>
      <c r="J35" s="3" t="s">
        <v>18</v>
      </c>
      <c r="K35" s="2" t="str">
        <f>J35*6570.29</f>
        <v>0</v>
      </c>
      <c r="L35" s="5"/>
    </row>
    <row r="36" spans="1:12" customHeight="1" ht="105" outlineLevel="4">
      <c r="A36" s="1"/>
      <c r="B36" s="1">
        <v>825255</v>
      </c>
      <c r="C36" s="1" t="s">
        <v>137</v>
      </c>
      <c r="D36" s="1" t="s">
        <v>138</v>
      </c>
      <c r="E36" s="2" t="s">
        <v>139</v>
      </c>
      <c r="F36" s="2" t="s">
        <v>140</v>
      </c>
      <c r="G36" s="2">
        <v>0</v>
      </c>
      <c r="H36" s="2">
        <v>0</v>
      </c>
      <c r="I36" s="1">
        <v>0</v>
      </c>
      <c r="J36" s="3" t="s">
        <v>18</v>
      </c>
      <c r="K36" s="2" t="str">
        <f>J36*7401.80</f>
        <v>0</v>
      </c>
      <c r="L36" s="5"/>
    </row>
    <row r="37" spans="1:12" customHeight="1" ht="105" outlineLevel="4">
      <c r="A37" s="1"/>
      <c r="B37" s="1">
        <v>825256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2</v>
      </c>
      <c r="H37" s="2">
        <v>0</v>
      </c>
      <c r="I37" s="1">
        <v>0</v>
      </c>
      <c r="J37" s="3" t="s">
        <v>18</v>
      </c>
      <c r="K37" s="2" t="str">
        <f>J37*8205.05</f>
        <v>0</v>
      </c>
      <c r="L37" s="5"/>
    </row>
    <row r="38" spans="1:12" customHeight="1" ht="105" outlineLevel="4">
      <c r="A38" s="1"/>
      <c r="B38" s="1">
        <v>825257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0</v>
      </c>
      <c r="I38" s="1">
        <v>0</v>
      </c>
      <c r="J38" s="3" t="s">
        <v>18</v>
      </c>
      <c r="K38" s="2" t="str">
        <f>J38*9164.49</f>
        <v>0</v>
      </c>
      <c r="L38" s="5"/>
    </row>
    <row r="39" spans="1:12" customHeight="1" ht="105" outlineLevel="4">
      <c r="A39" s="1"/>
      <c r="B39" s="1">
        <v>825258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0</v>
      </c>
      <c r="H39" s="2">
        <v>0</v>
      </c>
      <c r="I39" s="1">
        <v>0</v>
      </c>
      <c r="J39" s="3" t="s">
        <v>18</v>
      </c>
      <c r="K39" s="2" t="str">
        <f>J39*10007.90</f>
        <v>0</v>
      </c>
      <c r="L39" s="5"/>
    </row>
    <row r="40" spans="1:12" customHeight="1" ht="105" outlineLevel="4">
      <c r="A40" s="1"/>
      <c r="B40" s="1">
        <v>825259</v>
      </c>
      <c r="C40" s="1" t="s">
        <v>153</v>
      </c>
      <c r="D40" s="1" t="s">
        <v>154</v>
      </c>
      <c r="E40" s="2" t="s">
        <v>155</v>
      </c>
      <c r="F40" s="2" t="s">
        <v>156</v>
      </c>
      <c r="G40" s="2">
        <v>0</v>
      </c>
      <c r="H40" s="2">
        <v>0</v>
      </c>
      <c r="I40" s="1">
        <v>0</v>
      </c>
      <c r="J40" s="3" t="s">
        <v>18</v>
      </c>
      <c r="K40" s="2" t="str">
        <f>J40*10842.39</f>
        <v>0</v>
      </c>
      <c r="L40" s="5"/>
    </row>
    <row r="41" spans="1:12" customHeight="1" ht="105" outlineLevel="4">
      <c r="A41" s="1"/>
      <c r="B41" s="1">
        <v>825260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2</v>
      </c>
      <c r="H41" s="2">
        <v>0</v>
      </c>
      <c r="I41" s="1">
        <v>0</v>
      </c>
      <c r="J41" s="3" t="s">
        <v>18</v>
      </c>
      <c r="K41" s="2" t="str">
        <f>J41*11990.74</f>
        <v>0</v>
      </c>
      <c r="L41" s="5"/>
    </row>
    <row r="42" spans="1:12" customHeight="1" ht="105" outlineLevel="4">
      <c r="A42" s="1"/>
      <c r="B42" s="1">
        <v>825261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2</v>
      </c>
      <c r="H42" s="2">
        <v>0</v>
      </c>
      <c r="I42" s="1">
        <v>0</v>
      </c>
      <c r="J42" s="3" t="s">
        <v>18</v>
      </c>
      <c r="K42" s="2" t="str">
        <f>J42*13017.11</f>
        <v>0</v>
      </c>
      <c r="L42" s="5"/>
    </row>
    <row r="43" spans="1:12" customHeight="1" ht="105" outlineLevel="4">
      <c r="A43" s="1"/>
      <c r="B43" s="1">
        <v>825262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3</v>
      </c>
      <c r="H43" s="2">
        <v>0</v>
      </c>
      <c r="I43" s="1">
        <v>0</v>
      </c>
      <c r="J43" s="3" t="s">
        <v>18</v>
      </c>
      <c r="K43" s="2" t="str">
        <f>J43*13988.45</f>
        <v>0</v>
      </c>
      <c r="L43" s="5"/>
    </row>
    <row r="44" spans="1:12" customHeight="1" ht="105" outlineLevel="4">
      <c r="A44" s="1"/>
      <c r="B44" s="1">
        <v>819413</v>
      </c>
      <c r="C44" s="1" t="s">
        <v>169</v>
      </c>
      <c r="D44" s="1" t="s">
        <v>170</v>
      </c>
      <c r="E44" s="2" t="s">
        <v>171</v>
      </c>
      <c r="F44" s="2" t="s">
        <v>172</v>
      </c>
      <c r="G44" s="2" t="s">
        <v>23</v>
      </c>
      <c r="H44" s="2">
        <v>0</v>
      </c>
      <c r="I44" s="1">
        <v>0</v>
      </c>
      <c r="J44" s="3" t="s">
        <v>173</v>
      </c>
      <c r="K44" s="2" t="str">
        <f>J44*2176.21</f>
        <v>0</v>
      </c>
      <c r="L44" s="5"/>
    </row>
    <row r="45" spans="1:12" customHeight="1" ht="105" outlineLevel="4">
      <c r="A45" s="1"/>
      <c r="B45" s="1">
        <v>819414</v>
      </c>
      <c r="C45" s="1" t="s">
        <v>174</v>
      </c>
      <c r="D45" s="1" t="s">
        <v>175</v>
      </c>
      <c r="E45" s="2" t="s">
        <v>176</v>
      </c>
      <c r="F45" s="2" t="s">
        <v>177</v>
      </c>
      <c r="G45" s="2">
        <v>8</v>
      </c>
      <c r="H45" s="2">
        <v>0</v>
      </c>
      <c r="I45" s="1">
        <v>0</v>
      </c>
      <c r="J45" s="3" t="s">
        <v>173</v>
      </c>
      <c r="K45" s="2" t="str">
        <f>J45*2951.20</f>
        <v>0</v>
      </c>
      <c r="L45" s="5"/>
    </row>
    <row r="46" spans="1:12" customHeight="1" ht="105" outlineLevel="4">
      <c r="A46" s="1"/>
      <c r="B46" s="1">
        <v>819415</v>
      </c>
      <c r="C46" s="1" t="s">
        <v>178</v>
      </c>
      <c r="D46" s="1" t="s">
        <v>179</v>
      </c>
      <c r="E46" s="2" t="s">
        <v>180</v>
      </c>
      <c r="F46" s="2" t="s">
        <v>181</v>
      </c>
      <c r="G46" s="2">
        <v>0</v>
      </c>
      <c r="H46" s="2">
        <v>0</v>
      </c>
      <c r="I46" s="1">
        <v>0</v>
      </c>
      <c r="J46" s="3" t="s">
        <v>18</v>
      </c>
      <c r="K46" s="2" t="str">
        <f>J46*3681.56</f>
        <v>0</v>
      </c>
      <c r="L46" s="5"/>
    </row>
    <row r="47" spans="1:12" customHeight="1" ht="105" outlineLevel="4">
      <c r="A47" s="1"/>
      <c r="B47" s="1">
        <v>819416</v>
      </c>
      <c r="C47" s="1" t="s">
        <v>182</v>
      </c>
      <c r="D47" s="1" t="s">
        <v>183</v>
      </c>
      <c r="E47" s="2" t="s">
        <v>184</v>
      </c>
      <c r="F47" s="2" t="s">
        <v>185</v>
      </c>
      <c r="G47" s="2">
        <v>2</v>
      </c>
      <c r="H47" s="2">
        <v>0</v>
      </c>
      <c r="I47" s="1">
        <v>0</v>
      </c>
      <c r="J47" s="3" t="s">
        <v>173</v>
      </c>
      <c r="K47" s="2" t="str">
        <f>J47*2014.08</f>
        <v>0</v>
      </c>
      <c r="L47" s="5"/>
    </row>
    <row r="48" spans="1:12" customHeight="1" ht="105" outlineLevel="4">
      <c r="A48" s="1"/>
      <c r="B48" s="1">
        <v>837305</v>
      </c>
      <c r="C48" s="1" t="s">
        <v>186</v>
      </c>
      <c r="D48" s="1" t="s">
        <v>187</v>
      </c>
      <c r="E48" s="2" t="s">
        <v>188</v>
      </c>
      <c r="F48" s="2" t="s">
        <v>189</v>
      </c>
      <c r="G48" s="2">
        <v>8</v>
      </c>
      <c r="H48" s="2">
        <v>0</v>
      </c>
      <c r="I48" s="1">
        <v>0</v>
      </c>
      <c r="J48" s="3" t="s">
        <v>173</v>
      </c>
      <c r="K48" s="2" t="str">
        <f>J48*3342.41</f>
        <v>0</v>
      </c>
      <c r="L48" s="5"/>
    </row>
    <row r="49" spans="1:12" outlineLevel="2">
      <c r="A49" s="8" t="s">
        <v>190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834480</v>
      </c>
      <c r="C50" s="1" t="s">
        <v>191</v>
      </c>
      <c r="D50" s="1" t="s">
        <v>192</v>
      </c>
      <c r="E50" s="2" t="s">
        <v>193</v>
      </c>
      <c r="F50" s="2" t="s">
        <v>194</v>
      </c>
      <c r="G50" s="2">
        <v>5</v>
      </c>
      <c r="H50" s="2">
        <v>0</v>
      </c>
      <c r="I50" s="1">
        <v>0</v>
      </c>
      <c r="J50" s="3" t="s">
        <v>18</v>
      </c>
      <c r="K50" s="2" t="str">
        <f>J50*3859.10</f>
        <v>0</v>
      </c>
      <c r="L50" s="5"/>
    </row>
    <row r="51" spans="1:12" customHeight="1" ht="105" outlineLevel="4">
      <c r="A51" s="1"/>
      <c r="B51" s="1">
        <v>834481</v>
      </c>
      <c r="C51" s="1" t="s">
        <v>195</v>
      </c>
      <c r="D51" s="1" t="s">
        <v>196</v>
      </c>
      <c r="E51" s="2" t="s">
        <v>197</v>
      </c>
      <c r="F51" s="2" t="s">
        <v>198</v>
      </c>
      <c r="G51" s="2">
        <v>3</v>
      </c>
      <c r="H51" s="2">
        <v>0</v>
      </c>
      <c r="I51" s="1">
        <v>0</v>
      </c>
      <c r="J51" s="3" t="s">
        <v>18</v>
      </c>
      <c r="K51" s="2" t="str">
        <f>J51*5432.54</f>
        <v>0</v>
      </c>
      <c r="L51" s="5"/>
    </row>
    <row r="52" spans="1:12" customHeight="1" ht="105" outlineLevel="4">
      <c r="A52" s="1"/>
      <c r="B52" s="1">
        <v>834482</v>
      </c>
      <c r="C52" s="1" t="s">
        <v>199</v>
      </c>
      <c r="D52" s="1" t="s">
        <v>200</v>
      </c>
      <c r="E52" s="2" t="s">
        <v>201</v>
      </c>
      <c r="F52" s="2" t="s">
        <v>202</v>
      </c>
      <c r="G52" s="2">
        <v>4</v>
      </c>
      <c r="H52" s="2">
        <v>0</v>
      </c>
      <c r="I52" s="1">
        <v>0</v>
      </c>
      <c r="J52" s="3" t="s">
        <v>18</v>
      </c>
      <c r="K52" s="2" t="str">
        <f>J52*7035.24</f>
        <v>0</v>
      </c>
      <c r="L52" s="5"/>
    </row>
    <row r="53" spans="1:12" customHeight="1" ht="105" outlineLevel="4">
      <c r="A53" s="1"/>
      <c r="B53" s="1">
        <v>834483</v>
      </c>
      <c r="C53" s="1" t="s">
        <v>203</v>
      </c>
      <c r="D53" s="1" t="s">
        <v>204</v>
      </c>
      <c r="E53" s="2" t="s">
        <v>205</v>
      </c>
      <c r="F53" s="2" t="s">
        <v>206</v>
      </c>
      <c r="G53" s="2">
        <v>3</v>
      </c>
      <c r="H53" s="2">
        <v>0</v>
      </c>
      <c r="I53" s="1">
        <v>0</v>
      </c>
      <c r="J53" s="3" t="s">
        <v>18</v>
      </c>
      <c r="K53" s="2" t="str">
        <f>J53*8640.54</f>
        <v>0</v>
      </c>
      <c r="L53" s="5"/>
    </row>
    <row r="54" spans="1:12" customHeight="1" ht="105" outlineLevel="4">
      <c r="A54" s="1"/>
      <c r="B54" s="1">
        <v>834484</v>
      </c>
      <c r="C54" s="1" t="s">
        <v>207</v>
      </c>
      <c r="D54" s="1" t="s">
        <v>208</v>
      </c>
      <c r="E54" s="2" t="s">
        <v>209</v>
      </c>
      <c r="F54" s="2" t="s">
        <v>210</v>
      </c>
      <c r="G54" s="2">
        <v>2</v>
      </c>
      <c r="H54" s="2">
        <v>0</v>
      </c>
      <c r="I54" s="1">
        <v>0</v>
      </c>
      <c r="J54" s="3" t="s">
        <v>18</v>
      </c>
      <c r="K54" s="2" t="str">
        <f>J54*10243.25</f>
        <v>0</v>
      </c>
      <c r="L54" s="5"/>
    </row>
    <row r="55" spans="1:12" customHeight="1" ht="105" outlineLevel="4">
      <c r="A55" s="1"/>
      <c r="B55" s="1">
        <v>834485</v>
      </c>
      <c r="C55" s="1" t="s">
        <v>211</v>
      </c>
      <c r="D55" s="1" t="s">
        <v>212</v>
      </c>
      <c r="E55" s="2" t="s">
        <v>213</v>
      </c>
      <c r="F55" s="2" t="s">
        <v>214</v>
      </c>
      <c r="G55" s="2">
        <v>4</v>
      </c>
      <c r="H55" s="2">
        <v>0</v>
      </c>
      <c r="I55" s="1">
        <v>0</v>
      </c>
      <c r="J55" s="3" t="s">
        <v>18</v>
      </c>
      <c r="K55" s="2" t="str">
        <f>J55*11848.55</f>
        <v>0</v>
      </c>
      <c r="L55" s="5"/>
    </row>
    <row r="56" spans="1:12" customHeight="1" ht="105" outlineLevel="4">
      <c r="A56" s="1"/>
      <c r="B56" s="1">
        <v>834486</v>
      </c>
      <c r="C56" s="1" t="s">
        <v>215</v>
      </c>
      <c r="D56" s="1" t="s">
        <v>216</v>
      </c>
      <c r="E56" s="2" t="s">
        <v>217</v>
      </c>
      <c r="F56" s="2" t="s">
        <v>218</v>
      </c>
      <c r="G56" s="2">
        <v>7</v>
      </c>
      <c r="H56" s="2">
        <v>0</v>
      </c>
      <c r="I56" s="1">
        <v>0</v>
      </c>
      <c r="J56" s="3" t="s">
        <v>18</v>
      </c>
      <c r="K56" s="2" t="str">
        <f>J56*16113.70</f>
        <v>0</v>
      </c>
      <c r="L56" s="5"/>
    </row>
    <row r="57" spans="1:12" customHeight="1" ht="105" outlineLevel="4">
      <c r="A57" s="1"/>
      <c r="B57" s="1">
        <v>834487</v>
      </c>
      <c r="C57" s="1" t="s">
        <v>219</v>
      </c>
      <c r="D57" s="1" t="s">
        <v>220</v>
      </c>
      <c r="E57" s="2" t="s">
        <v>221</v>
      </c>
      <c r="F57" s="2" t="s">
        <v>222</v>
      </c>
      <c r="G57" s="2">
        <v>6</v>
      </c>
      <c r="H57" s="2">
        <v>0</v>
      </c>
      <c r="I57" s="1">
        <v>0</v>
      </c>
      <c r="J57" s="3" t="s">
        <v>18</v>
      </c>
      <c r="K57" s="2" t="str">
        <f>J57*18043.25</f>
        <v>0</v>
      </c>
      <c r="L57" s="5"/>
    </row>
    <row r="58" spans="1:12" customHeight="1" ht="105" outlineLevel="4">
      <c r="A58" s="1"/>
      <c r="B58" s="1">
        <v>834488</v>
      </c>
      <c r="C58" s="1" t="s">
        <v>223</v>
      </c>
      <c r="D58" s="1" t="s">
        <v>224</v>
      </c>
      <c r="E58" s="2" t="s">
        <v>225</v>
      </c>
      <c r="F58" s="2" t="s">
        <v>226</v>
      </c>
      <c r="G58" s="2">
        <v>4</v>
      </c>
      <c r="H58" s="2">
        <v>0</v>
      </c>
      <c r="I58" s="1">
        <v>0</v>
      </c>
      <c r="J58" s="3" t="s">
        <v>18</v>
      </c>
      <c r="K58" s="2" t="str">
        <f>J58*19972.80</f>
        <v>0</v>
      </c>
      <c r="L58" s="5"/>
    </row>
    <row r="59" spans="1:12" customHeight="1" ht="105" outlineLevel="4">
      <c r="A59" s="1"/>
      <c r="B59" s="1">
        <v>834489</v>
      </c>
      <c r="C59" s="1" t="s">
        <v>227</v>
      </c>
      <c r="D59" s="1" t="s">
        <v>228</v>
      </c>
      <c r="E59" s="2" t="s">
        <v>229</v>
      </c>
      <c r="F59" s="2" t="s">
        <v>230</v>
      </c>
      <c r="G59" s="2">
        <v>0</v>
      </c>
      <c r="H59" s="2">
        <v>0</v>
      </c>
      <c r="I59" s="1">
        <v>0</v>
      </c>
      <c r="J59" s="3" t="s">
        <v>18</v>
      </c>
      <c r="K59" s="2" t="str">
        <f>J59*17144.82</f>
        <v>0</v>
      </c>
      <c r="L59" s="5"/>
    </row>
    <row r="60" spans="1:12" customHeight="1" ht="105" outlineLevel="4">
      <c r="A60" s="1"/>
      <c r="B60" s="1">
        <v>834490</v>
      </c>
      <c r="C60" s="1" t="s">
        <v>231</v>
      </c>
      <c r="D60" s="1" t="s">
        <v>232</v>
      </c>
      <c r="E60" s="2" t="s">
        <v>233</v>
      </c>
      <c r="F60" s="2" t="s">
        <v>234</v>
      </c>
      <c r="G60" s="2">
        <v>2</v>
      </c>
      <c r="H60" s="2">
        <v>0</v>
      </c>
      <c r="I60" s="1">
        <v>0</v>
      </c>
      <c r="J60" s="3" t="s">
        <v>18</v>
      </c>
      <c r="K60" s="2" t="str">
        <f>J60*20777.24</f>
        <v>0</v>
      </c>
      <c r="L60" s="5"/>
    </row>
    <row r="61" spans="1:12" customHeight="1" ht="105" outlineLevel="4">
      <c r="A61" s="1"/>
      <c r="B61" s="1">
        <v>835386</v>
      </c>
      <c r="C61" s="1" t="s">
        <v>235</v>
      </c>
      <c r="D61" s="1" t="s">
        <v>236</v>
      </c>
      <c r="E61" s="2" t="s">
        <v>237</v>
      </c>
      <c r="F61" s="2" t="s">
        <v>238</v>
      </c>
      <c r="G61" s="2">
        <v>7</v>
      </c>
      <c r="H61" s="2">
        <v>0</v>
      </c>
      <c r="I61" s="1">
        <v>0</v>
      </c>
      <c r="J61" s="3" t="s">
        <v>18</v>
      </c>
      <c r="K61" s="2" t="str">
        <f>J61*1182.37</f>
        <v>0</v>
      </c>
      <c r="L61" s="5"/>
    </row>
    <row r="62" spans="1:12" customHeight="1" ht="105" outlineLevel="4">
      <c r="A62" s="1"/>
      <c r="B62" s="1">
        <v>836403</v>
      </c>
      <c r="C62" s="1" t="s">
        <v>239</v>
      </c>
      <c r="D62" s="1" t="s">
        <v>240</v>
      </c>
      <c r="E62" s="2" t="s">
        <v>241</v>
      </c>
      <c r="F62" s="2" t="s">
        <v>242</v>
      </c>
      <c r="G62" s="2">
        <v>1</v>
      </c>
      <c r="H62" s="2">
        <v>0</v>
      </c>
      <c r="I62" s="1">
        <v>0</v>
      </c>
      <c r="J62" s="3" t="s">
        <v>18</v>
      </c>
      <c r="K62" s="2" t="str">
        <f>J62*4456.87</f>
        <v>0</v>
      </c>
      <c r="L62" s="5"/>
    </row>
    <row r="63" spans="1:12" outlineLevel="1">
      <c r="A63" s="7" t="s">
        <v>243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244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819379</v>
      </c>
      <c r="C65" s="1" t="s">
        <v>245</v>
      </c>
      <c r="D65" s="1" t="s">
        <v>246</v>
      </c>
      <c r="E65" s="2" t="s">
        <v>247</v>
      </c>
      <c r="F65" s="2" t="s">
        <v>248</v>
      </c>
      <c r="G65" s="2">
        <v>0</v>
      </c>
      <c r="H65" s="2">
        <v>0</v>
      </c>
      <c r="I65" s="1">
        <v>0</v>
      </c>
      <c r="J65" s="3" t="s">
        <v>18</v>
      </c>
      <c r="K65" s="2" t="str">
        <f>J65*1386.00</f>
        <v>0</v>
      </c>
      <c r="L65" s="5"/>
    </row>
    <row r="66" spans="1:12" customHeight="1" ht="105" outlineLevel="4">
      <c r="A66" s="1"/>
      <c r="B66" s="1">
        <v>819380</v>
      </c>
      <c r="C66" s="1" t="s">
        <v>249</v>
      </c>
      <c r="D66" s="1" t="s">
        <v>250</v>
      </c>
      <c r="E66" s="2" t="s">
        <v>251</v>
      </c>
      <c r="F66" s="2" t="s">
        <v>252</v>
      </c>
      <c r="G66" s="2">
        <v>0</v>
      </c>
      <c r="H66" s="2">
        <v>0</v>
      </c>
      <c r="I66" s="1">
        <v>0</v>
      </c>
      <c r="J66" s="3" t="s">
        <v>18</v>
      </c>
      <c r="K66" s="2" t="str">
        <f>J66*573.00</f>
        <v>0</v>
      </c>
      <c r="L66" s="5"/>
    </row>
    <row r="67" spans="1:12" customHeight="1" ht="105" outlineLevel="4">
      <c r="A67" s="1"/>
      <c r="B67" s="1">
        <v>819381</v>
      </c>
      <c r="C67" s="1" t="s">
        <v>253</v>
      </c>
      <c r="D67" s="1" t="s">
        <v>254</v>
      </c>
      <c r="E67" s="2" t="s">
        <v>255</v>
      </c>
      <c r="F67" s="2" t="s">
        <v>256</v>
      </c>
      <c r="G67" s="2">
        <v>1</v>
      </c>
      <c r="H67" s="2">
        <v>0</v>
      </c>
      <c r="I67" s="1">
        <v>0</v>
      </c>
      <c r="J67" s="3" t="s">
        <v>18</v>
      </c>
      <c r="K67" s="2" t="str">
        <f>J67*5720.00</f>
        <v>0</v>
      </c>
      <c r="L67" s="5"/>
    </row>
    <row r="68" spans="1:12" customHeight="1" ht="105" outlineLevel="4">
      <c r="A68" s="1"/>
      <c r="B68" s="1">
        <v>819382</v>
      </c>
      <c r="C68" s="1" t="s">
        <v>257</v>
      </c>
      <c r="D68" s="1" t="s">
        <v>258</v>
      </c>
      <c r="E68" s="2" t="s">
        <v>259</v>
      </c>
      <c r="F68" s="2" t="s">
        <v>260</v>
      </c>
      <c r="G68" s="2">
        <v>0</v>
      </c>
      <c r="H68" s="2">
        <v>0</v>
      </c>
      <c r="I68" s="1">
        <v>0</v>
      </c>
      <c r="J68" s="3" t="s">
        <v>18</v>
      </c>
      <c r="K68" s="2" t="str">
        <f>J68*5905.00</f>
        <v>0</v>
      </c>
      <c r="L68" s="5"/>
    </row>
    <row r="69" spans="1:12" customHeight="1" ht="105" outlineLevel="4">
      <c r="A69" s="1"/>
      <c r="B69" s="1">
        <v>819383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0</v>
      </c>
      <c r="H69" s="2">
        <v>0</v>
      </c>
      <c r="I69" s="1">
        <v>0</v>
      </c>
      <c r="J69" s="3" t="s">
        <v>18</v>
      </c>
      <c r="K69" s="2" t="str">
        <f>J69*5864.00</f>
        <v>0</v>
      </c>
      <c r="L69" s="5"/>
    </row>
    <row r="70" spans="1:12" customHeight="1" ht="105" outlineLevel="4">
      <c r="A70" s="1"/>
      <c r="B70" s="1">
        <v>819384</v>
      </c>
      <c r="C70" s="1" t="s">
        <v>265</v>
      </c>
      <c r="D70" s="1" t="s">
        <v>266</v>
      </c>
      <c r="E70" s="2" t="s">
        <v>267</v>
      </c>
      <c r="F70" s="2" t="s">
        <v>268</v>
      </c>
      <c r="G70" s="2">
        <v>0</v>
      </c>
      <c r="H70" s="2">
        <v>5</v>
      </c>
      <c r="I70" s="1">
        <v>0</v>
      </c>
      <c r="J70" s="3" t="s">
        <v>18</v>
      </c>
      <c r="K70" s="2" t="str">
        <f>J70*6192.00</f>
        <v>0</v>
      </c>
      <c r="L70" s="5"/>
    </row>
    <row r="71" spans="1:12" customHeight="1" ht="105" outlineLevel="4">
      <c r="A71" s="1"/>
      <c r="B71" s="1">
        <v>819388</v>
      </c>
      <c r="C71" s="1" t="s">
        <v>269</v>
      </c>
      <c r="D71" s="1" t="s">
        <v>270</v>
      </c>
      <c r="E71" s="2" t="s">
        <v>271</v>
      </c>
      <c r="F71" s="2" t="s">
        <v>272</v>
      </c>
      <c r="G71" s="2">
        <v>3</v>
      </c>
      <c r="H71" s="2" t="s">
        <v>273</v>
      </c>
      <c r="I71" s="1">
        <v>0</v>
      </c>
      <c r="J71" s="3" t="s">
        <v>18</v>
      </c>
      <c r="K71" s="2" t="str">
        <f>J71*340.00</f>
        <v>0</v>
      </c>
      <c r="L71" s="5"/>
    </row>
    <row r="72" spans="1:12" customHeight="1" ht="105" outlineLevel="4">
      <c r="A72" s="1"/>
      <c r="B72" s="1">
        <v>819389</v>
      </c>
      <c r="C72" s="1" t="s">
        <v>274</v>
      </c>
      <c r="D72" s="1" t="s">
        <v>275</v>
      </c>
      <c r="E72" s="2" t="s">
        <v>276</v>
      </c>
      <c r="F72" s="2" t="s">
        <v>277</v>
      </c>
      <c r="G72" s="2">
        <v>0</v>
      </c>
      <c r="H72" s="2" t="s">
        <v>278</v>
      </c>
      <c r="I72" s="1">
        <v>0</v>
      </c>
      <c r="J72" s="3" t="s">
        <v>18</v>
      </c>
      <c r="K72" s="2" t="str">
        <f>J72*1295.00</f>
        <v>0</v>
      </c>
      <c r="L72" s="5"/>
    </row>
    <row r="73" spans="1:12" customHeight="1" ht="105" outlineLevel="4">
      <c r="A73" s="1"/>
      <c r="B73" s="1">
        <v>819390</v>
      </c>
      <c r="C73" s="1" t="s">
        <v>279</v>
      </c>
      <c r="D73" s="1" t="s">
        <v>280</v>
      </c>
      <c r="E73" s="2" t="s">
        <v>281</v>
      </c>
      <c r="F73" s="2" t="s">
        <v>282</v>
      </c>
      <c r="G73" s="2">
        <v>0</v>
      </c>
      <c r="H73" s="2">
        <v>0</v>
      </c>
      <c r="I73" s="1">
        <v>0</v>
      </c>
      <c r="J73" s="3" t="s">
        <v>18</v>
      </c>
      <c r="K73" s="2" t="str">
        <f>J73*3184.00</f>
        <v>0</v>
      </c>
      <c r="L73" s="5"/>
    </row>
    <row r="74" spans="1:12" customHeight="1" ht="105" outlineLevel="4">
      <c r="A74" s="1"/>
      <c r="B74" s="1">
        <v>819391</v>
      </c>
      <c r="C74" s="1" t="s">
        <v>283</v>
      </c>
      <c r="D74" s="1" t="s">
        <v>284</v>
      </c>
      <c r="E74" s="2" t="s">
        <v>285</v>
      </c>
      <c r="F74" s="2" t="s">
        <v>286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J74*2244.00</f>
        <v>0</v>
      </c>
      <c r="L74" s="5"/>
    </row>
    <row r="75" spans="1:12" customHeight="1" ht="105" outlineLevel="4">
      <c r="A75" s="1"/>
      <c r="B75" s="1">
        <v>819392</v>
      </c>
      <c r="C75" s="1" t="s">
        <v>287</v>
      </c>
      <c r="D75" s="1" t="s">
        <v>288</v>
      </c>
      <c r="E75" s="2" t="s">
        <v>289</v>
      </c>
      <c r="F75" s="2" t="s">
        <v>290</v>
      </c>
      <c r="G75" s="2">
        <v>0</v>
      </c>
      <c r="H75" s="2">
        <v>0</v>
      </c>
      <c r="I75" s="1">
        <v>0</v>
      </c>
      <c r="J75" s="3" t="s">
        <v>18</v>
      </c>
      <c r="K75" s="2" t="str">
        <f>J75*6621.00</f>
        <v>0</v>
      </c>
      <c r="L75" s="5"/>
    </row>
    <row r="76" spans="1:12" customHeight="1" ht="105" outlineLevel="4">
      <c r="A76" s="1"/>
      <c r="B76" s="1">
        <v>819393</v>
      </c>
      <c r="C76" s="1" t="s">
        <v>291</v>
      </c>
      <c r="D76" s="1" t="s">
        <v>292</v>
      </c>
      <c r="E76" s="2" t="s">
        <v>293</v>
      </c>
      <c r="F76" s="2" t="s">
        <v>294</v>
      </c>
      <c r="G76" s="2">
        <v>0</v>
      </c>
      <c r="H76" s="2" t="s">
        <v>23</v>
      </c>
      <c r="I76" s="1">
        <v>0</v>
      </c>
      <c r="J76" s="3" t="s">
        <v>18</v>
      </c>
      <c r="K76" s="2" t="str">
        <f>J76*9399.00</f>
        <v>0</v>
      </c>
      <c r="L76" s="5"/>
    </row>
    <row r="77" spans="1:12" customHeight="1" ht="105" outlineLevel="4">
      <c r="A77" s="1"/>
      <c r="B77" s="1">
        <v>819394</v>
      </c>
      <c r="C77" s="1" t="s">
        <v>295</v>
      </c>
      <c r="D77" s="1" t="s">
        <v>296</v>
      </c>
      <c r="E77" s="2" t="s">
        <v>297</v>
      </c>
      <c r="F77" s="2" t="s">
        <v>298</v>
      </c>
      <c r="G77" s="2">
        <v>0</v>
      </c>
      <c r="H77" s="2">
        <v>0</v>
      </c>
      <c r="I77" s="1">
        <v>0</v>
      </c>
      <c r="J77" s="3" t="s">
        <v>18</v>
      </c>
      <c r="K77" s="2" t="str">
        <f>J77*2350.00</f>
        <v>0</v>
      </c>
      <c r="L77" s="5"/>
    </row>
    <row r="78" spans="1:12" customHeight="1" ht="105" outlineLevel="4">
      <c r="A78" s="1"/>
      <c r="B78" s="1">
        <v>819395</v>
      </c>
      <c r="C78" s="1" t="s">
        <v>299</v>
      </c>
      <c r="D78" s="1" t="s">
        <v>300</v>
      </c>
      <c r="E78" s="2" t="s">
        <v>301</v>
      </c>
      <c r="F78" s="2" t="s">
        <v>302</v>
      </c>
      <c r="G78" s="2">
        <v>0</v>
      </c>
      <c r="H78" s="2">
        <v>0</v>
      </c>
      <c r="I78" s="1">
        <v>0</v>
      </c>
      <c r="J78" s="3" t="s">
        <v>18</v>
      </c>
      <c r="K78" s="2" t="str">
        <f>J78*9390.00</f>
        <v>0</v>
      </c>
      <c r="L78" s="5"/>
    </row>
    <row r="79" spans="1:12" customHeight="1" ht="105" outlineLevel="4">
      <c r="A79" s="1"/>
      <c r="B79" s="1">
        <v>819396</v>
      </c>
      <c r="C79" s="1" t="s">
        <v>303</v>
      </c>
      <c r="D79" s="1" t="s">
        <v>304</v>
      </c>
      <c r="E79" s="2" t="s">
        <v>305</v>
      </c>
      <c r="F79" s="2" t="s">
        <v>306</v>
      </c>
      <c r="G79" s="2">
        <v>0</v>
      </c>
      <c r="H79" s="2">
        <v>0</v>
      </c>
      <c r="I79" s="1">
        <v>0</v>
      </c>
      <c r="J79" s="3" t="s">
        <v>18</v>
      </c>
      <c r="K79" s="2" t="str">
        <f>J79*3979.00</f>
        <v>0</v>
      </c>
      <c r="L79" s="5"/>
    </row>
    <row r="80" spans="1:12" customHeight="1" ht="105" outlineLevel="4">
      <c r="A80" s="1"/>
      <c r="B80" s="1">
        <v>819397</v>
      </c>
      <c r="C80" s="1" t="s">
        <v>307</v>
      </c>
      <c r="D80" s="1" t="s">
        <v>308</v>
      </c>
      <c r="E80" s="2" t="s">
        <v>309</v>
      </c>
      <c r="F80" s="2" t="s">
        <v>310</v>
      </c>
      <c r="G80" s="2">
        <v>0</v>
      </c>
      <c r="H80" s="2" t="s">
        <v>311</v>
      </c>
      <c r="I80" s="1">
        <v>0</v>
      </c>
      <c r="J80" s="3" t="s">
        <v>18</v>
      </c>
      <c r="K80" s="2" t="str">
        <f>J80*508.00</f>
        <v>0</v>
      </c>
      <c r="L80" s="5"/>
    </row>
    <row r="81" spans="1:12" customHeight="1" ht="105" outlineLevel="4">
      <c r="A81" s="1"/>
      <c r="B81" s="1">
        <v>819398</v>
      </c>
      <c r="C81" s="1" t="s">
        <v>312</v>
      </c>
      <c r="D81" s="1" t="s">
        <v>313</v>
      </c>
      <c r="E81" s="2" t="s">
        <v>314</v>
      </c>
      <c r="F81" s="2" t="s">
        <v>315</v>
      </c>
      <c r="G81" s="2">
        <v>1</v>
      </c>
      <c r="H81" s="2" t="s">
        <v>273</v>
      </c>
      <c r="I81" s="1">
        <v>0</v>
      </c>
      <c r="J81" s="3" t="s">
        <v>18</v>
      </c>
      <c r="K81" s="2" t="str">
        <f>J81*2074.00</f>
        <v>0</v>
      </c>
      <c r="L81" s="5"/>
    </row>
    <row r="82" spans="1:12" customHeight="1" ht="105" outlineLevel="4">
      <c r="A82" s="1"/>
      <c r="B82" s="1">
        <v>819399</v>
      </c>
      <c r="C82" s="1" t="s">
        <v>316</v>
      </c>
      <c r="D82" s="1" t="s">
        <v>317</v>
      </c>
      <c r="E82" s="2" t="s">
        <v>318</v>
      </c>
      <c r="F82" s="2" t="s">
        <v>319</v>
      </c>
      <c r="G82" s="2">
        <v>0</v>
      </c>
      <c r="H82" s="2">
        <v>0</v>
      </c>
      <c r="I82" s="1">
        <v>0</v>
      </c>
      <c r="J82" s="3" t="s">
        <v>18</v>
      </c>
      <c r="K82" s="2" t="str">
        <f>J82*6556.00</f>
        <v>0</v>
      </c>
      <c r="L82" s="5"/>
    </row>
    <row r="83" spans="1:12" customHeight="1" ht="105" outlineLevel="4">
      <c r="A83" s="1"/>
      <c r="B83" s="1">
        <v>819400</v>
      </c>
      <c r="C83" s="1" t="s">
        <v>320</v>
      </c>
      <c r="D83" s="1" t="s">
        <v>321</v>
      </c>
      <c r="E83" s="2" t="s">
        <v>322</v>
      </c>
      <c r="F83" s="2" t="s">
        <v>323</v>
      </c>
      <c r="G83" s="2">
        <v>0</v>
      </c>
      <c r="H83" s="2" t="s">
        <v>311</v>
      </c>
      <c r="I83" s="1">
        <v>0</v>
      </c>
      <c r="J83" s="3" t="s">
        <v>18</v>
      </c>
      <c r="K83" s="2" t="str">
        <f>J83*8174.00</f>
        <v>0</v>
      </c>
      <c r="L83" s="5"/>
    </row>
    <row r="84" spans="1:12" customHeight="1" ht="105" outlineLevel="4">
      <c r="A84" s="1"/>
      <c r="B84" s="1">
        <v>819401</v>
      </c>
      <c r="C84" s="1" t="s">
        <v>324</v>
      </c>
      <c r="D84" s="1" t="s">
        <v>325</v>
      </c>
      <c r="E84" s="2" t="s">
        <v>326</v>
      </c>
      <c r="F84" s="2" t="s">
        <v>327</v>
      </c>
      <c r="G84" s="2">
        <v>0</v>
      </c>
      <c r="H84" s="2" t="s">
        <v>273</v>
      </c>
      <c r="I84" s="1">
        <v>0</v>
      </c>
      <c r="J84" s="3" t="s">
        <v>18</v>
      </c>
      <c r="K84" s="2" t="str">
        <f>J84*3318.00</f>
        <v>0</v>
      </c>
      <c r="L84" s="5"/>
    </row>
    <row r="85" spans="1:12" customHeight="1" ht="105" outlineLevel="4">
      <c r="A85" s="1"/>
      <c r="B85" s="1">
        <v>819402</v>
      </c>
      <c r="C85" s="1" t="s">
        <v>328</v>
      </c>
      <c r="D85" s="1" t="s">
        <v>329</v>
      </c>
      <c r="E85" s="2" t="s">
        <v>330</v>
      </c>
      <c r="F85" s="2" t="s">
        <v>331</v>
      </c>
      <c r="G85" s="2">
        <v>0</v>
      </c>
      <c r="H85" s="2">
        <v>2</v>
      </c>
      <c r="I85" s="1">
        <v>0</v>
      </c>
      <c r="J85" s="3" t="s">
        <v>18</v>
      </c>
      <c r="K85" s="2" t="str">
        <f>J85*12773.00</f>
        <v>0</v>
      </c>
      <c r="L85" s="5"/>
    </row>
    <row r="86" spans="1:12" customHeight="1" ht="105" outlineLevel="4">
      <c r="A86" s="1"/>
      <c r="B86" s="1">
        <v>819403</v>
      </c>
      <c r="C86" s="1" t="s">
        <v>332</v>
      </c>
      <c r="D86" s="1" t="s">
        <v>333</v>
      </c>
      <c r="E86" s="2" t="s">
        <v>334</v>
      </c>
      <c r="F86" s="2" t="s">
        <v>335</v>
      </c>
      <c r="G86" s="2">
        <v>0</v>
      </c>
      <c r="H86" s="2">
        <v>0</v>
      </c>
      <c r="I86" s="1">
        <v>0</v>
      </c>
      <c r="J86" s="3" t="s">
        <v>18</v>
      </c>
      <c r="K86" s="2" t="str">
        <f>J86*4908.00</f>
        <v>0</v>
      </c>
      <c r="L86" s="5"/>
    </row>
    <row r="87" spans="1:12" customHeight="1" ht="105" outlineLevel="4">
      <c r="A87" s="1"/>
      <c r="B87" s="1">
        <v>819404</v>
      </c>
      <c r="C87" s="1" t="s">
        <v>336</v>
      </c>
      <c r="D87" s="1" t="s">
        <v>337</v>
      </c>
      <c r="E87" s="2" t="s">
        <v>338</v>
      </c>
      <c r="F87" s="2" t="s">
        <v>339</v>
      </c>
      <c r="G87" s="2">
        <v>0</v>
      </c>
      <c r="H87" s="2" t="s">
        <v>17</v>
      </c>
      <c r="I87" s="1">
        <v>0</v>
      </c>
      <c r="J87" s="3" t="s">
        <v>18</v>
      </c>
      <c r="K87" s="2" t="str">
        <f>J87*1042.00</f>
        <v>0</v>
      </c>
      <c r="L87" s="5"/>
    </row>
    <row r="88" spans="1:12" customHeight="1" ht="105" outlineLevel="4">
      <c r="A88" s="1"/>
      <c r="B88" s="1">
        <v>819405</v>
      </c>
      <c r="C88" s="1" t="s">
        <v>340</v>
      </c>
      <c r="D88" s="1" t="s">
        <v>341</v>
      </c>
      <c r="E88" s="2" t="s">
        <v>342</v>
      </c>
      <c r="F88" s="2" t="s">
        <v>343</v>
      </c>
      <c r="G88" s="2">
        <v>0</v>
      </c>
      <c r="H88" s="2">
        <v>0</v>
      </c>
      <c r="I88" s="1">
        <v>0</v>
      </c>
      <c r="J88" s="3" t="s">
        <v>18</v>
      </c>
      <c r="K88" s="2" t="str">
        <f>J88*1230.00</f>
        <v>0</v>
      </c>
      <c r="L88" s="5"/>
    </row>
    <row r="89" spans="1:12" customHeight="1" ht="105" outlineLevel="4">
      <c r="A89" s="1"/>
      <c r="B89" s="1">
        <v>819406</v>
      </c>
      <c r="C89" s="1" t="s">
        <v>344</v>
      </c>
      <c r="D89" s="1" t="s">
        <v>345</v>
      </c>
      <c r="E89" s="2" t="s">
        <v>346</v>
      </c>
      <c r="F89" s="2" t="s">
        <v>347</v>
      </c>
      <c r="G89" s="2">
        <v>4</v>
      </c>
      <c r="H89" s="2">
        <v>0</v>
      </c>
      <c r="I89" s="1">
        <v>0</v>
      </c>
      <c r="J89" s="3" t="s">
        <v>18</v>
      </c>
      <c r="K89" s="2" t="str">
        <f>J89*1535.00</f>
        <v>0</v>
      </c>
      <c r="L89" s="5"/>
    </row>
    <row r="90" spans="1:12" customHeight="1" ht="105" outlineLevel="4">
      <c r="A90" s="1"/>
      <c r="B90" s="1">
        <v>819407</v>
      </c>
      <c r="C90" s="1" t="s">
        <v>348</v>
      </c>
      <c r="D90" s="1" t="s">
        <v>349</v>
      </c>
      <c r="E90" s="2" t="s">
        <v>350</v>
      </c>
      <c r="F90" s="2" t="s">
        <v>351</v>
      </c>
      <c r="G90" s="2">
        <v>0</v>
      </c>
      <c r="H90" s="2" t="s">
        <v>23</v>
      </c>
      <c r="I90" s="1">
        <v>0</v>
      </c>
      <c r="J90" s="3" t="s">
        <v>18</v>
      </c>
      <c r="K90" s="2" t="str">
        <f>J90*6733.00</f>
        <v>0</v>
      </c>
      <c r="L90" s="5"/>
    </row>
    <row r="91" spans="1:12" customHeight="1" ht="105" outlineLevel="4">
      <c r="A91" s="1"/>
      <c r="B91" s="1">
        <v>819408</v>
      </c>
      <c r="C91" s="1" t="s">
        <v>352</v>
      </c>
      <c r="D91" s="1" t="s">
        <v>353</v>
      </c>
      <c r="E91" s="2" t="s">
        <v>354</v>
      </c>
      <c r="F91" s="2" t="s">
        <v>355</v>
      </c>
      <c r="G91" s="2">
        <v>0</v>
      </c>
      <c r="H91" s="2" t="s">
        <v>311</v>
      </c>
      <c r="I91" s="1">
        <v>0</v>
      </c>
      <c r="J91" s="3" t="s">
        <v>18</v>
      </c>
      <c r="K91" s="2" t="str">
        <f>J91*7135.00</f>
        <v>0</v>
      </c>
      <c r="L91" s="5"/>
    </row>
    <row r="92" spans="1:12" customHeight="1" ht="105" outlineLevel="4">
      <c r="A92" s="1"/>
      <c r="B92" s="1">
        <v>819350</v>
      </c>
      <c r="C92" s="1" t="s">
        <v>356</v>
      </c>
      <c r="D92" s="1" t="s">
        <v>357</v>
      </c>
      <c r="E92" s="2" t="s">
        <v>358</v>
      </c>
      <c r="F92" s="2" t="s">
        <v>359</v>
      </c>
      <c r="G92" s="2">
        <v>0</v>
      </c>
      <c r="H92" s="2">
        <v>0</v>
      </c>
      <c r="I92" s="1">
        <v>0</v>
      </c>
      <c r="J92" s="3" t="s">
        <v>18</v>
      </c>
      <c r="K92" s="2" t="str">
        <f>J92*12566.00</f>
        <v>0</v>
      </c>
      <c r="L92" s="5"/>
    </row>
    <row r="93" spans="1:12" customHeight="1" ht="105" outlineLevel="4">
      <c r="A93" s="1"/>
      <c r="B93" s="1">
        <v>836292</v>
      </c>
      <c r="C93" s="1" t="s">
        <v>360</v>
      </c>
      <c r="D93" s="1" t="s">
        <v>361</v>
      </c>
      <c r="E93" s="2" t="s">
        <v>362</v>
      </c>
      <c r="F93" s="2" t="s">
        <v>363</v>
      </c>
      <c r="G93" s="2">
        <v>0</v>
      </c>
      <c r="H93" s="2" t="s">
        <v>311</v>
      </c>
      <c r="I93" s="1">
        <v>0</v>
      </c>
      <c r="J93" s="3" t="s">
        <v>18</v>
      </c>
      <c r="K93" s="2" t="str">
        <f>J93*1166.00</f>
        <v>0</v>
      </c>
      <c r="L93" s="5"/>
    </row>
    <row r="94" spans="1:12" customHeight="1" ht="105" outlineLevel="4">
      <c r="A94" s="1"/>
      <c r="B94" s="1">
        <v>836328</v>
      </c>
      <c r="C94" s="1" t="s">
        <v>364</v>
      </c>
      <c r="D94" s="1" t="s">
        <v>365</v>
      </c>
      <c r="E94" s="2" t="s">
        <v>366</v>
      </c>
      <c r="F94" s="2" t="s">
        <v>367</v>
      </c>
      <c r="G94" s="2" t="s">
        <v>17</v>
      </c>
      <c r="H94" s="2" t="s">
        <v>368</v>
      </c>
      <c r="I94" s="1">
        <v>0</v>
      </c>
      <c r="J94" s="3" t="s">
        <v>18</v>
      </c>
      <c r="K94" s="2" t="str">
        <f>J94*2016.00</f>
        <v>0</v>
      </c>
      <c r="L94" s="5"/>
    </row>
    <row r="95" spans="1:12" customHeight="1" ht="105" outlineLevel="4">
      <c r="A95" s="1"/>
      <c r="B95" s="1">
        <v>836329</v>
      </c>
      <c r="C95" s="1" t="s">
        <v>369</v>
      </c>
      <c r="D95" s="1" t="s">
        <v>370</v>
      </c>
      <c r="E95" s="2" t="s">
        <v>371</v>
      </c>
      <c r="F95" s="2" t="s">
        <v>367</v>
      </c>
      <c r="G95" s="2">
        <v>0</v>
      </c>
      <c r="H95" s="2" t="s">
        <v>273</v>
      </c>
      <c r="I95" s="1">
        <v>0</v>
      </c>
      <c r="J95" s="3" t="s">
        <v>18</v>
      </c>
      <c r="K95" s="2" t="str">
        <f>J95*2016.00</f>
        <v>0</v>
      </c>
      <c r="L95" s="5"/>
    </row>
    <row r="96" spans="1:12" customHeight="1" ht="105" outlineLevel="4">
      <c r="A96" s="1"/>
      <c r="B96" s="1">
        <v>836330</v>
      </c>
      <c r="C96" s="1" t="s">
        <v>372</v>
      </c>
      <c r="D96" s="1" t="s">
        <v>373</v>
      </c>
      <c r="E96" s="2" t="s">
        <v>374</v>
      </c>
      <c r="F96" s="2" t="s">
        <v>375</v>
      </c>
      <c r="G96" s="2" t="s">
        <v>23</v>
      </c>
      <c r="H96" s="2" t="s">
        <v>368</v>
      </c>
      <c r="I96" s="1">
        <v>0</v>
      </c>
      <c r="J96" s="3" t="s">
        <v>18</v>
      </c>
      <c r="K96" s="2" t="str">
        <f>J96*2117.00</f>
        <v>0</v>
      </c>
      <c r="L96" s="5"/>
    </row>
    <row r="97" spans="1:12" customHeight="1" ht="105" outlineLevel="4">
      <c r="A97" s="1"/>
      <c r="B97" s="1">
        <v>836331</v>
      </c>
      <c r="C97" s="1" t="s">
        <v>376</v>
      </c>
      <c r="D97" s="1" t="s">
        <v>377</v>
      </c>
      <c r="E97" s="2" t="s">
        <v>378</v>
      </c>
      <c r="F97" s="2" t="s">
        <v>375</v>
      </c>
      <c r="G97" s="2">
        <v>0</v>
      </c>
      <c r="H97" s="2" t="s">
        <v>273</v>
      </c>
      <c r="I97" s="1">
        <v>0</v>
      </c>
      <c r="J97" s="3" t="s">
        <v>18</v>
      </c>
      <c r="K97" s="2" t="str">
        <f>J97*2117.00</f>
        <v>0</v>
      </c>
      <c r="L97" s="5"/>
    </row>
    <row r="98" spans="1:12" customHeight="1" ht="105" outlineLevel="4">
      <c r="A98" s="1"/>
      <c r="B98" s="1">
        <v>834803</v>
      </c>
      <c r="C98" s="1" t="s">
        <v>379</v>
      </c>
      <c r="D98" s="1" t="s">
        <v>380</v>
      </c>
      <c r="E98" s="2" t="s">
        <v>381</v>
      </c>
      <c r="F98" s="2" t="s">
        <v>382</v>
      </c>
      <c r="G98" s="2">
        <v>1</v>
      </c>
      <c r="H98" s="2" t="s">
        <v>273</v>
      </c>
      <c r="I98" s="1">
        <v>0</v>
      </c>
      <c r="J98" s="3" t="s">
        <v>18</v>
      </c>
      <c r="K98" s="2" t="str">
        <f>J98*6090.00</f>
        <v>0</v>
      </c>
      <c r="L98" s="5"/>
    </row>
    <row r="99" spans="1:12" customHeight="1" ht="105" outlineLevel="4">
      <c r="A99" s="1"/>
      <c r="B99" s="1">
        <v>834804</v>
      </c>
      <c r="C99" s="1" t="s">
        <v>383</v>
      </c>
      <c r="D99" s="1" t="s">
        <v>384</v>
      </c>
      <c r="E99" s="2" t="s">
        <v>385</v>
      </c>
      <c r="F99" s="2" t="s">
        <v>386</v>
      </c>
      <c r="G99" s="2">
        <v>0</v>
      </c>
      <c r="H99" s="2" t="s">
        <v>17</v>
      </c>
      <c r="I99" s="1">
        <v>0</v>
      </c>
      <c r="J99" s="3" t="s">
        <v>18</v>
      </c>
      <c r="K99" s="2" t="str">
        <f>J99*8159.00</f>
        <v>0</v>
      </c>
      <c r="L99" s="5"/>
    </row>
    <row r="100" spans="1:12" customHeight="1" ht="105" outlineLevel="4">
      <c r="A100" s="1"/>
      <c r="B100" s="1">
        <v>834805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J100*7949.00</f>
        <v>0</v>
      </c>
      <c r="L100" s="5"/>
    </row>
    <row r="101" spans="1:12" customHeight="1" ht="105" outlineLevel="4">
      <c r="A101" s="1"/>
      <c r="B101" s="1">
        <v>834806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>
        <v>0</v>
      </c>
      <c r="H101" s="2">
        <v>6</v>
      </c>
      <c r="I101" s="1">
        <v>0</v>
      </c>
      <c r="J101" s="3" t="s">
        <v>18</v>
      </c>
      <c r="K101" s="2" t="str">
        <f>J101*5257.00</f>
        <v>0</v>
      </c>
      <c r="L101" s="5"/>
    </row>
    <row r="102" spans="1:12" customHeight="1" ht="105" outlineLevel="4">
      <c r="A102" s="1"/>
      <c r="B102" s="1">
        <v>834807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17</v>
      </c>
      <c r="I102" s="1">
        <v>0</v>
      </c>
      <c r="J102" s="3" t="s">
        <v>18</v>
      </c>
      <c r="K102" s="2" t="str">
        <f>J102*5631.00</f>
        <v>0</v>
      </c>
      <c r="L102" s="5"/>
    </row>
    <row r="103" spans="1:12" customHeight="1" ht="105" outlineLevel="4">
      <c r="A103" s="1"/>
      <c r="B103" s="1">
        <v>834808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J103*42495.00</f>
        <v>0</v>
      </c>
      <c r="L103" s="5"/>
    </row>
    <row r="104" spans="1:12" customHeight="1" ht="105" outlineLevel="4">
      <c r="A104" s="1"/>
      <c r="B104" s="1">
        <v>834809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>
        <v>0</v>
      </c>
      <c r="H104" s="2">
        <v>5</v>
      </c>
      <c r="I104" s="1">
        <v>0</v>
      </c>
      <c r="J104" s="3" t="s">
        <v>18</v>
      </c>
      <c r="K104" s="2" t="str">
        <f>J104*57142.00</f>
        <v>0</v>
      </c>
      <c r="L104" s="5"/>
    </row>
    <row r="105" spans="1:12" customHeight="1" ht="105" outlineLevel="4">
      <c r="A105" s="1"/>
      <c r="B105" s="1">
        <v>834810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0</v>
      </c>
      <c r="H105" s="2" t="s">
        <v>23</v>
      </c>
      <c r="I105" s="1">
        <v>0</v>
      </c>
      <c r="J105" s="3" t="s">
        <v>18</v>
      </c>
      <c r="K105" s="2" t="str">
        <f>J105*19315.00</f>
        <v>0</v>
      </c>
      <c r="L105" s="5"/>
    </row>
    <row r="106" spans="1:12" customHeight="1" ht="105" outlineLevel="4">
      <c r="A106" s="1"/>
      <c r="B106" s="1">
        <v>834811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J106*42286.00</f>
        <v>0</v>
      </c>
      <c r="L106" s="5"/>
    </row>
    <row r="107" spans="1:12" customHeight="1" ht="105" outlineLevel="4">
      <c r="A107" s="1"/>
      <c r="B107" s="1">
        <v>834812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J107*19506.00</f>
        <v>0</v>
      </c>
      <c r="L107" s="5"/>
    </row>
    <row r="108" spans="1:12" customHeight="1" ht="105" outlineLevel="4">
      <c r="A108" s="1"/>
      <c r="B108" s="1">
        <v>834813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J108*21481.00</f>
        <v>0</v>
      </c>
      <c r="L108" s="5"/>
    </row>
    <row r="109" spans="1:12" outlineLevel="2">
      <c r="A109" s="8" t="s">
        <v>423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836415</v>
      </c>
      <c r="C110" s="1" t="s">
        <v>424</v>
      </c>
      <c r="D110" s="1" t="s">
        <v>425</v>
      </c>
      <c r="E110" s="2" t="s">
        <v>426</v>
      </c>
      <c r="F110" s="2" t="s">
        <v>427</v>
      </c>
      <c r="G110" s="2">
        <v>6</v>
      </c>
      <c r="H110" s="2">
        <v>0</v>
      </c>
      <c r="I110" s="1">
        <v>0</v>
      </c>
      <c r="J110" s="3" t="s">
        <v>18</v>
      </c>
      <c r="K110" s="2" t="str">
        <f>J110*486.41</f>
        <v>0</v>
      </c>
      <c r="L110" s="5"/>
    </row>
    <row r="111" spans="1:12" customHeight="1" ht="105" outlineLevel="4">
      <c r="A111" s="1"/>
      <c r="B111" s="1">
        <v>833000</v>
      </c>
      <c r="C111" s="1" t="s">
        <v>428</v>
      </c>
      <c r="D111" s="1" t="s">
        <v>429</v>
      </c>
      <c r="E111" s="2" t="s">
        <v>430</v>
      </c>
      <c r="F111" s="2" t="s">
        <v>431</v>
      </c>
      <c r="G111" s="2">
        <v>0</v>
      </c>
      <c r="H111" s="2">
        <v>0</v>
      </c>
      <c r="I111" s="1">
        <v>-3</v>
      </c>
      <c r="J111" s="3" t="s">
        <v>18</v>
      </c>
      <c r="K111" s="2" t="str">
        <f>J111*3840.73</f>
        <v>0</v>
      </c>
      <c r="L111" s="5"/>
    </row>
    <row r="112" spans="1:12" customHeight="1" ht="105" outlineLevel="4">
      <c r="A112" s="1"/>
      <c r="B112" s="1">
        <v>819410</v>
      </c>
      <c r="C112" s="1" t="s">
        <v>432</v>
      </c>
      <c r="D112" s="1" t="s">
        <v>433</v>
      </c>
      <c r="E112" s="2" t="s">
        <v>434</v>
      </c>
      <c r="F112" s="2" t="s">
        <v>435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J112*797.30</f>
        <v>0</v>
      </c>
      <c r="L112" s="5"/>
    </row>
    <row r="113" spans="1:12" customHeight="1" ht="105" outlineLevel="4">
      <c r="A113" s="1"/>
      <c r="B113" s="1">
        <v>819411</v>
      </c>
      <c r="C113" s="1" t="s">
        <v>436</v>
      </c>
      <c r="D113" s="1" t="s">
        <v>437</v>
      </c>
      <c r="E113" s="2" t="s">
        <v>438</v>
      </c>
      <c r="F113" s="2" t="s">
        <v>439</v>
      </c>
      <c r="G113" s="2" t="s">
        <v>17</v>
      </c>
      <c r="H113" s="2">
        <v>0</v>
      </c>
      <c r="I113" s="1">
        <v>0</v>
      </c>
      <c r="J113" s="3" t="s">
        <v>18</v>
      </c>
      <c r="K113" s="2" t="str">
        <f>J113*1496.43</f>
        <v>0</v>
      </c>
      <c r="L113" s="5"/>
    </row>
    <row r="114" spans="1:12" customHeight="1" ht="105" outlineLevel="4">
      <c r="A114" s="1"/>
      <c r="B114" s="1">
        <v>819412</v>
      </c>
      <c r="C114" s="1" t="s">
        <v>440</v>
      </c>
      <c r="D114" s="1" t="s">
        <v>441</v>
      </c>
      <c r="E114" s="2" t="s">
        <v>442</v>
      </c>
      <c r="F114" s="2" t="s">
        <v>443</v>
      </c>
      <c r="G114" s="2" t="s">
        <v>23</v>
      </c>
      <c r="H114" s="2">
        <v>0</v>
      </c>
      <c r="I114" s="1">
        <v>0</v>
      </c>
      <c r="J114" s="3" t="s">
        <v>18</v>
      </c>
      <c r="K114" s="2" t="str">
        <f>J114*766.06</f>
        <v>0</v>
      </c>
      <c r="L114" s="5"/>
    </row>
    <row r="115" spans="1:12" customHeight="1" ht="105" outlineLevel="4">
      <c r="A115" s="1"/>
      <c r="B115" s="1">
        <v>819417</v>
      </c>
      <c r="C115" s="1" t="s">
        <v>444</v>
      </c>
      <c r="D115" s="1" t="s">
        <v>445</v>
      </c>
      <c r="E115" s="2" t="s">
        <v>446</v>
      </c>
      <c r="F115" s="2" t="s">
        <v>447</v>
      </c>
      <c r="G115" s="2" t="s">
        <v>17</v>
      </c>
      <c r="H115" s="2">
        <v>0</v>
      </c>
      <c r="I115" s="1">
        <v>0</v>
      </c>
      <c r="J115" s="3" t="s">
        <v>18</v>
      </c>
      <c r="K115" s="2" t="str">
        <f>J115*388.24</f>
        <v>0</v>
      </c>
      <c r="L115" s="5"/>
    </row>
    <row r="116" spans="1:12" customHeight="1" ht="105" outlineLevel="4">
      <c r="A116" s="1"/>
      <c r="B116" s="1">
        <v>819418</v>
      </c>
      <c r="C116" s="1" t="s">
        <v>448</v>
      </c>
      <c r="D116" s="1" t="s">
        <v>449</v>
      </c>
      <c r="E116" s="2" t="s">
        <v>450</v>
      </c>
      <c r="F116" s="2" t="s">
        <v>451</v>
      </c>
      <c r="G116" s="2" t="s">
        <v>23</v>
      </c>
      <c r="H116" s="2">
        <v>0</v>
      </c>
      <c r="I116" s="1">
        <v>0</v>
      </c>
      <c r="J116" s="3" t="s">
        <v>18</v>
      </c>
      <c r="K116" s="2" t="str">
        <f>J116*380.80</f>
        <v>0</v>
      </c>
      <c r="L116" s="5"/>
    </row>
    <row r="117" spans="1:12" customHeight="1" ht="105" outlineLevel="4">
      <c r="A117" s="1"/>
      <c r="B117" s="1">
        <v>819419</v>
      </c>
      <c r="C117" s="1" t="s">
        <v>452</v>
      </c>
      <c r="D117" s="1" t="s">
        <v>453</v>
      </c>
      <c r="E117" s="2" t="s">
        <v>454</v>
      </c>
      <c r="F117" s="2" t="s">
        <v>455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J117*420.96</f>
        <v>0</v>
      </c>
      <c r="L117" s="5"/>
    </row>
    <row r="118" spans="1:12" customHeight="1" ht="105" outlineLevel="4">
      <c r="A118" s="1"/>
      <c r="B118" s="1">
        <v>819420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 t="s">
        <v>17</v>
      </c>
      <c r="H118" s="2">
        <v>0</v>
      </c>
      <c r="I118" s="1">
        <v>0</v>
      </c>
      <c r="J118" s="3" t="s">
        <v>18</v>
      </c>
      <c r="K118" s="2" t="str">
        <f>J118*126.44</f>
        <v>0</v>
      </c>
      <c r="L118" s="5"/>
    </row>
    <row r="119" spans="1:12" customHeight="1" ht="105" outlineLevel="4">
      <c r="A119" s="1"/>
      <c r="B119" s="1">
        <v>819421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4</v>
      </c>
      <c r="H119" s="2">
        <v>0</v>
      </c>
      <c r="I119" s="1">
        <v>0</v>
      </c>
      <c r="J119" s="3" t="s">
        <v>18</v>
      </c>
      <c r="K119" s="2" t="str">
        <f>J119*1511.30</f>
        <v>0</v>
      </c>
      <c r="L119" s="5"/>
    </row>
    <row r="120" spans="1:12" customHeight="1" ht="105" outlineLevel="4">
      <c r="A120" s="1"/>
      <c r="B120" s="1">
        <v>819422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 t="s">
        <v>23</v>
      </c>
      <c r="H120" s="2">
        <v>0</v>
      </c>
      <c r="I120" s="1">
        <v>0</v>
      </c>
      <c r="J120" s="3" t="s">
        <v>18</v>
      </c>
      <c r="K120" s="2" t="str">
        <f>J120*258.83</f>
        <v>0</v>
      </c>
      <c r="L120" s="5"/>
    </row>
    <row r="121" spans="1:12" customHeight="1" ht="105" outlineLevel="4">
      <c r="A121" s="1"/>
      <c r="B121" s="1">
        <v>819424</v>
      </c>
      <c r="C121" s="1" t="s">
        <v>468</v>
      </c>
      <c r="D121" s="1" t="s">
        <v>469</v>
      </c>
      <c r="E121" s="2" t="s">
        <v>470</v>
      </c>
      <c r="F121" s="2" t="s">
        <v>471</v>
      </c>
      <c r="G121" s="2" t="s">
        <v>17</v>
      </c>
      <c r="H121" s="2">
        <v>0</v>
      </c>
      <c r="I121" s="1">
        <v>0</v>
      </c>
      <c r="J121" s="3" t="s">
        <v>173</v>
      </c>
      <c r="K121" s="2" t="str">
        <f>J121*288.58</f>
        <v>0</v>
      </c>
      <c r="L121" s="5"/>
    </row>
    <row r="122" spans="1:12" customHeight="1" ht="105" outlineLevel="4">
      <c r="A122" s="1"/>
      <c r="B122" s="1">
        <v>819425</v>
      </c>
      <c r="C122" s="1" t="s">
        <v>472</v>
      </c>
      <c r="D122" s="1" t="s">
        <v>473</v>
      </c>
      <c r="E122" s="2" t="s">
        <v>474</v>
      </c>
      <c r="F122" s="2" t="s">
        <v>475</v>
      </c>
      <c r="G122" s="2" t="s">
        <v>23</v>
      </c>
      <c r="H122" s="2">
        <v>0</v>
      </c>
      <c r="I122" s="1">
        <v>0</v>
      </c>
      <c r="J122" s="3" t="s">
        <v>173</v>
      </c>
      <c r="K122" s="2" t="str">
        <f>J122*359.98</f>
        <v>0</v>
      </c>
      <c r="L122" s="5"/>
    </row>
    <row r="123" spans="1:12" customHeight="1" ht="105" outlineLevel="4">
      <c r="A123" s="1"/>
      <c r="B123" s="1">
        <v>823134</v>
      </c>
      <c r="C123" s="1" t="s">
        <v>476</v>
      </c>
      <c r="D123" s="1" t="s">
        <v>477</v>
      </c>
      <c r="E123" s="2" t="s">
        <v>478</v>
      </c>
      <c r="F123" s="2" t="s">
        <v>479</v>
      </c>
      <c r="G123" s="2" t="s">
        <v>23</v>
      </c>
      <c r="H123" s="2">
        <v>0</v>
      </c>
      <c r="I123" s="1">
        <v>0</v>
      </c>
      <c r="J123" s="3" t="s">
        <v>18</v>
      </c>
      <c r="K123" s="2" t="str">
        <f>J123*1457.75</f>
        <v>0</v>
      </c>
      <c r="L123" s="5"/>
    </row>
    <row r="124" spans="1:12" customHeight="1" ht="105" outlineLevel="4">
      <c r="A124" s="1"/>
      <c r="B124" s="1">
        <v>823135</v>
      </c>
      <c r="C124" s="1" t="s">
        <v>480</v>
      </c>
      <c r="D124" s="1" t="s">
        <v>481</v>
      </c>
      <c r="E124" s="2" t="s">
        <v>482</v>
      </c>
      <c r="F124" s="2" t="s">
        <v>483</v>
      </c>
      <c r="G124" s="2" t="s">
        <v>23</v>
      </c>
      <c r="H124" s="2">
        <v>0</v>
      </c>
      <c r="I124" s="1">
        <v>0</v>
      </c>
      <c r="J124" s="3" t="s">
        <v>18</v>
      </c>
      <c r="K124" s="2" t="str">
        <f>J124*1926.31</f>
        <v>0</v>
      </c>
      <c r="L124" s="5"/>
    </row>
    <row r="125" spans="1:12" customHeight="1" ht="105" outlineLevel="4">
      <c r="A125" s="1"/>
      <c r="B125" s="1">
        <v>823136</v>
      </c>
      <c r="C125" s="1" t="s">
        <v>484</v>
      </c>
      <c r="D125" s="1" t="s">
        <v>485</v>
      </c>
      <c r="E125" s="2" t="s">
        <v>486</v>
      </c>
      <c r="F125" s="2" t="s">
        <v>487</v>
      </c>
      <c r="G125" s="2">
        <v>2</v>
      </c>
      <c r="H125" s="2">
        <v>0</v>
      </c>
      <c r="I125" s="1">
        <v>0</v>
      </c>
      <c r="J125" s="3" t="s">
        <v>18</v>
      </c>
      <c r="K125" s="2" t="str">
        <f>J125*2375.54</f>
        <v>0</v>
      </c>
      <c r="L125" s="5"/>
    </row>
    <row r="126" spans="1:12" customHeight="1" ht="105" outlineLevel="4">
      <c r="A126" s="1"/>
      <c r="B126" s="1">
        <v>823137</v>
      </c>
      <c r="C126" s="1" t="s">
        <v>488</v>
      </c>
      <c r="D126" s="1" t="s">
        <v>489</v>
      </c>
      <c r="E126" s="2" t="s">
        <v>490</v>
      </c>
      <c r="F126" s="2" t="s">
        <v>491</v>
      </c>
      <c r="G126" s="2">
        <v>5</v>
      </c>
      <c r="H126" s="2">
        <v>0</v>
      </c>
      <c r="I126" s="1">
        <v>0</v>
      </c>
      <c r="J126" s="3" t="s">
        <v>18</v>
      </c>
      <c r="K126" s="2" t="str">
        <f>J126*1018.94</f>
        <v>0</v>
      </c>
      <c r="L126" s="5"/>
    </row>
    <row r="127" spans="1:12" customHeight="1" ht="105" outlineLevel="4">
      <c r="A127" s="1"/>
      <c r="B127" s="1">
        <v>823138</v>
      </c>
      <c r="C127" s="1" t="s">
        <v>492</v>
      </c>
      <c r="D127" s="1" t="s">
        <v>493</v>
      </c>
      <c r="E127" s="2" t="s">
        <v>494</v>
      </c>
      <c r="F127" s="2" t="s">
        <v>491</v>
      </c>
      <c r="G127" s="2">
        <v>6</v>
      </c>
      <c r="H127" s="2">
        <v>0</v>
      </c>
      <c r="I127" s="1">
        <v>0</v>
      </c>
      <c r="J127" s="3" t="s">
        <v>18</v>
      </c>
      <c r="K127" s="2" t="str">
        <f>J127*1018.94</f>
        <v>0</v>
      </c>
      <c r="L127" s="5"/>
    </row>
    <row r="128" spans="1:12" customHeight="1" ht="105" outlineLevel="4">
      <c r="A128" s="1"/>
      <c r="B128" s="1">
        <v>823139</v>
      </c>
      <c r="C128" s="1" t="s">
        <v>495</v>
      </c>
      <c r="D128" s="1" t="s">
        <v>496</v>
      </c>
      <c r="E128" s="2" t="s">
        <v>497</v>
      </c>
      <c r="F128" s="2" t="s">
        <v>498</v>
      </c>
      <c r="G128" s="2">
        <v>5</v>
      </c>
      <c r="H128" s="2">
        <v>0</v>
      </c>
      <c r="I128" s="1">
        <v>0</v>
      </c>
      <c r="J128" s="3" t="s">
        <v>18</v>
      </c>
      <c r="K128" s="2" t="str">
        <f>J128*1068.03</f>
        <v>0</v>
      </c>
      <c r="L128" s="5"/>
    </row>
    <row r="129" spans="1:12" customHeight="1" ht="105" outlineLevel="4">
      <c r="A129" s="1"/>
      <c r="B129" s="1">
        <v>823140</v>
      </c>
      <c r="C129" s="1" t="s">
        <v>499</v>
      </c>
      <c r="D129" s="1" t="s">
        <v>500</v>
      </c>
      <c r="E129" s="2" t="s">
        <v>501</v>
      </c>
      <c r="F129" s="2" t="s">
        <v>502</v>
      </c>
      <c r="G129" s="2" t="s">
        <v>311</v>
      </c>
      <c r="H129" s="2">
        <v>0</v>
      </c>
      <c r="I129" s="1">
        <v>0</v>
      </c>
      <c r="J129" s="3" t="s">
        <v>18</v>
      </c>
      <c r="K129" s="2" t="str">
        <f>J129*179.99</f>
        <v>0</v>
      </c>
      <c r="L129" s="5"/>
    </row>
    <row r="130" spans="1:12" customHeight="1" ht="105" outlineLevel="4">
      <c r="A130" s="1"/>
      <c r="B130" s="1">
        <v>823141</v>
      </c>
      <c r="C130" s="1" t="s">
        <v>503</v>
      </c>
      <c r="D130" s="1" t="s">
        <v>504</v>
      </c>
      <c r="E130" s="2" t="s">
        <v>505</v>
      </c>
      <c r="F130" s="2" t="s">
        <v>506</v>
      </c>
      <c r="G130" s="2" t="s">
        <v>23</v>
      </c>
      <c r="H130" s="2">
        <v>0</v>
      </c>
      <c r="I130" s="1">
        <v>0</v>
      </c>
      <c r="J130" s="3" t="s">
        <v>18</v>
      </c>
      <c r="K130" s="2" t="str">
        <f>J130*196.35</f>
        <v>0</v>
      </c>
      <c r="L130" s="5"/>
    </row>
    <row r="131" spans="1:12" customHeight="1" ht="105" outlineLevel="4">
      <c r="A131" s="1"/>
      <c r="B131" s="1">
        <v>825112</v>
      </c>
      <c r="C131" s="1" t="s">
        <v>507</v>
      </c>
      <c r="D131" s="1" t="s">
        <v>508</v>
      </c>
      <c r="E131" s="2" t="s">
        <v>509</v>
      </c>
      <c r="F131" s="2" t="s">
        <v>510</v>
      </c>
      <c r="G131" s="2">
        <v>3</v>
      </c>
      <c r="H131" s="2">
        <v>0</v>
      </c>
      <c r="I131" s="1">
        <v>0</v>
      </c>
      <c r="J131" s="3" t="s">
        <v>18</v>
      </c>
      <c r="K131" s="2" t="str">
        <f>J131*3440.00</f>
        <v>0</v>
      </c>
      <c r="L131" s="5"/>
    </row>
    <row r="132" spans="1:12" customHeight="1" ht="105" outlineLevel="4">
      <c r="A132" s="1"/>
      <c r="B132" s="1">
        <v>825113</v>
      </c>
      <c r="C132" s="1" t="s">
        <v>511</v>
      </c>
      <c r="D132" s="1"/>
      <c r="E132" s="2" t="s">
        <v>512</v>
      </c>
      <c r="F132" s="2" t="s">
        <v>513</v>
      </c>
      <c r="G132" s="2">
        <v>-27</v>
      </c>
      <c r="H132" s="2">
        <v>0</v>
      </c>
      <c r="I132" s="1" t="s">
        <v>311</v>
      </c>
      <c r="J132" s="3" t="s">
        <v>18</v>
      </c>
      <c r="K132" s="2" t="str">
        <f>J132*154.80</f>
        <v>0</v>
      </c>
      <c r="L132" s="5"/>
    </row>
    <row r="133" spans="1:12" customHeight="1" ht="105" outlineLevel="4">
      <c r="A133" s="1"/>
      <c r="B133" s="1">
        <v>826596</v>
      </c>
      <c r="C133" s="1" t="s">
        <v>514</v>
      </c>
      <c r="D133" s="1" t="s">
        <v>515</v>
      </c>
      <c r="E133" s="2" t="s">
        <v>516</v>
      </c>
      <c r="F133" s="2" t="s">
        <v>517</v>
      </c>
      <c r="G133" s="2" t="s">
        <v>23</v>
      </c>
      <c r="H133" s="2">
        <v>0</v>
      </c>
      <c r="I133" s="1">
        <v>0</v>
      </c>
      <c r="J133" s="3" t="s">
        <v>173</v>
      </c>
      <c r="K133" s="2" t="str">
        <f>J133*2012.59</f>
        <v>0</v>
      </c>
      <c r="L133" s="5"/>
    </row>
    <row r="134" spans="1:12" customHeight="1" ht="105" outlineLevel="4">
      <c r="A134" s="1"/>
      <c r="B134" s="1">
        <v>829306</v>
      </c>
      <c r="C134" s="1" t="s">
        <v>518</v>
      </c>
      <c r="D134" s="1" t="s">
        <v>519</v>
      </c>
      <c r="E134" s="2" t="s">
        <v>520</v>
      </c>
      <c r="F134" s="2" t="s">
        <v>521</v>
      </c>
      <c r="G134" s="2" t="s">
        <v>23</v>
      </c>
      <c r="H134" s="2">
        <v>0</v>
      </c>
      <c r="I134" s="1">
        <v>0</v>
      </c>
      <c r="J134" s="3" t="s">
        <v>18</v>
      </c>
      <c r="K134" s="2" t="str">
        <f>J134*2635.85</f>
        <v>0</v>
      </c>
      <c r="L134" s="5"/>
    </row>
    <row r="135" spans="1:12" customHeight="1" ht="105" outlineLevel="4">
      <c r="A135" s="1"/>
      <c r="B135" s="1">
        <v>827057</v>
      </c>
      <c r="C135" s="1" t="s">
        <v>522</v>
      </c>
      <c r="D135" s="1" t="s">
        <v>523</v>
      </c>
      <c r="E135" s="2" t="s">
        <v>524</v>
      </c>
      <c r="F135" s="2" t="s">
        <v>525</v>
      </c>
      <c r="G135" s="2" t="s">
        <v>17</v>
      </c>
      <c r="H135" s="2">
        <v>0</v>
      </c>
      <c r="I135" s="1">
        <v>0</v>
      </c>
      <c r="J135" s="3" t="s">
        <v>18</v>
      </c>
      <c r="K135" s="2" t="str">
        <f>J135*468.56</f>
        <v>0</v>
      </c>
      <c r="L135" s="5"/>
    </row>
    <row r="136" spans="1:12" customHeight="1" ht="105" outlineLevel="4">
      <c r="A136" s="1"/>
      <c r="B136" s="1">
        <v>827058</v>
      </c>
      <c r="C136" s="1" t="s">
        <v>526</v>
      </c>
      <c r="D136" s="1" t="s">
        <v>527</v>
      </c>
      <c r="E136" s="2" t="s">
        <v>528</v>
      </c>
      <c r="F136" s="2" t="s">
        <v>529</v>
      </c>
      <c r="G136" s="2">
        <v>7</v>
      </c>
      <c r="H136" s="2">
        <v>0</v>
      </c>
      <c r="I136" s="1">
        <v>0</v>
      </c>
      <c r="J136" s="3" t="s">
        <v>18</v>
      </c>
      <c r="K136" s="2" t="str">
        <f>J136*443.28</f>
        <v>0</v>
      </c>
      <c r="L136" s="5"/>
    </row>
    <row r="137" spans="1:12" customHeight="1" ht="105" outlineLevel="4">
      <c r="A137" s="1"/>
      <c r="B137" s="1">
        <v>834446</v>
      </c>
      <c r="C137" s="1" t="s">
        <v>530</v>
      </c>
      <c r="D137" s="1" t="s">
        <v>531</v>
      </c>
      <c r="E137" s="2" t="s">
        <v>532</v>
      </c>
      <c r="F137" s="2" t="s">
        <v>533</v>
      </c>
      <c r="G137" s="2" t="s">
        <v>273</v>
      </c>
      <c r="H137" s="2">
        <v>0</v>
      </c>
      <c r="I137" s="1">
        <v>0</v>
      </c>
      <c r="J137" s="3" t="s">
        <v>18</v>
      </c>
      <c r="K137" s="2" t="str">
        <f>J137*669.38</f>
        <v>0</v>
      </c>
      <c r="L137" s="5"/>
    </row>
    <row r="138" spans="1:12" customHeight="1" ht="105" outlineLevel="4">
      <c r="A138" s="1"/>
      <c r="B138" s="1">
        <v>837117</v>
      </c>
      <c r="C138" s="1" t="s">
        <v>534</v>
      </c>
      <c r="D138" s="1" t="s">
        <v>535</v>
      </c>
      <c r="E138" s="2" t="s">
        <v>536</v>
      </c>
      <c r="F138" s="2" t="s">
        <v>537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J138*4575.55</f>
        <v>0</v>
      </c>
      <c r="L138" s="5"/>
    </row>
    <row r="139" spans="1:12" customHeight="1" ht="105" outlineLevel="4">
      <c r="A139" s="1"/>
      <c r="B139" s="1">
        <v>839787</v>
      </c>
      <c r="C139" s="1" t="s">
        <v>538</v>
      </c>
      <c r="D139" s="1" t="s">
        <v>539</v>
      </c>
      <c r="E139" s="2" t="s">
        <v>540</v>
      </c>
      <c r="F139" s="2" t="s">
        <v>541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J139*3996.91</f>
        <v>0</v>
      </c>
      <c r="L139" s="5"/>
    </row>
    <row r="140" spans="1:12" customHeight="1" ht="105" outlineLevel="4">
      <c r="A140" s="1"/>
      <c r="B140" s="1">
        <v>839788</v>
      </c>
      <c r="C140" s="1" t="s">
        <v>542</v>
      </c>
      <c r="D140" s="1" t="s">
        <v>543</v>
      </c>
      <c r="E140" s="2" t="s">
        <v>544</v>
      </c>
      <c r="F140" s="2" t="s">
        <v>545</v>
      </c>
      <c r="G140" s="2">
        <v>5</v>
      </c>
      <c r="H140" s="2">
        <v>0</v>
      </c>
      <c r="I140" s="1">
        <v>0</v>
      </c>
      <c r="J140" s="3" t="s">
        <v>18</v>
      </c>
      <c r="K140" s="2" t="str">
        <f>J140*3052.35</f>
        <v>0</v>
      </c>
      <c r="L140" s="5"/>
    </row>
    <row r="141" spans="1:12" outlineLevel="1">
      <c r="A141" s="7" t="s">
        <v>546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5"/>
    </row>
    <row r="142" spans="1:12" outlineLevel="2">
      <c r="A142" s="8" t="s">
        <v>547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819344</v>
      </c>
      <c r="C143" s="1" t="s">
        <v>548</v>
      </c>
      <c r="D143" s="1" t="s">
        <v>549</v>
      </c>
      <c r="E143" s="2" t="s">
        <v>550</v>
      </c>
      <c r="F143" s="2" t="s">
        <v>551</v>
      </c>
      <c r="G143" s="2">
        <v>3</v>
      </c>
      <c r="H143" s="2" t="s">
        <v>17</v>
      </c>
      <c r="I143" s="1">
        <v>0</v>
      </c>
      <c r="J143" s="3" t="s">
        <v>18</v>
      </c>
      <c r="K143" s="2" t="str">
        <f>J143*6342.00</f>
        <v>0</v>
      </c>
      <c r="L143" s="5"/>
    </row>
    <row r="144" spans="1:12" customHeight="1" ht="105" outlineLevel="4">
      <c r="A144" s="1"/>
      <c r="B144" s="1">
        <v>819345</v>
      </c>
      <c r="C144" s="1" t="s">
        <v>552</v>
      </c>
      <c r="D144" s="1" t="s">
        <v>553</v>
      </c>
      <c r="E144" s="2" t="s">
        <v>554</v>
      </c>
      <c r="F144" s="2" t="s">
        <v>555</v>
      </c>
      <c r="G144" s="2">
        <v>3</v>
      </c>
      <c r="H144" s="2">
        <v>0</v>
      </c>
      <c r="I144" s="1">
        <v>0</v>
      </c>
      <c r="J144" s="3" t="s">
        <v>18</v>
      </c>
      <c r="K144" s="2" t="str">
        <f>J144*5344.00</f>
        <v>0</v>
      </c>
      <c r="L144" s="5"/>
    </row>
    <row r="145" spans="1:12" customHeight="1" ht="105" outlineLevel="4">
      <c r="A145" s="1"/>
      <c r="B145" s="1">
        <v>819346</v>
      </c>
      <c r="C145" s="1" t="s">
        <v>556</v>
      </c>
      <c r="D145" s="1" t="s">
        <v>557</v>
      </c>
      <c r="E145" s="2" t="s">
        <v>558</v>
      </c>
      <c r="F145" s="2" t="s">
        <v>559</v>
      </c>
      <c r="G145" s="2">
        <v>1</v>
      </c>
      <c r="H145" s="2" t="s">
        <v>273</v>
      </c>
      <c r="I145" s="1">
        <v>0</v>
      </c>
      <c r="J145" s="3" t="s">
        <v>18</v>
      </c>
      <c r="K145" s="2" t="str">
        <f>J145*2086.00</f>
        <v>0</v>
      </c>
      <c r="L145" s="5"/>
    </row>
    <row r="146" spans="1:12" customHeight="1" ht="105" outlineLevel="4">
      <c r="A146" s="1"/>
      <c r="B146" s="1">
        <v>819347</v>
      </c>
      <c r="C146" s="1" t="s">
        <v>560</v>
      </c>
      <c r="D146" s="1" t="s">
        <v>561</v>
      </c>
      <c r="E146" s="2" t="s">
        <v>562</v>
      </c>
      <c r="F146" s="2" t="s">
        <v>563</v>
      </c>
      <c r="G146" s="2" t="s">
        <v>23</v>
      </c>
      <c r="H146" s="2" t="s">
        <v>311</v>
      </c>
      <c r="I146" s="1">
        <v>0</v>
      </c>
      <c r="J146" s="3" t="s">
        <v>18</v>
      </c>
      <c r="K146" s="2" t="str">
        <f>J146*7494.00</f>
        <v>0</v>
      </c>
      <c r="L146" s="5"/>
    </row>
    <row r="147" spans="1:12" customHeight="1" ht="105" outlineLevel="4">
      <c r="A147" s="1"/>
      <c r="B147" s="1">
        <v>819348</v>
      </c>
      <c r="C147" s="1" t="s">
        <v>564</v>
      </c>
      <c r="D147" s="1" t="s">
        <v>565</v>
      </c>
      <c r="E147" s="2" t="s">
        <v>566</v>
      </c>
      <c r="F147" s="2" t="s">
        <v>567</v>
      </c>
      <c r="G147" s="2">
        <v>2</v>
      </c>
      <c r="H147" s="2">
        <v>0</v>
      </c>
      <c r="I147" s="1">
        <v>0</v>
      </c>
      <c r="J147" s="3" t="s">
        <v>18</v>
      </c>
      <c r="K147" s="2" t="str">
        <f>J147*8113.00</f>
        <v>0</v>
      </c>
      <c r="L147" s="5"/>
    </row>
    <row r="148" spans="1:12" customHeight="1" ht="105" outlineLevel="4">
      <c r="A148" s="1"/>
      <c r="B148" s="1">
        <v>819349</v>
      </c>
      <c r="C148" s="1" t="s">
        <v>568</v>
      </c>
      <c r="D148" s="1" t="s">
        <v>569</v>
      </c>
      <c r="E148" s="2" t="s">
        <v>570</v>
      </c>
      <c r="F148" s="2" t="s">
        <v>571</v>
      </c>
      <c r="G148" s="2">
        <v>3</v>
      </c>
      <c r="H148" s="2" t="s">
        <v>17</v>
      </c>
      <c r="I148" s="1">
        <v>0</v>
      </c>
      <c r="J148" s="3" t="s">
        <v>18</v>
      </c>
      <c r="K148" s="2" t="str">
        <f>J148*7574.00</f>
        <v>0</v>
      </c>
      <c r="L148" s="5"/>
    </row>
    <row r="149" spans="1:12" customHeight="1" ht="105" outlineLevel="4">
      <c r="A149" s="1"/>
      <c r="B149" s="1">
        <v>819351</v>
      </c>
      <c r="C149" s="1" t="s">
        <v>572</v>
      </c>
      <c r="D149" s="1" t="s">
        <v>573</v>
      </c>
      <c r="E149" s="2" t="s">
        <v>574</v>
      </c>
      <c r="F149" s="2" t="s">
        <v>575</v>
      </c>
      <c r="G149" s="2">
        <v>2</v>
      </c>
      <c r="H149" s="2" t="s">
        <v>273</v>
      </c>
      <c r="I149" s="1">
        <v>0</v>
      </c>
      <c r="J149" s="3" t="s">
        <v>18</v>
      </c>
      <c r="K149" s="2" t="str">
        <f>J149*33860.00</f>
        <v>0</v>
      </c>
      <c r="L149" s="5"/>
    </row>
    <row r="150" spans="1:12" customHeight="1" ht="105" outlineLevel="4">
      <c r="A150" s="1"/>
      <c r="B150" s="1">
        <v>819353</v>
      </c>
      <c r="C150" s="1" t="s">
        <v>576</v>
      </c>
      <c r="D150" s="1" t="s">
        <v>577</v>
      </c>
      <c r="E150" s="2" t="s">
        <v>578</v>
      </c>
      <c r="F150" s="2" t="s">
        <v>579</v>
      </c>
      <c r="G150" s="2">
        <v>0</v>
      </c>
      <c r="H150" s="2">
        <v>7</v>
      </c>
      <c r="I150" s="1">
        <v>0</v>
      </c>
      <c r="J150" s="3" t="s">
        <v>18</v>
      </c>
      <c r="K150" s="2" t="str">
        <f>J150*40244.00</f>
        <v>0</v>
      </c>
      <c r="L150" s="5"/>
    </row>
    <row r="151" spans="1:12" customHeight="1" ht="105" outlineLevel="4">
      <c r="A151" s="1"/>
      <c r="B151" s="1">
        <v>819354</v>
      </c>
      <c r="C151" s="1" t="s">
        <v>580</v>
      </c>
      <c r="D151" s="1" t="s">
        <v>581</v>
      </c>
      <c r="E151" s="2" t="s">
        <v>582</v>
      </c>
      <c r="F151" s="2" t="s">
        <v>583</v>
      </c>
      <c r="G151" s="2">
        <v>2</v>
      </c>
      <c r="H151" s="2" t="s">
        <v>23</v>
      </c>
      <c r="I151" s="1">
        <v>0</v>
      </c>
      <c r="J151" s="3" t="s">
        <v>18</v>
      </c>
      <c r="K151" s="2" t="str">
        <f>J151*8556.00</f>
        <v>0</v>
      </c>
      <c r="L151" s="5"/>
    </row>
    <row r="152" spans="1:12" customHeight="1" ht="105" outlineLevel="4">
      <c r="A152" s="1"/>
      <c r="B152" s="1">
        <v>819355</v>
      </c>
      <c r="C152" s="1" t="s">
        <v>584</v>
      </c>
      <c r="D152" s="1" t="s">
        <v>585</v>
      </c>
      <c r="E152" s="2" t="s">
        <v>586</v>
      </c>
      <c r="F152" s="2" t="s">
        <v>587</v>
      </c>
      <c r="G152" s="2">
        <v>2</v>
      </c>
      <c r="H152" s="2" t="s">
        <v>17</v>
      </c>
      <c r="I152" s="1">
        <v>0</v>
      </c>
      <c r="J152" s="3" t="s">
        <v>18</v>
      </c>
      <c r="K152" s="2" t="str">
        <f>J152*8343.00</f>
        <v>0</v>
      </c>
      <c r="L152" s="5"/>
    </row>
    <row r="153" spans="1:12" customHeight="1" ht="105" outlineLevel="4">
      <c r="A153" s="1"/>
      <c r="B153" s="1">
        <v>819356</v>
      </c>
      <c r="C153" s="1" t="s">
        <v>588</v>
      </c>
      <c r="D153" s="1" t="s">
        <v>589</v>
      </c>
      <c r="E153" s="2" t="s">
        <v>590</v>
      </c>
      <c r="F153" s="2" t="s">
        <v>591</v>
      </c>
      <c r="G153" s="2">
        <v>2</v>
      </c>
      <c r="H153" s="2" t="s">
        <v>23</v>
      </c>
      <c r="I153" s="1">
        <v>0</v>
      </c>
      <c r="J153" s="3" t="s">
        <v>18</v>
      </c>
      <c r="K153" s="2" t="str">
        <f>J153*9520.00</f>
        <v>0</v>
      </c>
      <c r="L153" s="5"/>
    </row>
    <row r="154" spans="1:12" customHeight="1" ht="105" outlineLevel="4">
      <c r="A154" s="1"/>
      <c r="B154" s="1">
        <v>819357</v>
      </c>
      <c r="C154" s="1" t="s">
        <v>592</v>
      </c>
      <c r="D154" s="1" t="s">
        <v>593</v>
      </c>
      <c r="E154" s="2" t="s">
        <v>594</v>
      </c>
      <c r="F154" s="2" t="s">
        <v>595</v>
      </c>
      <c r="G154" s="2">
        <v>0</v>
      </c>
      <c r="H154" s="2">
        <v>8</v>
      </c>
      <c r="I154" s="1">
        <v>0</v>
      </c>
      <c r="J154" s="3" t="s">
        <v>18</v>
      </c>
      <c r="K154" s="2" t="str">
        <f>J154*9373.00</f>
        <v>0</v>
      </c>
      <c r="L154" s="5"/>
    </row>
    <row r="155" spans="1:12" customHeight="1" ht="105" outlineLevel="4">
      <c r="A155" s="1"/>
      <c r="B155" s="1">
        <v>819358</v>
      </c>
      <c r="C155" s="1" t="s">
        <v>596</v>
      </c>
      <c r="D155" s="1" t="s">
        <v>597</v>
      </c>
      <c r="E155" s="2" t="s">
        <v>598</v>
      </c>
      <c r="F155" s="2" t="s">
        <v>599</v>
      </c>
      <c r="G155" s="2">
        <v>2</v>
      </c>
      <c r="H155" s="2">
        <v>2</v>
      </c>
      <c r="I155" s="1">
        <v>0</v>
      </c>
      <c r="J155" s="3" t="s">
        <v>18</v>
      </c>
      <c r="K155" s="2" t="str">
        <f>J155*9181.00</f>
        <v>0</v>
      </c>
      <c r="L155" s="5"/>
    </row>
    <row r="156" spans="1:12" customHeight="1" ht="105" outlineLevel="4">
      <c r="A156" s="1"/>
      <c r="B156" s="1">
        <v>819359</v>
      </c>
      <c r="C156" s="1" t="s">
        <v>600</v>
      </c>
      <c r="D156" s="1" t="s">
        <v>601</v>
      </c>
      <c r="E156" s="2" t="s">
        <v>602</v>
      </c>
      <c r="F156" s="2" t="s">
        <v>603</v>
      </c>
      <c r="G156" s="2">
        <v>0</v>
      </c>
      <c r="H156" s="2">
        <v>6</v>
      </c>
      <c r="I156" s="1">
        <v>0</v>
      </c>
      <c r="J156" s="3" t="s">
        <v>18</v>
      </c>
      <c r="K156" s="2" t="str">
        <f>J156*10688.00</f>
        <v>0</v>
      </c>
      <c r="L156" s="5"/>
    </row>
    <row r="157" spans="1:12" customHeight="1" ht="105" outlineLevel="4">
      <c r="A157" s="1"/>
      <c r="B157" s="1">
        <v>819360</v>
      </c>
      <c r="C157" s="1" t="s">
        <v>604</v>
      </c>
      <c r="D157" s="1" t="s">
        <v>605</v>
      </c>
      <c r="E157" s="2" t="s">
        <v>606</v>
      </c>
      <c r="F157" s="2" t="s">
        <v>607</v>
      </c>
      <c r="G157" s="2">
        <v>0</v>
      </c>
      <c r="H157" s="2" t="s">
        <v>23</v>
      </c>
      <c r="I157" s="1">
        <v>0</v>
      </c>
      <c r="J157" s="3" t="s">
        <v>18</v>
      </c>
      <c r="K157" s="2" t="str">
        <f>J157*24914.00</f>
        <v>0</v>
      </c>
      <c r="L157" s="5"/>
    </row>
    <row r="158" spans="1:12" customHeight="1" ht="105" outlineLevel="4">
      <c r="A158" s="1"/>
      <c r="B158" s="1">
        <v>819361</v>
      </c>
      <c r="C158" s="1" t="s">
        <v>608</v>
      </c>
      <c r="D158" s="1" t="s">
        <v>609</v>
      </c>
      <c r="E158" s="2" t="s">
        <v>610</v>
      </c>
      <c r="F158" s="2" t="s">
        <v>607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J158*24914.00</f>
        <v>0</v>
      </c>
      <c r="L158" s="5"/>
    </row>
    <row r="159" spans="1:12" customHeight="1" ht="105" outlineLevel="4">
      <c r="A159" s="1"/>
      <c r="B159" s="1">
        <v>819362</v>
      </c>
      <c r="C159" s="1" t="s">
        <v>611</v>
      </c>
      <c r="D159" s="1" t="s">
        <v>612</v>
      </c>
      <c r="E159" s="2" t="s">
        <v>613</v>
      </c>
      <c r="F159" s="2" t="s">
        <v>614</v>
      </c>
      <c r="G159" s="2">
        <v>0</v>
      </c>
      <c r="H159" s="2" t="s">
        <v>23</v>
      </c>
      <c r="I159" s="1">
        <v>0</v>
      </c>
      <c r="J159" s="3" t="s">
        <v>18</v>
      </c>
      <c r="K159" s="2" t="str">
        <f>J159*42725.00</f>
        <v>0</v>
      </c>
      <c r="L159" s="5"/>
    </row>
    <row r="160" spans="1:12" customHeight="1" ht="105" outlineLevel="4">
      <c r="A160" s="1"/>
      <c r="B160" s="1">
        <v>819363</v>
      </c>
      <c r="C160" s="1" t="s">
        <v>615</v>
      </c>
      <c r="D160" s="1" t="s">
        <v>616</v>
      </c>
      <c r="E160" s="2" t="s">
        <v>617</v>
      </c>
      <c r="F160" s="2" t="s">
        <v>618</v>
      </c>
      <c r="G160" s="2">
        <v>0</v>
      </c>
      <c r="H160" s="2">
        <v>7</v>
      </c>
      <c r="I160" s="1">
        <v>0</v>
      </c>
      <c r="J160" s="3" t="s">
        <v>18</v>
      </c>
      <c r="K160" s="2" t="str">
        <f>J160*41596.00</f>
        <v>0</v>
      </c>
      <c r="L160" s="5"/>
    </row>
    <row r="161" spans="1:12" customHeight="1" ht="105" outlineLevel="4">
      <c r="A161" s="1"/>
      <c r="B161" s="1">
        <v>819364</v>
      </c>
      <c r="C161" s="1" t="s">
        <v>619</v>
      </c>
      <c r="D161" s="1" t="s">
        <v>620</v>
      </c>
      <c r="E161" s="2" t="s">
        <v>621</v>
      </c>
      <c r="F161" s="2" t="s">
        <v>622</v>
      </c>
      <c r="G161" s="2">
        <v>1</v>
      </c>
      <c r="H161" s="2" t="s">
        <v>23</v>
      </c>
      <c r="I161" s="1">
        <v>0</v>
      </c>
      <c r="J161" s="3" t="s">
        <v>18</v>
      </c>
      <c r="K161" s="2" t="str">
        <f>J161*16785.00</f>
        <v>0</v>
      </c>
      <c r="L161" s="5"/>
    </row>
    <row r="162" spans="1:12" customHeight="1" ht="105" outlineLevel="4">
      <c r="A162" s="1"/>
      <c r="B162" s="1">
        <v>819365</v>
      </c>
      <c r="C162" s="1" t="s">
        <v>623</v>
      </c>
      <c r="D162" s="1" t="s">
        <v>624</v>
      </c>
      <c r="E162" s="2" t="s">
        <v>625</v>
      </c>
      <c r="F162" s="2" t="s">
        <v>622</v>
      </c>
      <c r="G162" s="2">
        <v>1</v>
      </c>
      <c r="H162" s="2" t="s">
        <v>23</v>
      </c>
      <c r="I162" s="1">
        <v>0</v>
      </c>
      <c r="J162" s="3" t="s">
        <v>18</v>
      </c>
      <c r="K162" s="2" t="str">
        <f>J162*16785.00</f>
        <v>0</v>
      </c>
      <c r="L162" s="5"/>
    </row>
    <row r="163" spans="1:12" customHeight="1" ht="105" outlineLevel="4">
      <c r="A163" s="1"/>
      <c r="B163" s="1">
        <v>819366</v>
      </c>
      <c r="C163" s="1" t="s">
        <v>626</v>
      </c>
      <c r="D163" s="1" t="s">
        <v>627</v>
      </c>
      <c r="E163" s="2" t="s">
        <v>628</v>
      </c>
      <c r="F163" s="2" t="s">
        <v>629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J163*11427.00</f>
        <v>0</v>
      </c>
      <c r="L163" s="5"/>
    </row>
    <row r="164" spans="1:12" customHeight="1" ht="105" outlineLevel="4">
      <c r="A164" s="1"/>
      <c r="B164" s="1">
        <v>819367</v>
      </c>
      <c r="C164" s="1" t="s">
        <v>630</v>
      </c>
      <c r="D164" s="1" t="s">
        <v>631</v>
      </c>
      <c r="E164" s="2" t="s">
        <v>632</v>
      </c>
      <c r="F164" s="2" t="s">
        <v>633</v>
      </c>
      <c r="G164" s="2">
        <v>0</v>
      </c>
      <c r="H164" s="2" t="s">
        <v>23</v>
      </c>
      <c r="I164" s="1">
        <v>0</v>
      </c>
      <c r="J164" s="3" t="s">
        <v>18</v>
      </c>
      <c r="K164" s="2" t="str">
        <f>J164*12190.00</f>
        <v>0</v>
      </c>
      <c r="L164" s="5"/>
    </row>
    <row r="165" spans="1:12" customHeight="1" ht="105" outlineLevel="4">
      <c r="A165" s="1"/>
      <c r="B165" s="1">
        <v>819368</v>
      </c>
      <c r="C165" s="1" t="s">
        <v>634</v>
      </c>
      <c r="D165" s="1" t="s">
        <v>635</v>
      </c>
      <c r="E165" s="2" t="s">
        <v>636</v>
      </c>
      <c r="F165" s="2" t="s">
        <v>637</v>
      </c>
      <c r="G165" s="2">
        <v>1</v>
      </c>
      <c r="H165" s="2" t="s">
        <v>17</v>
      </c>
      <c r="I165" s="1">
        <v>0</v>
      </c>
      <c r="J165" s="3" t="s">
        <v>18</v>
      </c>
      <c r="K165" s="2" t="str">
        <f>J165*28095.00</f>
        <v>0</v>
      </c>
      <c r="L165" s="5"/>
    </row>
    <row r="166" spans="1:12" customHeight="1" ht="105" outlineLevel="4">
      <c r="A166" s="1"/>
      <c r="B166" s="1">
        <v>819369</v>
      </c>
      <c r="C166" s="1" t="s">
        <v>638</v>
      </c>
      <c r="D166" s="1" t="s">
        <v>639</v>
      </c>
      <c r="E166" s="2" t="s">
        <v>640</v>
      </c>
      <c r="F166" s="2" t="s">
        <v>641</v>
      </c>
      <c r="G166" s="2">
        <v>7</v>
      </c>
      <c r="H166" s="2" t="s">
        <v>273</v>
      </c>
      <c r="I166" s="1">
        <v>0</v>
      </c>
      <c r="J166" s="3" t="s">
        <v>18</v>
      </c>
      <c r="K166" s="2" t="str">
        <f>J166*13295.00</f>
        <v>0</v>
      </c>
      <c r="L166" s="5"/>
    </row>
    <row r="167" spans="1:12" customHeight="1" ht="105" outlineLevel="4">
      <c r="A167" s="1"/>
      <c r="B167" s="1">
        <v>834814</v>
      </c>
      <c r="C167" s="1" t="s">
        <v>642</v>
      </c>
      <c r="D167" s="1" t="s">
        <v>643</v>
      </c>
      <c r="E167" s="2" t="s">
        <v>644</v>
      </c>
      <c r="F167" s="2" t="s">
        <v>645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J167*37176.00</f>
        <v>0</v>
      </c>
      <c r="L167" s="5"/>
    </row>
    <row r="168" spans="1:12" customHeight="1" ht="105" outlineLevel="4">
      <c r="A168" s="1"/>
      <c r="B168" s="1">
        <v>837027</v>
      </c>
      <c r="C168" s="1" t="s">
        <v>646</v>
      </c>
      <c r="D168" s="1" t="s">
        <v>647</v>
      </c>
      <c r="E168" s="2" t="s">
        <v>648</v>
      </c>
      <c r="F168" s="2" t="s">
        <v>649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J168*7519.17</f>
        <v>0</v>
      </c>
      <c r="L168" s="5"/>
    </row>
    <row r="169" spans="1:12" customHeight="1" ht="105" outlineLevel="4">
      <c r="A169" s="1"/>
      <c r="B169" s="1">
        <v>883388</v>
      </c>
      <c r="C169" s="1" t="s">
        <v>650</v>
      </c>
      <c r="D169" s="1" t="s">
        <v>651</v>
      </c>
      <c r="E169" s="2" t="s">
        <v>652</v>
      </c>
      <c r="F169" s="2" t="s">
        <v>653</v>
      </c>
      <c r="G169" s="2">
        <v>2</v>
      </c>
      <c r="H169" s="2">
        <v>0</v>
      </c>
      <c r="I169" s="1">
        <v>0</v>
      </c>
      <c r="J169" s="3" t="s">
        <v>18</v>
      </c>
      <c r="K169" s="2" t="str">
        <f>J169*10576.60</f>
        <v>0</v>
      </c>
      <c r="L169" s="5"/>
    </row>
    <row r="170" spans="1:12" outlineLevel="2">
      <c r="A170" s="8" t="s">
        <v>654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819370</v>
      </c>
      <c r="C171" s="1" t="s">
        <v>655</v>
      </c>
      <c r="D171" s="1" t="s">
        <v>656</v>
      </c>
      <c r="E171" s="2" t="s">
        <v>657</v>
      </c>
      <c r="F171" s="2" t="s">
        <v>658</v>
      </c>
      <c r="G171" s="2">
        <v>7</v>
      </c>
      <c r="H171" s="2">
        <v>0</v>
      </c>
      <c r="I171" s="1">
        <v>0</v>
      </c>
      <c r="J171" s="3" t="s">
        <v>18</v>
      </c>
      <c r="K171" s="2" t="str">
        <f>J171*6659.54</f>
        <v>0</v>
      </c>
      <c r="L171" s="5"/>
    </row>
    <row r="172" spans="1:12" customHeight="1" ht="105" outlineLevel="4">
      <c r="A172" s="1"/>
      <c r="B172" s="1">
        <v>819371</v>
      </c>
      <c r="C172" s="1" t="s">
        <v>659</v>
      </c>
      <c r="D172" s="1" t="s">
        <v>660</v>
      </c>
      <c r="E172" s="2" t="s">
        <v>661</v>
      </c>
      <c r="F172" s="2" t="s">
        <v>662</v>
      </c>
      <c r="G172" s="2">
        <v>6</v>
      </c>
      <c r="H172" s="2">
        <v>0</v>
      </c>
      <c r="I172" s="1">
        <v>0</v>
      </c>
      <c r="J172" s="3" t="s">
        <v>18</v>
      </c>
      <c r="K172" s="2" t="str">
        <f>J172*19920.60</f>
        <v>0</v>
      </c>
      <c r="L172" s="5"/>
    </row>
    <row r="173" spans="1:12" customHeight="1" ht="105" outlineLevel="4">
      <c r="A173" s="1"/>
      <c r="B173" s="1">
        <v>819372</v>
      </c>
      <c r="C173" s="1" t="s">
        <v>663</v>
      </c>
      <c r="D173" s="1" t="s">
        <v>664</v>
      </c>
      <c r="E173" s="2" t="s">
        <v>665</v>
      </c>
      <c r="F173" s="2" t="s">
        <v>666</v>
      </c>
      <c r="G173" s="2">
        <v>2</v>
      </c>
      <c r="H173" s="2">
        <v>0</v>
      </c>
      <c r="I173" s="1">
        <v>0</v>
      </c>
      <c r="J173" s="3" t="s">
        <v>18</v>
      </c>
      <c r="K173" s="2" t="str">
        <f>J173*1735.91</f>
        <v>0</v>
      </c>
      <c r="L173" s="5"/>
    </row>
    <row r="174" spans="1:12" customHeight="1" ht="105" outlineLevel="4">
      <c r="A174" s="1"/>
      <c r="B174" s="1">
        <v>819373</v>
      </c>
      <c r="C174" s="1" t="s">
        <v>667</v>
      </c>
      <c r="D174" s="1" t="s">
        <v>668</v>
      </c>
      <c r="E174" s="2" t="s">
        <v>669</v>
      </c>
      <c r="F174" s="2" t="s">
        <v>670</v>
      </c>
      <c r="G174" s="2">
        <v>5</v>
      </c>
      <c r="H174" s="2">
        <v>0</v>
      </c>
      <c r="I174" s="1">
        <v>0</v>
      </c>
      <c r="J174" s="3" t="s">
        <v>18</v>
      </c>
      <c r="K174" s="2" t="str">
        <f>J174*1948.63</f>
        <v>0</v>
      </c>
      <c r="L174" s="5"/>
    </row>
    <row r="175" spans="1:12" customHeight="1" ht="105" outlineLevel="4">
      <c r="A175" s="1"/>
      <c r="B175" s="1">
        <v>819374</v>
      </c>
      <c r="C175" s="1" t="s">
        <v>671</v>
      </c>
      <c r="D175" s="1" t="s">
        <v>672</v>
      </c>
      <c r="E175" s="2" t="s">
        <v>673</v>
      </c>
      <c r="F175" s="2" t="s">
        <v>674</v>
      </c>
      <c r="G175" s="2">
        <v>4</v>
      </c>
      <c r="H175" s="2">
        <v>0</v>
      </c>
      <c r="I175" s="1">
        <v>0</v>
      </c>
      <c r="J175" s="3" t="s">
        <v>18</v>
      </c>
      <c r="K175" s="2" t="str">
        <f>J175*2439.50</f>
        <v>0</v>
      </c>
      <c r="L175" s="5"/>
    </row>
    <row r="176" spans="1:12" customHeight="1" ht="105" outlineLevel="4">
      <c r="A176" s="1"/>
      <c r="B176" s="1">
        <v>819375</v>
      </c>
      <c r="C176" s="1" t="s">
        <v>675</v>
      </c>
      <c r="D176" s="1" t="s">
        <v>676</v>
      </c>
      <c r="E176" s="2" t="s">
        <v>677</v>
      </c>
      <c r="F176" s="2" t="s">
        <v>678</v>
      </c>
      <c r="G176" s="2">
        <v>5</v>
      </c>
      <c r="H176" s="2">
        <v>0</v>
      </c>
      <c r="I176" s="1">
        <v>0</v>
      </c>
      <c r="J176" s="3" t="s">
        <v>18</v>
      </c>
      <c r="K176" s="2" t="str">
        <f>J176*2049.78</f>
        <v>0</v>
      </c>
      <c r="L176" s="5"/>
    </row>
    <row r="177" spans="1:12" customHeight="1" ht="105" outlineLevel="4">
      <c r="A177" s="1"/>
      <c r="B177" s="1">
        <v>819376</v>
      </c>
      <c r="C177" s="1" t="s">
        <v>679</v>
      </c>
      <c r="D177" s="1" t="s">
        <v>680</v>
      </c>
      <c r="E177" s="2" t="s">
        <v>681</v>
      </c>
      <c r="F177" s="2" t="s">
        <v>682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J177*4096.58</f>
        <v>0</v>
      </c>
      <c r="L177" s="5"/>
    </row>
    <row r="178" spans="1:12" customHeight="1" ht="105" outlineLevel="4">
      <c r="A178" s="1"/>
      <c r="B178" s="1">
        <v>819377</v>
      </c>
      <c r="C178" s="1" t="s">
        <v>683</v>
      </c>
      <c r="D178" s="1" t="s">
        <v>684</v>
      </c>
      <c r="E178" s="2" t="s">
        <v>685</v>
      </c>
      <c r="F178" s="2" t="s">
        <v>686</v>
      </c>
      <c r="G178" s="2">
        <v>7</v>
      </c>
      <c r="H178" s="2">
        <v>0</v>
      </c>
      <c r="I178" s="1">
        <v>0</v>
      </c>
      <c r="J178" s="3" t="s">
        <v>18</v>
      </c>
      <c r="K178" s="2" t="str">
        <f>J178*862.75</f>
        <v>0</v>
      </c>
      <c r="L178" s="5"/>
    </row>
    <row r="179" spans="1:12" customHeight="1" ht="105" outlineLevel="4">
      <c r="A179" s="1"/>
      <c r="B179" s="1">
        <v>819378</v>
      </c>
      <c r="C179" s="1" t="s">
        <v>687</v>
      </c>
      <c r="D179" s="1" t="s">
        <v>688</v>
      </c>
      <c r="E179" s="2" t="s">
        <v>689</v>
      </c>
      <c r="F179" s="2" t="s">
        <v>690</v>
      </c>
      <c r="G179" s="2">
        <v>1</v>
      </c>
      <c r="H179" s="2">
        <v>0</v>
      </c>
      <c r="I179" s="1">
        <v>0</v>
      </c>
      <c r="J179" s="3" t="s">
        <v>18</v>
      </c>
      <c r="K179" s="2" t="str">
        <f>J179*4047.49</f>
        <v>0</v>
      </c>
      <c r="L179" s="5"/>
    </row>
    <row r="180" spans="1:12" customHeight="1" ht="105" outlineLevel="4">
      <c r="A180" s="1"/>
      <c r="B180" s="1">
        <v>824003</v>
      </c>
      <c r="C180" s="1" t="s">
        <v>691</v>
      </c>
      <c r="D180" s="1" t="s">
        <v>692</v>
      </c>
      <c r="E180" s="2" t="s">
        <v>693</v>
      </c>
      <c r="F180" s="2" t="s">
        <v>694</v>
      </c>
      <c r="G180" s="2">
        <v>2</v>
      </c>
      <c r="H180" s="2">
        <v>0</v>
      </c>
      <c r="I180" s="1">
        <v>0</v>
      </c>
      <c r="J180" s="3" t="s">
        <v>18</v>
      </c>
      <c r="K180" s="2" t="str">
        <f>J180*8987.48</f>
        <v>0</v>
      </c>
      <c r="L180" s="5"/>
    </row>
    <row r="181" spans="1:12" customHeight="1" ht="105" outlineLevel="4">
      <c r="A181" s="1"/>
      <c r="B181" s="1">
        <v>825274</v>
      </c>
      <c r="C181" s="1" t="s">
        <v>695</v>
      </c>
      <c r="D181" s="1" t="s">
        <v>696</v>
      </c>
      <c r="E181" s="2" t="s">
        <v>697</v>
      </c>
      <c r="F181" s="2" t="s">
        <v>698</v>
      </c>
      <c r="G181" s="2">
        <v>3</v>
      </c>
      <c r="H181" s="2">
        <v>0</v>
      </c>
      <c r="I181" s="1">
        <v>0</v>
      </c>
      <c r="J181" s="3" t="s">
        <v>18</v>
      </c>
      <c r="K181" s="2" t="str">
        <f>J181*11953.55</f>
        <v>0</v>
      </c>
      <c r="L181" s="5"/>
    </row>
    <row r="182" spans="1:12" customHeight="1" ht="105" outlineLevel="4">
      <c r="A182" s="1"/>
      <c r="B182" s="1">
        <v>825275</v>
      </c>
      <c r="C182" s="1" t="s">
        <v>699</v>
      </c>
      <c r="D182" s="1" t="s">
        <v>700</v>
      </c>
      <c r="E182" s="2" t="s">
        <v>701</v>
      </c>
      <c r="F182" s="2" t="s">
        <v>702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J182*12795.48</f>
        <v>0</v>
      </c>
      <c r="L182" s="5"/>
    </row>
    <row r="183" spans="1:12" customHeight="1" ht="105" outlineLevel="4">
      <c r="A183" s="1"/>
      <c r="B183" s="1">
        <v>825276</v>
      </c>
      <c r="C183" s="1" t="s">
        <v>703</v>
      </c>
      <c r="D183" s="1" t="s">
        <v>704</v>
      </c>
      <c r="E183" s="2" t="s">
        <v>705</v>
      </c>
      <c r="F183" s="2" t="s">
        <v>706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J183*10753.14</f>
        <v>0</v>
      </c>
      <c r="L183" s="5"/>
    </row>
    <row r="184" spans="1:12" customHeight="1" ht="105" outlineLevel="4">
      <c r="A184" s="1"/>
      <c r="B184" s="1">
        <v>827845</v>
      </c>
      <c r="C184" s="1" t="s">
        <v>707</v>
      </c>
      <c r="D184" s="1" t="s">
        <v>708</v>
      </c>
      <c r="E184" s="2" t="s">
        <v>709</v>
      </c>
      <c r="F184" s="2" t="s">
        <v>710</v>
      </c>
      <c r="G184" s="2">
        <v>5</v>
      </c>
      <c r="H184" s="2">
        <v>0</v>
      </c>
      <c r="I184" s="1">
        <v>0</v>
      </c>
      <c r="J184" s="3" t="s">
        <v>18</v>
      </c>
      <c r="K184" s="2" t="str">
        <f>J184*8361.24</f>
        <v>0</v>
      </c>
      <c r="L184" s="5"/>
    </row>
    <row r="185" spans="1:12" customHeight="1" ht="105" outlineLevel="4">
      <c r="A185" s="1"/>
      <c r="B185" s="1">
        <v>826595</v>
      </c>
      <c r="C185" s="1" t="s">
        <v>711</v>
      </c>
      <c r="D185" s="1" t="s">
        <v>712</v>
      </c>
      <c r="E185" s="2" t="s">
        <v>713</v>
      </c>
      <c r="F185" s="2" t="s">
        <v>714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J185*2943.76</f>
        <v>0</v>
      </c>
      <c r="L185" s="5"/>
    </row>
    <row r="186" spans="1:12" customHeight="1" ht="105" outlineLevel="4">
      <c r="A186" s="1"/>
      <c r="B186" s="1">
        <v>834444</v>
      </c>
      <c r="C186" s="1" t="s">
        <v>715</v>
      </c>
      <c r="D186" s="1" t="s">
        <v>716</v>
      </c>
      <c r="E186" s="2" t="s">
        <v>717</v>
      </c>
      <c r="F186" s="2" t="s">
        <v>718</v>
      </c>
      <c r="G186" s="2">
        <v>5</v>
      </c>
      <c r="H186" s="2">
        <v>0</v>
      </c>
      <c r="I186" s="1">
        <v>0</v>
      </c>
      <c r="J186" s="3" t="s">
        <v>18</v>
      </c>
      <c r="K186" s="2" t="str">
        <f>J186*8374.63</f>
        <v>0</v>
      </c>
      <c r="L186" s="5"/>
    </row>
    <row r="187" spans="1:12" customHeight="1" ht="105" outlineLevel="4">
      <c r="A187" s="1"/>
      <c r="B187" s="1">
        <v>834445</v>
      </c>
      <c r="C187" s="1" t="s">
        <v>719</v>
      </c>
      <c r="D187" s="1" t="s">
        <v>720</v>
      </c>
      <c r="E187" s="2" t="s">
        <v>721</v>
      </c>
      <c r="F187" s="2" t="s">
        <v>694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J187*8987.48</f>
        <v>0</v>
      </c>
      <c r="L187" s="5"/>
    </row>
    <row r="188" spans="1:12" customHeight="1" ht="105" outlineLevel="4">
      <c r="A188" s="1"/>
      <c r="B188" s="1">
        <v>834513</v>
      </c>
      <c r="C188" s="1" t="s">
        <v>722</v>
      </c>
      <c r="D188" s="1" t="s">
        <v>723</v>
      </c>
      <c r="E188" s="2" t="s">
        <v>724</v>
      </c>
      <c r="F188" s="2" t="s">
        <v>725</v>
      </c>
      <c r="G188" s="2">
        <v>3</v>
      </c>
      <c r="H188" s="2">
        <v>0</v>
      </c>
      <c r="I188" s="1">
        <v>0</v>
      </c>
      <c r="J188" s="3" t="s">
        <v>18</v>
      </c>
      <c r="K188" s="2" t="str">
        <f>J188*6420.05</f>
        <v>0</v>
      </c>
      <c r="L188" s="5"/>
    </row>
    <row r="189" spans="1:12" outlineLevel="1">
      <c r="A189" s="7" t="s">
        <v>726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5"/>
    </row>
    <row r="190" spans="1:12" outlineLevel="2">
      <c r="A190" s="8" t="s">
        <v>727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5"/>
    </row>
    <row r="191" spans="1:12" customHeight="1" ht="105" outlineLevel="4">
      <c r="A191" s="1"/>
      <c r="B191" s="1">
        <v>819431</v>
      </c>
      <c r="C191" s="1" t="s">
        <v>728</v>
      </c>
      <c r="D191" s="1" t="s">
        <v>729</v>
      </c>
      <c r="E191" s="2" t="s">
        <v>730</v>
      </c>
      <c r="F191" s="2" t="s">
        <v>731</v>
      </c>
      <c r="G191" s="2">
        <v>0</v>
      </c>
      <c r="H191" s="2">
        <v>6</v>
      </c>
      <c r="I191" s="1">
        <v>0</v>
      </c>
      <c r="J191" s="3" t="s">
        <v>18</v>
      </c>
      <c r="K191" s="2" t="str">
        <f>J191*3280.00</f>
        <v>0</v>
      </c>
      <c r="L191" s="5"/>
    </row>
    <row r="192" spans="1:12" customHeight="1" ht="105" outlineLevel="4">
      <c r="A192" s="1"/>
      <c r="B192" s="1">
        <v>819432</v>
      </c>
      <c r="C192" s="1" t="s">
        <v>732</v>
      </c>
      <c r="D192" s="1" t="s">
        <v>733</v>
      </c>
      <c r="E192" s="2" t="s">
        <v>734</v>
      </c>
      <c r="F192" s="2" t="s">
        <v>735</v>
      </c>
      <c r="G192" s="2">
        <v>0</v>
      </c>
      <c r="H192" s="2" t="s">
        <v>278</v>
      </c>
      <c r="I192" s="1">
        <v>0</v>
      </c>
      <c r="J192" s="3" t="s">
        <v>18</v>
      </c>
      <c r="K192" s="2" t="str">
        <f>J192*473.00</f>
        <v>0</v>
      </c>
      <c r="L192" s="5"/>
    </row>
    <row r="193" spans="1:12" customHeight="1" ht="105" outlineLevel="4">
      <c r="A193" s="1"/>
      <c r="B193" s="1">
        <v>819433</v>
      </c>
      <c r="C193" s="1" t="s">
        <v>736</v>
      </c>
      <c r="D193" s="1" t="s">
        <v>737</v>
      </c>
      <c r="E193" s="2" t="s">
        <v>738</v>
      </c>
      <c r="F193" s="2" t="s">
        <v>739</v>
      </c>
      <c r="G193" s="2">
        <v>0</v>
      </c>
      <c r="H193" s="2" t="s">
        <v>273</v>
      </c>
      <c r="I193" s="1">
        <v>0</v>
      </c>
      <c r="J193" s="3" t="s">
        <v>18</v>
      </c>
      <c r="K193" s="2" t="str">
        <f>J193*363.00</f>
        <v>0</v>
      </c>
      <c r="L193" s="5"/>
    </row>
    <row r="194" spans="1:12" customHeight="1" ht="105" outlineLevel="4">
      <c r="A194" s="1"/>
      <c r="B194" s="1">
        <v>819436</v>
      </c>
      <c r="C194" s="1" t="s">
        <v>740</v>
      </c>
      <c r="D194" s="1">
        <v>2102</v>
      </c>
      <c r="E194" s="2" t="s">
        <v>741</v>
      </c>
      <c r="F194" s="2" t="s">
        <v>742</v>
      </c>
      <c r="G194" s="2">
        <v>0</v>
      </c>
      <c r="H194" s="2">
        <v>10</v>
      </c>
      <c r="I194" s="1">
        <v>0</v>
      </c>
      <c r="J194" s="3" t="s">
        <v>18</v>
      </c>
      <c r="K194" s="2" t="str">
        <f>J194*702.00</f>
        <v>0</v>
      </c>
      <c r="L194" s="5"/>
    </row>
    <row r="195" spans="1:12" customHeight="1" ht="105" outlineLevel="4">
      <c r="A195" s="1"/>
      <c r="B195" s="1">
        <v>819437</v>
      </c>
      <c r="C195" s="1" t="s">
        <v>743</v>
      </c>
      <c r="D195" s="1" t="s">
        <v>744</v>
      </c>
      <c r="E195" s="2" t="s">
        <v>745</v>
      </c>
      <c r="F195" s="2" t="s">
        <v>746</v>
      </c>
      <c r="G195" s="2">
        <v>8</v>
      </c>
      <c r="H195" s="2" t="s">
        <v>278</v>
      </c>
      <c r="I195" s="1">
        <v>0</v>
      </c>
      <c r="J195" s="3" t="s">
        <v>18</v>
      </c>
      <c r="K195" s="2" t="str">
        <f>J195*440.00</f>
        <v>0</v>
      </c>
      <c r="L195" s="5"/>
    </row>
    <row r="196" spans="1:12" customHeight="1" ht="105" outlineLevel="4">
      <c r="A196" s="1"/>
      <c r="B196" s="1">
        <v>819426</v>
      </c>
      <c r="C196" s="1" t="s">
        <v>747</v>
      </c>
      <c r="D196" s="1" t="s">
        <v>748</v>
      </c>
      <c r="E196" s="2" t="s">
        <v>749</v>
      </c>
      <c r="F196" s="2" t="s">
        <v>750</v>
      </c>
      <c r="G196" s="2" t="s">
        <v>17</v>
      </c>
      <c r="H196" s="2" t="s">
        <v>368</v>
      </c>
      <c r="I196" s="1">
        <v>0</v>
      </c>
      <c r="J196" s="3" t="s">
        <v>18</v>
      </c>
      <c r="K196" s="2" t="str">
        <f>J196*339.00</f>
        <v>0</v>
      </c>
      <c r="L196" s="5"/>
    </row>
    <row r="197" spans="1:12" customHeight="1" ht="105" outlineLevel="4">
      <c r="A197" s="1"/>
      <c r="B197" s="1">
        <v>819427</v>
      </c>
      <c r="C197" s="1" t="s">
        <v>751</v>
      </c>
      <c r="D197" s="1" t="s">
        <v>752</v>
      </c>
      <c r="E197" s="2" t="s">
        <v>753</v>
      </c>
      <c r="F197" s="2" t="s">
        <v>754</v>
      </c>
      <c r="G197" s="2" t="s">
        <v>23</v>
      </c>
      <c r="H197" s="2">
        <v>0</v>
      </c>
      <c r="I197" s="1">
        <v>0</v>
      </c>
      <c r="J197" s="3" t="s">
        <v>755</v>
      </c>
      <c r="K197" s="2" t="str">
        <f>J197*396.00</f>
        <v>0</v>
      </c>
      <c r="L197" s="5"/>
    </row>
    <row r="198" spans="1:12" customHeight="1" ht="105" outlineLevel="4">
      <c r="A198" s="1"/>
      <c r="B198" s="1">
        <v>819428</v>
      </c>
      <c r="C198" s="1" t="s">
        <v>756</v>
      </c>
      <c r="D198" s="1" t="s">
        <v>757</v>
      </c>
      <c r="E198" s="2" t="s">
        <v>758</v>
      </c>
      <c r="F198" s="2" t="s">
        <v>759</v>
      </c>
      <c r="G198" s="2" t="s">
        <v>278</v>
      </c>
      <c r="H198" s="2" t="s">
        <v>368</v>
      </c>
      <c r="I198" s="1">
        <v>0</v>
      </c>
      <c r="J198" s="3" t="s">
        <v>760</v>
      </c>
      <c r="K198" s="2" t="str">
        <f>J198*74.00</f>
        <v>0</v>
      </c>
      <c r="L198" s="5"/>
    </row>
    <row r="199" spans="1:12" customHeight="1" ht="105" outlineLevel="4">
      <c r="A199" s="1"/>
      <c r="B199" s="1">
        <v>819429</v>
      </c>
      <c r="C199" s="1" t="s">
        <v>761</v>
      </c>
      <c r="D199" s="1" t="s">
        <v>762</v>
      </c>
      <c r="E199" s="2" t="s">
        <v>763</v>
      </c>
      <c r="F199" s="2" t="s">
        <v>764</v>
      </c>
      <c r="G199" s="2" t="s">
        <v>273</v>
      </c>
      <c r="H199" s="2" t="s">
        <v>765</v>
      </c>
      <c r="I199" s="1">
        <v>0</v>
      </c>
      <c r="J199" s="3" t="s">
        <v>18</v>
      </c>
      <c r="K199" s="2" t="str">
        <f>J199*118.00</f>
        <v>0</v>
      </c>
      <c r="L199" s="5"/>
    </row>
    <row r="200" spans="1:12" customHeight="1" ht="105" outlineLevel="4">
      <c r="A200" s="1"/>
      <c r="B200" s="1">
        <v>819430</v>
      </c>
      <c r="C200" s="1" t="s">
        <v>766</v>
      </c>
      <c r="D200" s="1" t="s">
        <v>767</v>
      </c>
      <c r="E200" s="2" t="s">
        <v>768</v>
      </c>
      <c r="F200" s="2" t="s">
        <v>769</v>
      </c>
      <c r="G200" s="2" t="s">
        <v>273</v>
      </c>
      <c r="H200" s="2" t="s">
        <v>368</v>
      </c>
      <c r="I200" s="1">
        <v>0</v>
      </c>
      <c r="J200" s="3" t="s">
        <v>18</v>
      </c>
      <c r="K200" s="2" t="str">
        <f>J200*185.00</f>
        <v>0</v>
      </c>
      <c r="L200" s="5"/>
    </row>
    <row r="201" spans="1:12" customHeight="1" ht="105" outlineLevel="4">
      <c r="A201" s="1"/>
      <c r="B201" s="1">
        <v>819438</v>
      </c>
      <c r="C201" s="1" t="s">
        <v>770</v>
      </c>
      <c r="D201" s="1" t="s">
        <v>771</v>
      </c>
      <c r="E201" s="2" t="s">
        <v>772</v>
      </c>
      <c r="F201" s="2" t="s">
        <v>773</v>
      </c>
      <c r="G201" s="2" t="s">
        <v>273</v>
      </c>
      <c r="H201" s="2" t="s">
        <v>368</v>
      </c>
      <c r="I201" s="1">
        <v>0</v>
      </c>
      <c r="J201" s="3" t="s">
        <v>18</v>
      </c>
      <c r="K201" s="2" t="str">
        <f>J201*57.00</f>
        <v>0</v>
      </c>
      <c r="L201" s="5"/>
    </row>
    <row r="202" spans="1:12" customHeight="1" ht="105" outlineLevel="4">
      <c r="A202" s="1"/>
      <c r="B202" s="1">
        <v>819439</v>
      </c>
      <c r="C202" s="1" t="s">
        <v>774</v>
      </c>
      <c r="D202" s="1" t="s">
        <v>775</v>
      </c>
      <c r="E202" s="2" t="s">
        <v>776</v>
      </c>
      <c r="F202" s="2" t="s">
        <v>777</v>
      </c>
      <c r="G202" s="2" t="s">
        <v>311</v>
      </c>
      <c r="H202" s="2" t="s">
        <v>368</v>
      </c>
      <c r="I202" s="1">
        <v>0</v>
      </c>
      <c r="J202" s="3" t="s">
        <v>18</v>
      </c>
      <c r="K202" s="2" t="str">
        <f>J202*81.00</f>
        <v>0</v>
      </c>
      <c r="L202" s="5"/>
    </row>
    <row r="203" spans="1:12" customHeight="1" ht="105" outlineLevel="4">
      <c r="A203" s="1"/>
      <c r="B203" s="1">
        <v>819440</v>
      </c>
      <c r="C203" s="1" t="s">
        <v>778</v>
      </c>
      <c r="D203" s="1" t="s">
        <v>779</v>
      </c>
      <c r="E203" s="2" t="s">
        <v>780</v>
      </c>
      <c r="F203" s="2" t="s">
        <v>781</v>
      </c>
      <c r="G203" s="2">
        <v>3</v>
      </c>
      <c r="H203" s="2" t="s">
        <v>278</v>
      </c>
      <c r="I203" s="1">
        <v>0</v>
      </c>
      <c r="J203" s="3" t="s">
        <v>18</v>
      </c>
      <c r="K203" s="2" t="str">
        <f>J203*54.00</f>
        <v>0</v>
      </c>
      <c r="L203" s="5"/>
    </row>
    <row r="204" spans="1:12" customHeight="1" ht="105" outlineLevel="4">
      <c r="A204" s="1"/>
      <c r="B204" s="1">
        <v>825483</v>
      </c>
      <c r="C204" s="1" t="s">
        <v>782</v>
      </c>
      <c r="D204" s="1" t="s">
        <v>783</v>
      </c>
      <c r="E204" s="2" t="s">
        <v>784</v>
      </c>
      <c r="F204" s="2" t="s">
        <v>785</v>
      </c>
      <c r="G204" s="2">
        <v>2</v>
      </c>
      <c r="H204" s="2" t="s">
        <v>311</v>
      </c>
      <c r="I204" s="1">
        <v>0</v>
      </c>
      <c r="J204" s="3" t="s">
        <v>18</v>
      </c>
      <c r="K204" s="2" t="str">
        <f>J204*5398.00</f>
        <v>0</v>
      </c>
      <c r="L204" s="5"/>
    </row>
    <row r="205" spans="1:12" customHeight="1" ht="105" outlineLevel="4">
      <c r="A205" s="1"/>
      <c r="B205" s="1">
        <v>825484</v>
      </c>
      <c r="C205" s="1" t="s">
        <v>786</v>
      </c>
      <c r="D205" s="1" t="s">
        <v>787</v>
      </c>
      <c r="E205" s="2" t="s">
        <v>788</v>
      </c>
      <c r="F205" s="2" t="s">
        <v>789</v>
      </c>
      <c r="G205" s="2" t="s">
        <v>765</v>
      </c>
      <c r="H205" s="2" t="s">
        <v>765</v>
      </c>
      <c r="I205" s="1">
        <v>0</v>
      </c>
      <c r="J205" s="3" t="s">
        <v>18</v>
      </c>
      <c r="K205" s="2" t="str">
        <f>J205*3.40</f>
        <v>0</v>
      </c>
      <c r="L205" s="5"/>
    </row>
    <row r="206" spans="1:12" outlineLevel="1">
      <c r="A206" s="7" t="s">
        <v>790</v>
      </c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5"/>
    </row>
    <row r="207" spans="1:12" outlineLevel="2">
      <c r="A207" s="8" t="s">
        <v>791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5"/>
    </row>
    <row r="208" spans="1:12" customHeight="1" ht="105" outlineLevel="4">
      <c r="A208" s="1"/>
      <c r="B208" s="1">
        <v>819262</v>
      </c>
      <c r="C208" s="1" t="s">
        <v>792</v>
      </c>
      <c r="D208" s="1" t="s">
        <v>793</v>
      </c>
      <c r="E208" s="2" t="s">
        <v>794</v>
      </c>
      <c r="F208" s="2" t="s">
        <v>795</v>
      </c>
      <c r="G208" s="2">
        <v>0</v>
      </c>
      <c r="H208" s="2" t="s">
        <v>278</v>
      </c>
      <c r="I208" s="1">
        <v>0</v>
      </c>
      <c r="J208" s="3" t="s">
        <v>18</v>
      </c>
      <c r="K208" s="2" t="str">
        <f>J208*315.00</f>
        <v>0</v>
      </c>
      <c r="L208" s="5"/>
    </row>
    <row r="209" spans="1:12" customHeight="1" ht="105" outlineLevel="4">
      <c r="A209" s="1"/>
      <c r="B209" s="1">
        <v>819263</v>
      </c>
      <c r="C209" s="1" t="s">
        <v>796</v>
      </c>
      <c r="D209" s="1" t="s">
        <v>797</v>
      </c>
      <c r="E209" s="2" t="s">
        <v>798</v>
      </c>
      <c r="F209" s="2" t="s">
        <v>799</v>
      </c>
      <c r="G209" s="2" t="s">
        <v>273</v>
      </c>
      <c r="H209" s="2" t="s">
        <v>765</v>
      </c>
      <c r="I209" s="1">
        <v>0</v>
      </c>
      <c r="J209" s="3" t="s">
        <v>18</v>
      </c>
      <c r="K209" s="2" t="str">
        <f>J209*207.00</f>
        <v>0</v>
      </c>
      <c r="L209" s="5"/>
    </row>
    <row r="210" spans="1:12" customHeight="1" ht="105" outlineLevel="4">
      <c r="A210" s="1"/>
      <c r="B210" s="1">
        <v>819264</v>
      </c>
      <c r="C210" s="1" t="s">
        <v>800</v>
      </c>
      <c r="D210" s="1" t="s">
        <v>801</v>
      </c>
      <c r="E210" s="2" t="s">
        <v>802</v>
      </c>
      <c r="F210" s="2" t="s">
        <v>803</v>
      </c>
      <c r="G210" s="2">
        <v>0</v>
      </c>
      <c r="H210" s="2" t="s">
        <v>368</v>
      </c>
      <c r="I210" s="1">
        <v>0</v>
      </c>
      <c r="J210" s="3" t="s">
        <v>18</v>
      </c>
      <c r="K210" s="2" t="str">
        <f>J210*369.00</f>
        <v>0</v>
      </c>
      <c r="L210" s="5"/>
    </row>
    <row r="211" spans="1:12" customHeight="1" ht="105" outlineLevel="4">
      <c r="A211" s="1"/>
      <c r="B211" s="1">
        <v>819265</v>
      </c>
      <c r="C211" s="1" t="s">
        <v>804</v>
      </c>
      <c r="D211" s="1" t="s">
        <v>805</v>
      </c>
      <c r="E211" s="2" t="s">
        <v>806</v>
      </c>
      <c r="F211" s="2" t="s">
        <v>807</v>
      </c>
      <c r="G211" s="2" t="s">
        <v>311</v>
      </c>
      <c r="H211" s="2" t="s">
        <v>278</v>
      </c>
      <c r="I211" s="1">
        <v>0</v>
      </c>
      <c r="J211" s="3" t="s">
        <v>18</v>
      </c>
      <c r="K211" s="2" t="str">
        <f>J211*218.00</f>
        <v>0</v>
      </c>
      <c r="L211" s="5"/>
    </row>
    <row r="212" spans="1:12" customHeight="1" ht="105" outlineLevel="4">
      <c r="A212" s="1"/>
      <c r="B212" s="1">
        <v>819266</v>
      </c>
      <c r="C212" s="1" t="s">
        <v>808</v>
      </c>
      <c r="D212" s="1" t="s">
        <v>809</v>
      </c>
      <c r="E212" s="2" t="s">
        <v>810</v>
      </c>
      <c r="F212" s="2" t="s">
        <v>272</v>
      </c>
      <c r="G212" s="2">
        <v>9</v>
      </c>
      <c r="H212" s="2" t="s">
        <v>278</v>
      </c>
      <c r="I212" s="1">
        <v>0</v>
      </c>
      <c r="J212" s="3" t="s">
        <v>18</v>
      </c>
      <c r="K212" s="2" t="str">
        <f>J212*340.00</f>
        <v>0</v>
      </c>
      <c r="L212" s="5"/>
    </row>
    <row r="213" spans="1:12" customHeight="1" ht="105" outlineLevel="4">
      <c r="A213" s="1"/>
      <c r="B213" s="1">
        <v>819267</v>
      </c>
      <c r="C213" s="1" t="s">
        <v>811</v>
      </c>
      <c r="D213" s="1" t="s">
        <v>812</v>
      </c>
      <c r="E213" s="2" t="s">
        <v>813</v>
      </c>
      <c r="F213" s="2" t="s">
        <v>814</v>
      </c>
      <c r="G213" s="2" t="s">
        <v>273</v>
      </c>
      <c r="H213" s="2" t="s">
        <v>765</v>
      </c>
      <c r="I213" s="1">
        <v>0</v>
      </c>
      <c r="J213" s="3" t="s">
        <v>18</v>
      </c>
      <c r="K213" s="2" t="str">
        <f>J213*194.00</f>
        <v>0</v>
      </c>
      <c r="L213" s="5"/>
    </row>
    <row r="214" spans="1:12" customHeight="1" ht="105" outlineLevel="4">
      <c r="A214" s="1"/>
      <c r="B214" s="1">
        <v>819268</v>
      </c>
      <c r="C214" s="1" t="s">
        <v>815</v>
      </c>
      <c r="D214" s="1" t="s">
        <v>816</v>
      </c>
      <c r="E214" s="2" t="s">
        <v>817</v>
      </c>
      <c r="F214" s="2" t="s">
        <v>818</v>
      </c>
      <c r="G214" s="2" t="s">
        <v>23</v>
      </c>
      <c r="H214" s="2" t="s">
        <v>273</v>
      </c>
      <c r="I214" s="1">
        <v>0</v>
      </c>
      <c r="J214" s="3" t="s">
        <v>18</v>
      </c>
      <c r="K214" s="2" t="str">
        <f>J214*364.00</f>
        <v>0</v>
      </c>
      <c r="L214" s="5"/>
    </row>
    <row r="215" spans="1:12" customHeight="1" ht="105" outlineLevel="4">
      <c r="A215" s="1"/>
      <c r="B215" s="1">
        <v>819269</v>
      </c>
      <c r="C215" s="1" t="s">
        <v>819</v>
      </c>
      <c r="D215" s="1" t="s">
        <v>820</v>
      </c>
      <c r="E215" s="2" t="s">
        <v>821</v>
      </c>
      <c r="F215" s="2" t="s">
        <v>822</v>
      </c>
      <c r="G215" s="2" t="s">
        <v>311</v>
      </c>
      <c r="H215" s="2" t="s">
        <v>278</v>
      </c>
      <c r="I215" s="1">
        <v>0</v>
      </c>
      <c r="J215" s="3" t="s">
        <v>18</v>
      </c>
      <c r="K215" s="2" t="str">
        <f>J215*237.00</f>
        <v>0</v>
      </c>
      <c r="L215" s="5"/>
    </row>
    <row r="216" spans="1:12" customHeight="1" ht="105" outlineLevel="4">
      <c r="A216" s="1"/>
      <c r="B216" s="1">
        <v>819270</v>
      </c>
      <c r="C216" s="1" t="s">
        <v>823</v>
      </c>
      <c r="D216" s="1" t="s">
        <v>824</v>
      </c>
      <c r="E216" s="2" t="s">
        <v>825</v>
      </c>
      <c r="F216" s="2" t="s">
        <v>826</v>
      </c>
      <c r="G216" s="2">
        <v>0</v>
      </c>
      <c r="H216" s="2" t="s">
        <v>368</v>
      </c>
      <c r="I216" s="1">
        <v>0</v>
      </c>
      <c r="J216" s="3" t="s">
        <v>18</v>
      </c>
      <c r="K216" s="2" t="str">
        <f>J216*289.00</f>
        <v>0</v>
      </c>
      <c r="L216" s="5"/>
    </row>
    <row r="217" spans="1:12" customHeight="1" ht="105" outlineLevel="4">
      <c r="A217" s="1"/>
      <c r="B217" s="1">
        <v>819271</v>
      </c>
      <c r="C217" s="1" t="s">
        <v>827</v>
      </c>
      <c r="D217" s="1" t="s">
        <v>828</v>
      </c>
      <c r="E217" s="2" t="s">
        <v>829</v>
      </c>
      <c r="F217" s="2" t="s">
        <v>830</v>
      </c>
      <c r="G217" s="2" t="s">
        <v>311</v>
      </c>
      <c r="H217" s="2" t="s">
        <v>368</v>
      </c>
      <c r="I217" s="1">
        <v>0</v>
      </c>
      <c r="J217" s="3" t="s">
        <v>18</v>
      </c>
      <c r="K217" s="2" t="str">
        <f>J217*163.00</f>
        <v>0</v>
      </c>
      <c r="L217" s="5"/>
    </row>
    <row r="218" spans="1:12" customHeight="1" ht="105" outlineLevel="4">
      <c r="A218" s="1"/>
      <c r="B218" s="1">
        <v>824500</v>
      </c>
      <c r="C218" s="1" t="s">
        <v>831</v>
      </c>
      <c r="D218" s="1" t="s">
        <v>832</v>
      </c>
      <c r="E218" s="2" t="s">
        <v>833</v>
      </c>
      <c r="F218" s="2" t="s">
        <v>795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J218*315.00</f>
        <v>0</v>
      </c>
      <c r="L218" s="5"/>
    </row>
    <row r="219" spans="1:12" customHeight="1" ht="105" outlineLevel="4">
      <c r="A219" s="1"/>
      <c r="B219" s="1">
        <v>825462</v>
      </c>
      <c r="C219" s="1" t="s">
        <v>834</v>
      </c>
      <c r="D219" s="1" t="s">
        <v>835</v>
      </c>
      <c r="E219" s="2" t="s">
        <v>833</v>
      </c>
      <c r="F219" s="2" t="s">
        <v>799</v>
      </c>
      <c r="G219" s="2" t="s">
        <v>311</v>
      </c>
      <c r="H219" s="2" t="s">
        <v>368</v>
      </c>
      <c r="I219" s="1">
        <v>0</v>
      </c>
      <c r="J219" s="3" t="s">
        <v>18</v>
      </c>
      <c r="K219" s="2" t="str">
        <f>J219*207.00</f>
        <v>0</v>
      </c>
      <c r="L219" s="5"/>
    </row>
    <row r="220" spans="1:12" customHeight="1" ht="105" outlineLevel="4">
      <c r="A220" s="1"/>
      <c r="B220" s="1">
        <v>825463</v>
      </c>
      <c r="C220" s="1" t="s">
        <v>836</v>
      </c>
      <c r="D220" s="1" t="s">
        <v>837</v>
      </c>
      <c r="E220" s="2" t="s">
        <v>838</v>
      </c>
      <c r="F220" s="2" t="s">
        <v>839</v>
      </c>
      <c r="G220" s="2">
        <v>7</v>
      </c>
      <c r="H220" s="2" t="s">
        <v>273</v>
      </c>
      <c r="I220" s="1">
        <v>0</v>
      </c>
      <c r="J220" s="3" t="s">
        <v>18</v>
      </c>
      <c r="K220" s="2" t="str">
        <f>J220*356.00</f>
        <v>0</v>
      </c>
      <c r="L220" s="5"/>
    </row>
    <row r="221" spans="1:12" outlineLevel="2">
      <c r="A221" s="8" t="s">
        <v>840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5"/>
    </row>
    <row r="222" spans="1:12" customHeight="1" ht="105" outlineLevel="4">
      <c r="A222" s="1"/>
      <c r="B222" s="1">
        <v>826747</v>
      </c>
      <c r="C222" s="1" t="s">
        <v>841</v>
      </c>
      <c r="D222" s="1" t="s">
        <v>842</v>
      </c>
      <c r="E222" s="2" t="s">
        <v>843</v>
      </c>
      <c r="F222" s="2" t="s">
        <v>844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J222*142.80</f>
        <v>0</v>
      </c>
      <c r="L222" s="5"/>
    </row>
    <row r="223" spans="1:12" customHeight="1" ht="105" outlineLevel="4">
      <c r="A223" s="1"/>
      <c r="B223" s="1">
        <v>819272</v>
      </c>
      <c r="C223" s="1" t="s">
        <v>845</v>
      </c>
      <c r="D223" s="1" t="s">
        <v>846</v>
      </c>
      <c r="E223" s="2" t="s">
        <v>847</v>
      </c>
      <c r="F223" s="2" t="s">
        <v>848</v>
      </c>
      <c r="G223" s="2" t="s">
        <v>273</v>
      </c>
      <c r="H223" s="2">
        <v>0</v>
      </c>
      <c r="I223" s="1">
        <v>0</v>
      </c>
      <c r="J223" s="3" t="s">
        <v>18</v>
      </c>
      <c r="K223" s="2" t="str">
        <f>J223*123.46</f>
        <v>0</v>
      </c>
      <c r="L223" s="5"/>
    </row>
    <row r="224" spans="1:12" customHeight="1" ht="105" outlineLevel="4">
      <c r="A224" s="1"/>
      <c r="B224" s="1">
        <v>819273</v>
      </c>
      <c r="C224" s="1" t="s">
        <v>849</v>
      </c>
      <c r="D224" s="1" t="s">
        <v>850</v>
      </c>
      <c r="E224" s="2" t="s">
        <v>851</v>
      </c>
      <c r="F224" s="2" t="s">
        <v>852</v>
      </c>
      <c r="G224" s="2" t="s">
        <v>273</v>
      </c>
      <c r="H224" s="2">
        <v>0</v>
      </c>
      <c r="I224" s="1">
        <v>0</v>
      </c>
      <c r="J224" s="3" t="s">
        <v>18</v>
      </c>
      <c r="K224" s="2" t="str">
        <f>J224*136.85</f>
        <v>0</v>
      </c>
      <c r="L224" s="5"/>
    </row>
    <row r="225" spans="1:12" customHeight="1" ht="105" outlineLevel="4">
      <c r="A225" s="1"/>
      <c r="B225" s="1">
        <v>834442</v>
      </c>
      <c r="C225" s="1" t="s">
        <v>853</v>
      </c>
      <c r="D225" s="1" t="s">
        <v>854</v>
      </c>
      <c r="E225" s="2" t="s">
        <v>855</v>
      </c>
      <c r="F225" s="2" t="s">
        <v>856</v>
      </c>
      <c r="G225" s="2" t="s">
        <v>273</v>
      </c>
      <c r="H225" s="2">
        <v>0</v>
      </c>
      <c r="I225" s="1">
        <v>0</v>
      </c>
      <c r="J225" s="3" t="s">
        <v>18</v>
      </c>
      <c r="K225" s="2" t="str">
        <f>J225*117.51</f>
        <v>0</v>
      </c>
      <c r="L225" s="5"/>
    </row>
    <row r="226" spans="1:12" customHeight="1" ht="105" outlineLevel="4">
      <c r="A226" s="1"/>
      <c r="B226" s="1">
        <v>834443</v>
      </c>
      <c r="C226" s="1" t="s">
        <v>857</v>
      </c>
      <c r="D226" s="1" t="s">
        <v>858</v>
      </c>
      <c r="E226" s="2" t="s">
        <v>859</v>
      </c>
      <c r="F226" s="2" t="s">
        <v>860</v>
      </c>
      <c r="G226" s="2" t="s">
        <v>273</v>
      </c>
      <c r="H226" s="2">
        <v>0</v>
      </c>
      <c r="I226" s="1">
        <v>0</v>
      </c>
      <c r="J226" s="3" t="s">
        <v>18</v>
      </c>
      <c r="K226" s="2" t="str">
        <f>J226*104.13</f>
        <v>0</v>
      </c>
      <c r="L226" s="5"/>
    </row>
    <row r="227" spans="1:12" customHeight="1" ht="105" outlineLevel="4">
      <c r="A227" s="1"/>
      <c r="B227" s="1">
        <v>836375</v>
      </c>
      <c r="C227" s="1" t="s">
        <v>861</v>
      </c>
      <c r="D227" s="1" t="s">
        <v>862</v>
      </c>
      <c r="E227" s="2" t="s">
        <v>863</v>
      </c>
      <c r="F227" s="2" t="s">
        <v>864</v>
      </c>
      <c r="G227" s="2" t="s">
        <v>311</v>
      </c>
      <c r="H227" s="2">
        <v>0</v>
      </c>
      <c r="I227" s="1">
        <v>0</v>
      </c>
      <c r="J227" s="3" t="s">
        <v>18</v>
      </c>
      <c r="K227" s="2" t="str">
        <f>J227*168.09</f>
        <v>0</v>
      </c>
      <c r="L227" s="5"/>
    </row>
    <row r="228" spans="1:12" customHeight="1" ht="105" outlineLevel="4">
      <c r="A228" s="1"/>
      <c r="B228" s="1">
        <v>836376</v>
      </c>
      <c r="C228" s="1" t="s">
        <v>865</v>
      </c>
      <c r="D228" s="1" t="s">
        <v>866</v>
      </c>
      <c r="E228" s="2" t="s">
        <v>867</v>
      </c>
      <c r="F228" s="2" t="s">
        <v>864</v>
      </c>
      <c r="G228" s="2" t="s">
        <v>273</v>
      </c>
      <c r="H228" s="2">
        <v>0</v>
      </c>
      <c r="I228" s="1">
        <v>0</v>
      </c>
      <c r="J228" s="3" t="s">
        <v>18</v>
      </c>
      <c r="K228" s="2" t="str">
        <f>J228*168.09</f>
        <v>0</v>
      </c>
      <c r="L228" s="5"/>
    </row>
    <row r="229" spans="1:12" customHeight="1" ht="105" outlineLevel="4">
      <c r="A229" s="1"/>
      <c r="B229" s="1">
        <v>836377</v>
      </c>
      <c r="C229" s="1" t="s">
        <v>868</v>
      </c>
      <c r="D229" s="1" t="s">
        <v>869</v>
      </c>
      <c r="E229" s="2" t="s">
        <v>870</v>
      </c>
      <c r="F229" s="2" t="s">
        <v>871</v>
      </c>
      <c r="G229" s="2" t="s">
        <v>273</v>
      </c>
      <c r="H229" s="2">
        <v>0</v>
      </c>
      <c r="I229" s="1">
        <v>0</v>
      </c>
      <c r="J229" s="3" t="s">
        <v>18</v>
      </c>
      <c r="K229" s="2" t="str">
        <f>J229*153.21</f>
        <v>0</v>
      </c>
      <c r="L229" s="5"/>
    </row>
    <row r="230" spans="1:12" customHeight="1" ht="105" outlineLevel="4">
      <c r="A230" s="1"/>
      <c r="B230" s="1">
        <v>834441</v>
      </c>
      <c r="C230" s="1" t="s">
        <v>872</v>
      </c>
      <c r="D230" s="1" t="s">
        <v>873</v>
      </c>
      <c r="E230" s="2" t="s">
        <v>874</v>
      </c>
      <c r="F230" s="2" t="s">
        <v>864</v>
      </c>
      <c r="G230" s="2" t="s">
        <v>17</v>
      </c>
      <c r="H230" s="2">
        <v>0</v>
      </c>
      <c r="I230" s="1">
        <v>0</v>
      </c>
      <c r="J230" s="3" t="s">
        <v>18</v>
      </c>
      <c r="K230" s="2" t="str">
        <f>J230*168.09</f>
        <v>0</v>
      </c>
      <c r="L230" s="5"/>
    </row>
    <row r="231" spans="1:12" outlineLevel="2">
      <c r="A231" s="8" t="s">
        <v>875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5"/>
    </row>
    <row r="232" spans="1:12" customHeight="1" ht="105" outlineLevel="4">
      <c r="A232" s="1"/>
      <c r="B232" s="1">
        <v>835187</v>
      </c>
      <c r="C232" s="1" t="s">
        <v>876</v>
      </c>
      <c r="D232" s="1" t="s">
        <v>877</v>
      </c>
      <c r="E232" s="2" t="s">
        <v>878</v>
      </c>
      <c r="F232" s="2" t="s">
        <v>879</v>
      </c>
      <c r="G232" s="2" t="s">
        <v>273</v>
      </c>
      <c r="H232" s="2">
        <v>0</v>
      </c>
      <c r="I232" s="1">
        <v>0</v>
      </c>
      <c r="J232" s="3" t="s">
        <v>18</v>
      </c>
      <c r="K232" s="2" t="str">
        <f>J232*137.09</f>
        <v>0</v>
      </c>
      <c r="L232" s="5"/>
    </row>
    <row r="233" spans="1:12" customHeight="1" ht="105" outlineLevel="4">
      <c r="A233" s="1"/>
      <c r="B233" s="1">
        <v>873434</v>
      </c>
      <c r="C233" s="1" t="s">
        <v>880</v>
      </c>
      <c r="D233" s="1" t="s">
        <v>881</v>
      </c>
      <c r="E233" s="2" t="s">
        <v>882</v>
      </c>
      <c r="F233" s="2" t="s">
        <v>883</v>
      </c>
      <c r="G233" s="2" t="s">
        <v>273</v>
      </c>
      <c r="H233" s="2">
        <v>0</v>
      </c>
      <c r="I233" s="1">
        <v>0</v>
      </c>
      <c r="J233" s="3" t="s">
        <v>18</v>
      </c>
      <c r="K233" s="2" t="str">
        <f>J233*167.43</f>
        <v>0</v>
      </c>
      <c r="L233" s="5"/>
    </row>
    <row r="234" spans="1:12" customHeight="1" ht="105" outlineLevel="4">
      <c r="A234" s="1"/>
      <c r="B234" s="1">
        <v>873435</v>
      </c>
      <c r="C234" s="1" t="s">
        <v>884</v>
      </c>
      <c r="D234" s="1" t="s">
        <v>885</v>
      </c>
      <c r="E234" s="2" t="s">
        <v>886</v>
      </c>
      <c r="F234" s="2" t="s">
        <v>887</v>
      </c>
      <c r="G234" s="2" t="s">
        <v>311</v>
      </c>
      <c r="H234" s="2">
        <v>0</v>
      </c>
      <c r="I234" s="1">
        <v>0</v>
      </c>
      <c r="J234" s="3" t="s">
        <v>18</v>
      </c>
      <c r="K234" s="2" t="str">
        <f>J234*148.24</f>
        <v>0</v>
      </c>
      <c r="L2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41:K141"/>
    <mergeCell ref="A189:K189"/>
    <mergeCell ref="A206:K206"/>
    <mergeCell ref="A4:K4"/>
    <mergeCell ref="A21:K21"/>
    <mergeCell ref="A49:K49"/>
    <mergeCell ref="A64:K64"/>
    <mergeCell ref="A109:K109"/>
    <mergeCell ref="A142:K142"/>
    <mergeCell ref="A170:K170"/>
    <mergeCell ref="A190:K190"/>
    <mergeCell ref="A207:K207"/>
    <mergeCell ref="A221:K221"/>
    <mergeCell ref="A231:K2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2025-10-29T11:21:22+03:00</dcterms:created>
  <dcterms:modified xsi:type="dcterms:W3CDTF">2025-10-29T11:21:22+03:00</dcterms:modified>
  <dc:title>Untitled Spreadsheet</dc:title>
  <dc:description/>
  <dc:subject/>
  <cp:keywords/>
  <cp:category/>
</cp:coreProperties>
</file>