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<sst xmlns="http://schemas.openxmlformats.org/spreadsheetml/2006/main" uniqueCount="1184">
  <si>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</si>
  <si>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</si>
  <si>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</si>
  <si>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</si>
  <si>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</si>
  <si>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</si>
  <si>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</si>
  <si>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</si>
  <si>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</si>
  <si>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</si>
  <si>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</si>
  <si>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водоразборные</t>
  </si>
  <si>
    <t>ZAP-110005</t>
  </si>
  <si>
    <t>03952</t>
  </si>
  <si>
    <t>-кран шаровый с носиком латунь 1" (4/40шт)</t>
  </si>
  <si>
    <t>347.05 руб.</t>
  </si>
  <si>
    <t>шт</t>
  </si>
  <si>
    <t>ZAP-110011</t>
  </si>
  <si>
    <t>04191</t>
  </si>
  <si>
    <t xml:space="preserve">- вентиль водоразборный с носиком длинный латунь ХРОМ 1/2" </t>
  </si>
  <si>
    <t>302.60 руб.</t>
  </si>
  <si>
    <t>ZAP-110012</t>
  </si>
  <si>
    <t>01752</t>
  </si>
  <si>
    <t>кран шаровый водоразборный пластик белый 1/2" (1/100шт)</t>
  </si>
  <si>
    <t>50.86 руб.</t>
  </si>
  <si>
    <t>&gt;100</t>
  </si>
  <si>
    <t>ZAP-110013</t>
  </si>
  <si>
    <t>03315</t>
  </si>
  <si>
    <t>кран шаровый водоразборный пластик зеленый 1/2" (1/100шт)</t>
  </si>
  <si>
    <t>ZAP-110014</t>
  </si>
  <si>
    <t>03103</t>
  </si>
  <si>
    <t>кран шаровый водоразборный пластик синий 1/2" (1/100шт)</t>
  </si>
  <si>
    <t>51.26 руб.</t>
  </si>
  <si>
    <t>&gt;50</t>
  </si>
  <si>
    <t>ZAP-110016</t>
  </si>
  <si>
    <t>04928</t>
  </si>
  <si>
    <t>кран шаровый с носиком 1/2' (латунь) + быстросъем  (8/64шт)</t>
  </si>
  <si>
    <t>316.20 руб.</t>
  </si>
  <si>
    <t>Краны водоразборные VALTEC</t>
  </si>
  <si>
    <t>VLC-411001</t>
  </si>
  <si>
    <t>VT.051.N.04</t>
  </si>
  <si>
    <t>Кран водоразборный со штуцером 1/2" (10/ 80шт)</t>
  </si>
  <si>
    <t>608.00 руб.</t>
  </si>
  <si>
    <t>&gt;1000</t>
  </si>
  <si>
    <t>VLC-411002</t>
  </si>
  <si>
    <t>VT.051.N.05</t>
  </si>
  <si>
    <t>Кран водоразборный со штуцером 3/4" (7/ 56шт)</t>
  </si>
  <si>
    <t>903.00 руб.</t>
  </si>
  <si>
    <t>&gt;10</t>
  </si>
  <si>
    <t>VLC-922005</t>
  </si>
  <si>
    <t>VT.051.N.06</t>
  </si>
  <si>
    <t>Кран водоразборный со штуцером 1"</t>
  </si>
  <si>
    <t>1 693.00 руб.</t>
  </si>
  <si>
    <t>Краны водоразборные VIEIR</t>
  </si>
  <si>
    <t>ZAP-120001</t>
  </si>
  <si>
    <t>VRC5003</t>
  </si>
  <si>
    <t>кран шаровый с носиком ATM 1/2' (латунь) (10/180шт)</t>
  </si>
  <si>
    <t>288.58 руб.</t>
  </si>
  <si>
    <t>ZAP-120002</t>
  </si>
  <si>
    <t>VRC5004</t>
  </si>
  <si>
    <t>кран шаровый с носиком ATM 3/4' (латунь) (10/120шт)</t>
  </si>
  <si>
    <t>397.16 руб.</t>
  </si>
  <si>
    <t>&gt;25</t>
  </si>
  <si>
    <t>ZAP-120003</t>
  </si>
  <si>
    <t>VR324</t>
  </si>
  <si>
    <t>кран ДЛЯ БАНИ водоразборный с носиком 1/2' короткий латунь декор бронза (1/50шт)</t>
  </si>
  <si>
    <t>645.58 руб.</t>
  </si>
  <si>
    <t>ZAP-120004</t>
  </si>
  <si>
    <t>VR323</t>
  </si>
  <si>
    <t>кран ДЛЯ БАНИ водоразборный с носиком 1/2' длинный латунь декор бронза (1/50шт)</t>
  </si>
  <si>
    <t>716.98 руб.</t>
  </si>
  <si>
    <t>ZAP-120005</t>
  </si>
  <si>
    <t>VR322</t>
  </si>
  <si>
    <t>вентиль ДЛЯ БАНИ водоразборный с носиком 1/2' короткий латунь декор бронза (1/50шт)</t>
  </si>
  <si>
    <t>1 407.18 руб.</t>
  </si>
  <si>
    <t>ZAP-120006</t>
  </si>
  <si>
    <t>VR321</t>
  </si>
  <si>
    <t>вентиль ДЛЯ БАНИ водоразборный с носиком 1/2' длинный латунь декор бронза (1/50шт)</t>
  </si>
  <si>
    <t>1 570.80 руб.</t>
  </si>
  <si>
    <t>Краны водоразборные ZEGOR</t>
  </si>
  <si>
    <t>ZGR-000029</t>
  </si>
  <si>
    <t>PF01</t>
  </si>
  <si>
    <t>Кран шаровый Zegor латунный водоразборный усиленный 1/2" (18/72шт)</t>
  </si>
  <si>
    <t>520.37 руб.</t>
  </si>
  <si>
    <t>ZGR-000030</t>
  </si>
  <si>
    <t>PF02</t>
  </si>
  <si>
    <t>Кран шаровый Zegor латунный водоразборный усиленный 3/4" (10/40шт)</t>
  </si>
  <si>
    <t>703.52 руб.</t>
  </si>
  <si>
    <t>ZGR-000127</t>
  </si>
  <si>
    <t>PF11</t>
  </si>
  <si>
    <t>Кран шаровый Zegor латунный водоразборный усиленный с быстросъемом 1/2" (12шт)</t>
  </si>
  <si>
    <t>508.57 руб.</t>
  </si>
  <si>
    <t>Краны водоразборные СК</t>
  </si>
  <si>
    <t>ZAP-111001</t>
  </si>
  <si>
    <t>Кран водоразборный Ду 15 ручка вентиль Латунь (2/160 шт)</t>
  </si>
  <si>
    <t>288.01 руб.</t>
  </si>
  <si>
    <t>ZAP-111002</t>
  </si>
  <si>
    <t>Кран водоразборный кор. излив, крест, со штуцером, 1/2" металл ХРОМ (5/120 шт)</t>
  </si>
  <si>
    <t>144.48 руб.</t>
  </si>
  <si>
    <t>ZAP-111003</t>
  </si>
  <si>
    <t>Кран водоразборный кор. излив, ручка хром курок, 1/2" металл ХРОМ (5/120 шт)</t>
  </si>
  <si>
    <t>184.80 руб.</t>
  </si>
  <si>
    <t>ZAP-111004</t>
  </si>
  <si>
    <t>Кран водоразборный кор. излив, ручка хром  крест с аэратором, 1/2" металл ХРОМ (5/120 шт)</t>
  </si>
  <si>
    <t>155.68 руб.</t>
  </si>
  <si>
    <t>ZAP-111005</t>
  </si>
  <si>
    <t>Кран водоразборный кор. излив, ручка белый пластик, 1/2" металл ХРОМ</t>
  </si>
  <si>
    <t>123.20 руб.</t>
  </si>
  <si>
    <t>ZAP-111006</t>
  </si>
  <si>
    <t>Кран водоразборный сплав 1/2"  со штуцером (5/150 шт)</t>
  </si>
  <si>
    <t>158.14 руб.</t>
  </si>
  <si>
    <t>ZAP-111007</t>
  </si>
  <si>
    <t>Кран водоразборный сплав 3/4"  со штуцером (5/150 шт)</t>
  </si>
  <si>
    <t>225.82 руб.</t>
  </si>
  <si>
    <t>ZAP-111008</t>
  </si>
  <si>
    <t>Кран водоразборный 1/2 желтый СССР</t>
  </si>
  <si>
    <t>259.25 руб.</t>
  </si>
  <si>
    <t>Краны запорные шаровые ЛАТУНЬ</t>
  </si>
  <si>
    <t>Краны шаровые VALTEC BASE</t>
  </si>
  <si>
    <t>VLC-1134001</t>
  </si>
  <si>
    <t>VT.247.N.04</t>
  </si>
  <si>
    <t>Кран шар. для подкл. датчика темп., 1/2" (16 /144шт)</t>
  </si>
  <si>
    <t>587.00 руб.</t>
  </si>
  <si>
    <t>&gt;500</t>
  </si>
  <si>
    <t>VLC-1134002</t>
  </si>
  <si>
    <t>VT.247.N.05</t>
  </si>
  <si>
    <t>Кран шар. для подкл. датчика темп., 3/4" (12 /108шт)</t>
  </si>
  <si>
    <t>857.00 руб.</t>
  </si>
  <si>
    <t>VLC-1134003</t>
  </si>
  <si>
    <t>VT.247.N.06</t>
  </si>
  <si>
    <t>Кран шар. для подкл. датчика темп., 1" (8 /64шт)</t>
  </si>
  <si>
    <t>1 307.00 руб.</t>
  </si>
  <si>
    <t>VLC-1134004</t>
  </si>
  <si>
    <t>VT.806.N.0404</t>
  </si>
  <si>
    <t>Кран шаровой для подключения  манометра, 1/2"нар -1/2"вн. (8 /128шт)</t>
  </si>
  <si>
    <t>604.00 руб.</t>
  </si>
  <si>
    <t>VLC-1134005</t>
  </si>
  <si>
    <t>VT.806.N.0402</t>
  </si>
  <si>
    <t>Кран шаровой для подключения  манометра, 1/2"нар -1/4"вн. (10 /160шт)</t>
  </si>
  <si>
    <t>522.00 руб.</t>
  </si>
  <si>
    <t>VLC-1134006</t>
  </si>
  <si>
    <t>VT.806.N.0403</t>
  </si>
  <si>
    <t>Кран шаровой для подключения  манометра, 1/2"нар -3/8"вн. (9 /144шт)</t>
  </si>
  <si>
    <t>496.00 руб.</t>
  </si>
  <si>
    <t>VLC-1134007</t>
  </si>
  <si>
    <t>VT.807.N.0404</t>
  </si>
  <si>
    <t>Кран шаровой для подключения  манометра, 1/2"вн. -1/2"вн. (10 /160шт)</t>
  </si>
  <si>
    <t>504.00 руб.</t>
  </si>
  <si>
    <t>VLC-1134008</t>
  </si>
  <si>
    <t>VT.807.N.0402</t>
  </si>
  <si>
    <t>Кран шаровой для подключения  манометра, 1/2"вн. -1/4"вн. (10 /160шт)</t>
  </si>
  <si>
    <t>464.00 руб.</t>
  </si>
  <si>
    <t>VLC-1134009</t>
  </si>
  <si>
    <t>VT.807.N.0403</t>
  </si>
  <si>
    <t>Кран шаровой для подключения  манометра, 1/2"вн. -3/8"вн. (10 /160шт)</t>
  </si>
  <si>
    <t>469.00 руб.</t>
  </si>
  <si>
    <t>VLC-1134010</t>
  </si>
  <si>
    <t>VT.808.N.04</t>
  </si>
  <si>
    <t>Кран шаровой c термометром, 1/2" (1 /36шт)</t>
  </si>
  <si>
    <t>1 014.00 руб.</t>
  </si>
  <si>
    <t>VLC-1134011</t>
  </si>
  <si>
    <t>VT.808.N.05</t>
  </si>
  <si>
    <t>Кран шаровой c термометром, 3/4" (1 /36шт)</t>
  </si>
  <si>
    <t>1 338.00 руб.</t>
  </si>
  <si>
    <t>VLC-411003</t>
  </si>
  <si>
    <t>VT.214.N.04</t>
  </si>
  <si>
    <t>Кран шар. BASE, стальная рукоятка 1/2" вн.-вн. (14 /126шт)</t>
  </si>
  <si>
    <t>488.00 руб.</t>
  </si>
  <si>
    <t>&gt;5000</t>
  </si>
  <si>
    <t>VLC-411004</t>
  </si>
  <si>
    <t>VT.214.N.05</t>
  </si>
  <si>
    <t>Кран шар. BASE, стальная рукоятка 3/4" вн.-вн. (10 /120шт)</t>
  </si>
  <si>
    <t>744.00 руб.</t>
  </si>
  <si>
    <t>VLC-411005</t>
  </si>
  <si>
    <t>VT.214.N.06</t>
  </si>
  <si>
    <t>Кран шар. BASE, стальная рукоятка 1" вн.-вн. (6 /54шт)</t>
  </si>
  <si>
    <t>1 209.00 руб.</t>
  </si>
  <si>
    <t>VLC-411006</t>
  </si>
  <si>
    <t>VT.214.N.07</t>
  </si>
  <si>
    <t>Кран шар. BASE, стальная рукоятка 1 1/4" вн.-вн. (3 /36шт)</t>
  </si>
  <si>
    <t>1 889.00 руб.</t>
  </si>
  <si>
    <t>VLC-411007</t>
  </si>
  <si>
    <t>VT.214.N.08</t>
  </si>
  <si>
    <t>Кран шар. BASE, стальная рукоятка 1 1/2" вн.-вн. (2 /20шт)</t>
  </si>
  <si>
    <t>2 893.00 руб.</t>
  </si>
  <si>
    <t>VLC-411008</t>
  </si>
  <si>
    <t>VT.214.N.09</t>
  </si>
  <si>
    <t>Кран шар. BASE, стальная рукоятка 2" вн.-вн. (2 /20шт)</t>
  </si>
  <si>
    <t>4 078.00 руб.</t>
  </si>
  <si>
    <t>VLC-411009</t>
  </si>
  <si>
    <t>VT.214.N.10</t>
  </si>
  <si>
    <t>Кран шар. BASE, стальная рукоятка 2 1/2" вн.-вн. (1 /6шт)</t>
  </si>
  <si>
    <t>10 118.00 руб.</t>
  </si>
  <si>
    <t>VLC-411010</t>
  </si>
  <si>
    <t>VT.214.N.11</t>
  </si>
  <si>
    <t>Кран шар. BASE, стальная рукоятка 3" вн.-вн. (1 /4шт)</t>
  </si>
  <si>
    <t>15 193.00 руб.</t>
  </si>
  <si>
    <t>VLC-411011</t>
  </si>
  <si>
    <t>VT.214.N.12</t>
  </si>
  <si>
    <t>Кран шар. BASE, стальная рукоятка 4" вн.-вн. (1 /4шт)</t>
  </si>
  <si>
    <t>20 679.00 руб.</t>
  </si>
  <si>
    <t>VLC-411012</t>
  </si>
  <si>
    <t>VT.215.N.04</t>
  </si>
  <si>
    <t>Кран шар. BASE, стальная рукоятка 1/2" вн.-нар. (16 /144шт)</t>
  </si>
  <si>
    <t>539.00 руб.</t>
  </si>
  <si>
    <t>VLC-411013</t>
  </si>
  <si>
    <t>VT.215.N.05</t>
  </si>
  <si>
    <t>Кран шар. BASE, стальная рукоятка 3/4" вн.-нар. (10 /120шт)</t>
  </si>
  <si>
    <t>806.00 руб.</t>
  </si>
  <si>
    <t>VLC-411014</t>
  </si>
  <si>
    <t>VT.215.N.06</t>
  </si>
  <si>
    <t>Кран шар. BASE, стальная рукоятка 1" вн.-нар. (6 /72шт)</t>
  </si>
  <si>
    <t>1 314.00 руб.</t>
  </si>
  <si>
    <t>VLC-411015</t>
  </si>
  <si>
    <t>VT.215.N.07</t>
  </si>
  <si>
    <t>Кран шар. BASE, стальная рукоятка 1 1/4" вн.-нар. (4 /32шт)</t>
  </si>
  <si>
    <t>2 321.00 руб.</t>
  </si>
  <si>
    <t>VLC-411016</t>
  </si>
  <si>
    <t>VT.215.N.08</t>
  </si>
  <si>
    <t>Кран шар. BASE, стальная рукоятка 1 1/2" вн.-нар. (2 /20шт)</t>
  </si>
  <si>
    <t>3 488.00 руб.</t>
  </si>
  <si>
    <t>VLC-411017</t>
  </si>
  <si>
    <t>VT.215.N.09</t>
  </si>
  <si>
    <t>Кран шар. BASE, стальная рукоятка 2" вн.-нар. (2 /16шт)</t>
  </si>
  <si>
    <t>5 152.00 руб.</t>
  </si>
  <si>
    <t>VLC-411018</t>
  </si>
  <si>
    <t>VT.217.N.04</t>
  </si>
  <si>
    <t>Кран шар. BASE, рукоятка бабочка 1/2" вн.-вн. (16 /256шт)</t>
  </si>
  <si>
    <t>439.00 руб.</t>
  </si>
  <si>
    <t>VLC-411019</t>
  </si>
  <si>
    <t>VT.217.N.05</t>
  </si>
  <si>
    <t>Кран шар. BASE, рукоятка бабочка 3/4" вн.-вн.  (14 /126шт)</t>
  </si>
  <si>
    <t>658.00 руб.</t>
  </si>
  <si>
    <t>VLC-411020</t>
  </si>
  <si>
    <t>VT.217.N.06</t>
  </si>
  <si>
    <t>Кран шар. BASE, рукоятка бабочка 1" вн.-вн.  (6 /90шт</t>
  </si>
  <si>
    <t>1 111.00 руб.</t>
  </si>
  <si>
    <t>VLC-411021</t>
  </si>
  <si>
    <t>VT.218.N.04</t>
  </si>
  <si>
    <t>Кран шар. BASE, рукоятка бабочка 1/2" вн.-нар.  (12 /192шт)</t>
  </si>
  <si>
    <t>468.00 руб.</t>
  </si>
  <si>
    <t>VLC-411022</t>
  </si>
  <si>
    <t>VT.218.N.05</t>
  </si>
  <si>
    <t>Кран шар. BASE, рукоятка бабочка 3/4" вн.-нар.  (10 /120шт)</t>
  </si>
  <si>
    <t>756.00 руб.</t>
  </si>
  <si>
    <t>VLC-411023</t>
  </si>
  <si>
    <t>VT.218.N.06</t>
  </si>
  <si>
    <t>Кран шар. BASE, рукоятка бабочка 1" вн.-нар. (6 /90шт)</t>
  </si>
  <si>
    <t>1 242.00 руб.</t>
  </si>
  <si>
    <t>VLC-411024</t>
  </si>
  <si>
    <t>VT.219.N.04</t>
  </si>
  <si>
    <t>Кран шар. BASE, рукоятка бабочка 1/2" нар.-нар. (12 /192шт)</t>
  </si>
  <si>
    <t>524.00 руб.</t>
  </si>
  <si>
    <t>VLC-411025</t>
  </si>
  <si>
    <t>VT.219.N.05</t>
  </si>
  <si>
    <t>Кран шар. BASE, рукоятка бабочка 3/4" нар.-нар.  (12 /144шт)</t>
  </si>
  <si>
    <t>830.00 руб.</t>
  </si>
  <si>
    <t>VLC-411026</t>
  </si>
  <si>
    <t>VT.219.N.06</t>
  </si>
  <si>
    <t>Кран шар. BASE, рукоятка бабочка 1" нар.-нар. (6 /90шт)</t>
  </si>
  <si>
    <t>1 426.00 руб.</t>
  </si>
  <si>
    <t>VLC-411027</t>
  </si>
  <si>
    <t>VT.243.N.1616</t>
  </si>
  <si>
    <t>Кран шар. под пресс, рукоятка бабочка 16 (12 /192шт)</t>
  </si>
  <si>
    <t>413.00 руб.</t>
  </si>
  <si>
    <t>VLC-411028</t>
  </si>
  <si>
    <t>VT.242.N.1604</t>
  </si>
  <si>
    <t>Кран шар. под пресс, рукоятка бабочка 16х1/2 вн. (12 /192шт)</t>
  </si>
  <si>
    <t>330.00 руб.</t>
  </si>
  <si>
    <t>VLC-411029</t>
  </si>
  <si>
    <t>VT.226.N.04</t>
  </si>
  <si>
    <t>Кран шар. BASE с полусгоном 1/2" нар.-нар. (10 /60шт)</t>
  </si>
  <si>
    <t>705.00 руб.</t>
  </si>
  <si>
    <t>VLC-411030</t>
  </si>
  <si>
    <t>VT.226.N.05</t>
  </si>
  <si>
    <t>Кран шар. BASE с полусгоном 3/4" нар.-нар.  (7 /42шт)</t>
  </si>
  <si>
    <t>1 039.00 руб.</t>
  </si>
  <si>
    <t>VLC-411031</t>
  </si>
  <si>
    <t>VT.227.N.04</t>
  </si>
  <si>
    <t>Кран шар. BASE с полусгоном 1/2" вн.-нар.  (10 /160шт)</t>
  </si>
  <si>
    <t>555.00 руб.</t>
  </si>
  <si>
    <t>VLC-411032</t>
  </si>
  <si>
    <t>VT.227.NW.04</t>
  </si>
  <si>
    <t>Кран шар. BASE с полусгоном 1/2" вн.-нар. белая рукоятка (10 /160шт)</t>
  </si>
  <si>
    <t>VLC-411033</t>
  </si>
  <si>
    <t>VT.227.NRW.04</t>
  </si>
  <si>
    <t>Кран шар. BASE с полусгоном 1/2" вн.-нар. белая рукоятка с доп. уплотнением (10 /160шт)</t>
  </si>
  <si>
    <t>VLC-411034</t>
  </si>
  <si>
    <t>VT.227.N.05</t>
  </si>
  <si>
    <t>Кран шар. BASE с полусгоном 3/4" вн.-нар.   (7 /84шт)</t>
  </si>
  <si>
    <t>889.00 руб.</t>
  </si>
  <si>
    <t>VLC-411035</t>
  </si>
  <si>
    <t>VT.227.NW.05</t>
  </si>
  <si>
    <t>Кран шар. BASE с полусгоном 3/4" вн.-нар. белая рукоятка  (7 /84шт)</t>
  </si>
  <si>
    <t>VLC-411036</t>
  </si>
  <si>
    <t>VT.227.NRW.05</t>
  </si>
  <si>
    <t>Кран шар. BASE с полусгоном 3/4" вн.-нар. белая рукоятка с доп. уплотнением  (7 /84шт)</t>
  </si>
  <si>
    <t>961.00 руб.</t>
  </si>
  <si>
    <t>VLC-411037</t>
  </si>
  <si>
    <t>VT.227.N.06</t>
  </si>
  <si>
    <t>Кран шар. BASE с полусгоном 1" вн.-нар.  (5 /50шт)</t>
  </si>
  <si>
    <t>1 942.00 руб.</t>
  </si>
  <si>
    <t>VLC-411038</t>
  </si>
  <si>
    <t>VT.227.N.07</t>
  </si>
  <si>
    <t>Кран шар. BASE с полусгоном 1 1/4" вн.-нар.  (4 /36шт)</t>
  </si>
  <si>
    <t>2 742.00 руб.</t>
  </si>
  <si>
    <t>VLC-411039</t>
  </si>
  <si>
    <t>VT.228.N.04</t>
  </si>
  <si>
    <t>Кран шар. BASE угловой с полусгоном 1/2" вн.-нар.  (8 /96шт)</t>
  </si>
  <si>
    <t>781.00 руб.</t>
  </si>
  <si>
    <t>VLC-411040</t>
  </si>
  <si>
    <t>VT.228.NW.04</t>
  </si>
  <si>
    <t>Кран шар. BASE угловой с полусгоном 1/2" вн.-нар. белая рукоятка (8 /96шт)</t>
  </si>
  <si>
    <t>VLC-411041</t>
  </si>
  <si>
    <t>VT.228.NRW.04</t>
  </si>
  <si>
    <t>Кран шар. BASE угловой с полусгоном 1/2" вн.-нар. белая рукоятка с доп. уплотнением (8 /96шт)</t>
  </si>
  <si>
    <t>843.00 руб.</t>
  </si>
  <si>
    <t>VLC-411042</t>
  </si>
  <si>
    <t>VT.228.N.05</t>
  </si>
  <si>
    <t>Кран шар. BASE угловой с полусгоном 3/4" вн.-нар.  (8 /64шт)</t>
  </si>
  <si>
    <t>1 271.00 руб.</t>
  </si>
  <si>
    <t>VLC-411043</t>
  </si>
  <si>
    <t>VT.228.NW.05</t>
  </si>
  <si>
    <t>Кран шар. BASE угловой с полусгоном 3/4" вн.-нар. белая рукоятка (8 /64шт)</t>
  </si>
  <si>
    <t>VLC-411044</t>
  </si>
  <si>
    <t>VT.228.NRW.05</t>
  </si>
  <si>
    <t>Кран шар. BASE угловой с полусгоном 3/4" вн.-нар. белая рукоятка с доп. уплотнением (8 /64шт)</t>
  </si>
  <si>
    <t>1 336.00 руб.</t>
  </si>
  <si>
    <t>VLC-411045</t>
  </si>
  <si>
    <t>VT.228.N.06</t>
  </si>
  <si>
    <t>Кран шар. BASE угловой с полусгоном 1" вн.-нар. (4 /32шт)</t>
  </si>
  <si>
    <t>2 070.00 руб.</t>
  </si>
  <si>
    <t>VLC-411046</t>
  </si>
  <si>
    <t>VT.343.N.1616</t>
  </si>
  <si>
    <t>Кран шар. под обжим, рукоятка бабочка 16   (12 /192шт)</t>
  </si>
  <si>
    <t>538.00 руб.</t>
  </si>
  <si>
    <t>VLC-411047</t>
  </si>
  <si>
    <t>VT.342.N.1604</t>
  </si>
  <si>
    <t>Кран шар. под обжим, рукоятка бабочка 16х1/2 вн.   (14 /224шт)</t>
  </si>
  <si>
    <t>419.00 руб.</t>
  </si>
  <si>
    <t>VLC-411048</t>
  </si>
  <si>
    <t>VT.341.N.1604</t>
  </si>
  <si>
    <t>Кран шар. под обжим, рукоятка бабочка 16х1/2 нар.  (16 /256шт)</t>
  </si>
  <si>
    <t>455.00 руб.</t>
  </si>
  <si>
    <t>VLC-411049</t>
  </si>
  <si>
    <t>VT.241.N.0405</t>
  </si>
  <si>
    <t>Кран шаровой с накидной гайкой 1/2"x3/4" вн.-вн. (12 /72шт)</t>
  </si>
  <si>
    <t>635.00 руб.</t>
  </si>
  <si>
    <t>VLC-411050</t>
  </si>
  <si>
    <t>VT.241.N.0506</t>
  </si>
  <si>
    <t>Кран шаровой с накидной гайкой 3/4"x1" вн.-вн.</t>
  </si>
  <si>
    <t>945.00 руб.</t>
  </si>
  <si>
    <t>VLC-411051</t>
  </si>
  <si>
    <t>VT.245.N.04</t>
  </si>
  <si>
    <t>Кран шар. BASE с дренажом и воздухоотводчиком 1/2" вн.-вн. (12 /108шт)</t>
  </si>
  <si>
    <t>731.00 руб.</t>
  </si>
  <si>
    <t>VLC-411052</t>
  </si>
  <si>
    <t>VT.245.N.05</t>
  </si>
  <si>
    <t>Кран шар. BASE с дренажом и воздухоотводчиком 3/4" вн.-вн. (10 /90шт)</t>
  </si>
  <si>
    <t>1 072.00 руб.</t>
  </si>
  <si>
    <t>VLC-411053</t>
  </si>
  <si>
    <t>VT.245.N.06</t>
  </si>
  <si>
    <t>Кран шар. BASE с дренажом и воздухоотводчиком 1" вн.-вн. (6 /54шт)</t>
  </si>
  <si>
    <t>1 597.00 руб.</t>
  </si>
  <si>
    <t>VLC-411054</t>
  </si>
  <si>
    <t>VT.248.N.04</t>
  </si>
  <si>
    <t>Кран шаровой с обратным клапаном и дренажом 1/2" вн-вн. (8 /48шт)</t>
  </si>
  <si>
    <t>990.00 руб.</t>
  </si>
  <si>
    <t>VLC-411055</t>
  </si>
  <si>
    <t>VT.250.N.04</t>
  </si>
  <si>
    <t>Кран шаровой с удлиненным штоком 1/2"</t>
  </si>
  <si>
    <t>715.00 руб.</t>
  </si>
  <si>
    <t>VLC-411056</t>
  </si>
  <si>
    <t>VT.250.N.05</t>
  </si>
  <si>
    <t>Кран шаровой с удлиненным штоком 3/4" вн-вн. (8 /48шт)</t>
  </si>
  <si>
    <t>948.00 руб.</t>
  </si>
  <si>
    <t>VLC-411057</t>
  </si>
  <si>
    <t>VT.252.N.04</t>
  </si>
  <si>
    <t>Кран шар. с плавным открыванием 1/2" вн.-вн. (1 /36шт)</t>
  </si>
  <si>
    <t>697.00 руб.</t>
  </si>
  <si>
    <t>VLC-411058</t>
  </si>
  <si>
    <t>VT.252.N.05</t>
  </si>
  <si>
    <t>Кран шар. с плавным открыванием 3/4" вн.-вн. (1 /36шт)</t>
  </si>
  <si>
    <t>877.00 руб.</t>
  </si>
  <si>
    <t>VLC-411059</t>
  </si>
  <si>
    <t>VT.266.N.0404</t>
  </si>
  <si>
    <t>Кран шар. BASE угловой с накидной гайкой 1/2" вн.-вн.  (15 /60шт)</t>
  </si>
  <si>
    <t>680.00 руб.</t>
  </si>
  <si>
    <t>VLC-411060</t>
  </si>
  <si>
    <t>VT.266.N.0505</t>
  </si>
  <si>
    <t>Кран шар. BASE угловой с накидной гайкой 3/4" вн.-вн. (12 /48шт)</t>
  </si>
  <si>
    <t>934.00 руб.</t>
  </si>
  <si>
    <t>VLC-411061</t>
  </si>
  <si>
    <t>VT.266.N.0606</t>
  </si>
  <si>
    <t>Кран шар. BASE угловой с накидной гайкой 1" вн.-вн. (7 /28шт)</t>
  </si>
  <si>
    <t>1 582.00 руб.</t>
  </si>
  <si>
    <t>VLC-411062</t>
  </si>
  <si>
    <t>VT.267.N.0404</t>
  </si>
  <si>
    <t>Кран шар. BASE угловой с накидной гайкой 1/2" вн.-нар.  (15 /60шт)</t>
  </si>
  <si>
    <t>VLC-411063</t>
  </si>
  <si>
    <t>VT.267.N.0405</t>
  </si>
  <si>
    <t>Кран шар. BASE угловой с накидной гайкой 1/2"х3/4" нар.-вн. (15 /60шт)</t>
  </si>
  <si>
    <t>710.00 руб.</t>
  </si>
  <si>
    <t>VLC-411064</t>
  </si>
  <si>
    <t>VT.267.N.0505</t>
  </si>
  <si>
    <t>Кран шар. BASE угловой с накидной гайкой 3/4" вн.-нар. (12 /48шт)</t>
  </si>
  <si>
    <t>963.00 руб.</t>
  </si>
  <si>
    <t>VLC-411065</t>
  </si>
  <si>
    <t>VT.267.N.0606</t>
  </si>
  <si>
    <t>Кран шар. BASE угловой с накидной гайкой 1" вн.-нар. (7 /28шт)</t>
  </si>
  <si>
    <t>1 629.00 руб.</t>
  </si>
  <si>
    <t>VLC-411066</t>
  </si>
  <si>
    <t>VT.292.N.04</t>
  </si>
  <si>
    <t>Кран шар. со встроенным фильтром, стальная рукоятка 1/2" вн.-вн. (8 /96шт)</t>
  </si>
  <si>
    <t>VLC-411067</t>
  </si>
  <si>
    <t>VT.292.N.05</t>
  </si>
  <si>
    <t>Кран шар. со встроенным фильтром, стальная рукоятка3/4" вн.-вн. (6 /54шт)</t>
  </si>
  <si>
    <t>1 473.00 руб.</t>
  </si>
  <si>
    <t>VLC-411068</t>
  </si>
  <si>
    <t>VT.293.N.04</t>
  </si>
  <si>
    <t>Кран шар. со встроенным фильтром, рукоятка бабочка 1/2" вн.-вн. (8 /96шт)</t>
  </si>
  <si>
    <t>761.00 руб.</t>
  </si>
  <si>
    <t>VLC-411069</t>
  </si>
  <si>
    <t>VT.294.N.04</t>
  </si>
  <si>
    <t>Кран шар. со встроенным прямым фильтром, рукоятка бабочка 1/2" вн.-вн. (8 /72шт)</t>
  </si>
  <si>
    <t>1 081.00 руб.</t>
  </si>
  <si>
    <t>VLC-411070</t>
  </si>
  <si>
    <t>VT.294.N.05</t>
  </si>
  <si>
    <t>Кран шар. со встроенным прямым фильтром, рукоятка бабочка 3/4" вн.-вн. (5 /20шт)</t>
  </si>
  <si>
    <t>1 959.00 руб.</t>
  </si>
  <si>
    <t>VLC-411071</t>
  </si>
  <si>
    <t>VT.298.NR.04</t>
  </si>
  <si>
    <t>КФРД - Кран шар. со встроенным фильтром и редуктором давления, рукоятка бабочка 1/2" вн.-вн. (правый</t>
  </si>
  <si>
    <t>1 937.00 руб.</t>
  </si>
  <si>
    <t>VLC-411072</t>
  </si>
  <si>
    <t>VT.299.NL.04</t>
  </si>
  <si>
    <t>КФРД - Кран шар. со встроенным фильтром и редуктором давления, рукоятка бабочка 1/2" вн.-вн. (левый)</t>
  </si>
  <si>
    <t>VLC-411073</t>
  </si>
  <si>
    <t>VT.330.N.04</t>
  </si>
  <si>
    <t>Кран шар. MINI 1/2" вн.-вн. (25 /400шт)</t>
  </si>
  <si>
    <t>460.00 руб.</t>
  </si>
  <si>
    <t>VLC-411074</t>
  </si>
  <si>
    <t>VT.331.N.04</t>
  </si>
  <si>
    <t>Кран шар. MINI 1/2" вн.-нар. (20 /400шт)</t>
  </si>
  <si>
    <t>412.00 руб.</t>
  </si>
  <si>
    <t>VLC-411075</t>
  </si>
  <si>
    <t>VT.360.N.04</t>
  </si>
  <si>
    <t>Кран шар. трехходовой, тип L 1/2" вн.-вн.-вн. (6 /72шт)</t>
  </si>
  <si>
    <t>1 099.00 руб.</t>
  </si>
  <si>
    <t>VLC-411076</t>
  </si>
  <si>
    <t>VT.360.N.05</t>
  </si>
  <si>
    <t>Кран шар. трехходовой, тип L 3/4" вн.-вн.-вн. (4 /48шт)</t>
  </si>
  <si>
    <t>1 920.00 руб.</t>
  </si>
  <si>
    <t>VLC-411077</t>
  </si>
  <si>
    <t>VT.361.N.04</t>
  </si>
  <si>
    <t>Кран шар. трехходовой, тип Т 1/2" вн.-вн.-вн. (6 /72шт)</t>
  </si>
  <si>
    <t>1 096.00 руб.</t>
  </si>
  <si>
    <t>VLC-411078</t>
  </si>
  <si>
    <t>VT.361.N.05</t>
  </si>
  <si>
    <t>Кран шар. трехходовой, тип Т 3/4" вн.-вн.-вн. (4 /48шт)</t>
  </si>
  <si>
    <t>1 886.00 руб.</t>
  </si>
  <si>
    <t>VLC-411079</t>
  </si>
  <si>
    <t>VT.260.N.0606</t>
  </si>
  <si>
    <t>Кран шаровой с накидной гайкой 1" вн.-нар. (1 /60шт)</t>
  </si>
  <si>
    <t>1 119.00 руб.</t>
  </si>
  <si>
    <t>VLC-411080</t>
  </si>
  <si>
    <t>VT.260.N.0505</t>
  </si>
  <si>
    <t>Кран шаровой с накидной гайкой 3/4" вн.-нар. (1 /96шт)</t>
  </si>
  <si>
    <t>760.00 руб.</t>
  </si>
  <si>
    <t>VLC-411081</t>
  </si>
  <si>
    <t>VT.430.N.04</t>
  </si>
  <si>
    <t>Кран дренажный 1/2" (16 /192шт)</t>
  </si>
  <si>
    <t>429.00 руб.</t>
  </si>
  <si>
    <t>VLC-411082</t>
  </si>
  <si>
    <t>VT.435.N.02</t>
  </si>
  <si>
    <t>Кран дренажный 1/4" (16 /192шт)</t>
  </si>
  <si>
    <t>374.00 руб.</t>
  </si>
  <si>
    <t>VLC-411083</t>
  </si>
  <si>
    <t>VT.537.N.06</t>
  </si>
  <si>
    <t>Сгон отсекатель для расшир бака с дренажом 1" вн-нар. (8 /32шт)</t>
  </si>
  <si>
    <t>1 863.00 руб.</t>
  </si>
  <si>
    <t>VLC-411084</t>
  </si>
  <si>
    <t>VT.300.N.04</t>
  </si>
  <si>
    <t>Кран шаровой со встроенным фильтром и редуктором давления (КФРД), универсальный</t>
  </si>
  <si>
    <t>2 623.00 руб.</t>
  </si>
  <si>
    <t>VLC-900001</t>
  </si>
  <si>
    <t>VT.290.N.04</t>
  </si>
  <si>
    <t>Кран шар. с цельным корпусом 1/2" вн.-вн.</t>
  </si>
  <si>
    <t>664.00 руб.</t>
  </si>
  <si>
    <t>VLC-999002</t>
  </si>
  <si>
    <t>VT.260.N.0404</t>
  </si>
  <si>
    <t>Кран шаровой с накидной гайкой 1/2" вн.-нар.</t>
  </si>
  <si>
    <t>541.00 руб.</t>
  </si>
  <si>
    <t>VLC-999003</t>
  </si>
  <si>
    <t>VT.266.NS.0404</t>
  </si>
  <si>
    <t>Кран шар. BASE угловой с накидной гайкой 1/2" вн.-вн. (короткий)</t>
  </si>
  <si>
    <t>634.00 руб.</t>
  </si>
  <si>
    <t>VLC-999004</t>
  </si>
  <si>
    <t>VT.266.NS.0505</t>
  </si>
  <si>
    <t>Кран шар. BASE угловой с накидной гайкой 3/4" вн.-вн. (короткий)</t>
  </si>
  <si>
    <t>941.00 руб.</t>
  </si>
  <si>
    <t>VLC-999005</t>
  </si>
  <si>
    <t>VT.267.NS.0404</t>
  </si>
  <si>
    <t>Кран шар. BASE угловой с накидной гайкой 1/2" вн.-нар. (короткий)</t>
  </si>
  <si>
    <t>644.00 руб.</t>
  </si>
  <si>
    <t>VLC-999006</t>
  </si>
  <si>
    <t>VT.267.NS.0505</t>
  </si>
  <si>
    <t>Кран шар. BASE угловой с накидной гайкой 3/4" вн.-нар. (короткий)</t>
  </si>
  <si>
    <t>965.00 руб.</t>
  </si>
  <si>
    <t>Краны шаровые VALTEC COMPACT</t>
  </si>
  <si>
    <t>VLC-412001</t>
  </si>
  <si>
    <t>VT.090.N.04</t>
  </si>
  <si>
    <t>- Кран шар. COMPACT, стальная рукоятка 1/2" вн.-вн.  (15 /240шт)</t>
  </si>
  <si>
    <t>373.00 руб.</t>
  </si>
  <si>
    <t>VLC-412002</t>
  </si>
  <si>
    <t>VT.090.N.05</t>
  </si>
  <si>
    <t>- Кран шар. COMPACT, стальная рукоятка 3/4" вн.-вн. (12 /192шт)</t>
  </si>
  <si>
    <t>549.00 руб.</t>
  </si>
  <si>
    <t>VLC-412003</t>
  </si>
  <si>
    <t>VT.092.N.04</t>
  </si>
  <si>
    <t>Кран шар. COMPACT, рукоятка бабочка 1/2" вн.-вн.  (20 /320шт)</t>
  </si>
  <si>
    <t>350.00 руб.</t>
  </si>
  <si>
    <t>VLC-412004</t>
  </si>
  <si>
    <t>VT.092.N.05</t>
  </si>
  <si>
    <t>- Кран шар. COMPACT, рукоятка бабочка 3/4" вн.-вн.  (14 /224шт)</t>
  </si>
  <si>
    <t>VLC-412005</t>
  </si>
  <si>
    <t>VT.093.N.04</t>
  </si>
  <si>
    <t>Кран шар. COMPACT, рукоятка бабочка 1/2" вн.-нар.  (20 /320шт)</t>
  </si>
  <si>
    <t>307.00 руб.</t>
  </si>
  <si>
    <t>VLC-412006</t>
  </si>
  <si>
    <t>VT.093.N.05</t>
  </si>
  <si>
    <t>Кран шар. COMPACT, рукоятка бабочка 3/4" вн.-нар.  (12 /192шт)</t>
  </si>
  <si>
    <t>588.00 руб.</t>
  </si>
  <si>
    <t>Краны шаровые VALTEC PERFECT</t>
  </si>
  <si>
    <t>VLC-413001</t>
  </si>
  <si>
    <t>VT.314.N.04</t>
  </si>
  <si>
    <t>Кран шар. PERFECT, стальная рукоятка 1/2" вн.-вн.  (12 /72шт)</t>
  </si>
  <si>
    <t>829.00 руб.</t>
  </si>
  <si>
    <t>VLC-413002</t>
  </si>
  <si>
    <t>VT.314.N.05</t>
  </si>
  <si>
    <t>Кран шар. PERFECT, стальная рукоятка 3/4" вн.-вн. (9 /36шт)</t>
  </si>
  <si>
    <t>1 522.00 руб.</t>
  </si>
  <si>
    <t>VLC-413003</t>
  </si>
  <si>
    <t>VT.314.N.06</t>
  </si>
  <si>
    <t>Кран шар. PERFECT, стальная рукоятка 1" вн.-вн. (6 /24шт)</t>
  </si>
  <si>
    <t>2 696.00 руб.</t>
  </si>
  <si>
    <t>VLC-413004</t>
  </si>
  <si>
    <t>VT.314.N.07</t>
  </si>
  <si>
    <t>Кран шар. PERFECT, стальная рукоятка 1 1/4" вн.-вн.  (2 /12шт)</t>
  </si>
  <si>
    <t>3 585.00 руб.</t>
  </si>
  <si>
    <t>VLC-413005</t>
  </si>
  <si>
    <t>VT.314.N.08</t>
  </si>
  <si>
    <t>Кран шар. PERFECT, стальная рукоятка 1 1/2" вн.-вн.  (2 /8шт)</t>
  </si>
  <si>
    <t>5 934.00 руб.</t>
  </si>
  <si>
    <t>VLC-413006</t>
  </si>
  <si>
    <t>VT.314.N.09</t>
  </si>
  <si>
    <t>Кран шар. PERFECT, стальная рукоятка 2" вн.-вн.  (2 /6шт)</t>
  </si>
  <si>
    <t>8 060.00 руб.</t>
  </si>
  <si>
    <t>VLC-413007</t>
  </si>
  <si>
    <t>VT.315.N.04</t>
  </si>
  <si>
    <t>Кран шар. PERFECT, стальная рукоятка 1/2" вн.-нар.  (9 /54шт)</t>
  </si>
  <si>
    <t>891.00 руб.</t>
  </si>
  <si>
    <t>VLC-413008</t>
  </si>
  <si>
    <t>VT.315.N.05</t>
  </si>
  <si>
    <t>Кран шар. PERFECT, стальная рукоятка 3/4" вн.-нар.  (7 /28шт)</t>
  </si>
  <si>
    <t>1 509.00 руб.</t>
  </si>
  <si>
    <t>VLC-413009</t>
  </si>
  <si>
    <t>VT.315.N.06</t>
  </si>
  <si>
    <t>Кран шар. PERFECT, стальная рукоятка 1" вн.-нар. (4 /16шт)</t>
  </si>
  <si>
    <t>2 463.00 руб.</t>
  </si>
  <si>
    <t>VLC-413010</t>
  </si>
  <si>
    <t>VT.315.N.07</t>
  </si>
  <si>
    <t>Кран шар. PERFECT, стальная рукоятка 1 1/4" вн.-нар.  (2 /12шт)</t>
  </si>
  <si>
    <t>3 983.00 руб.</t>
  </si>
  <si>
    <t>VLC-413011</t>
  </si>
  <si>
    <t>VT.317.N.04</t>
  </si>
  <si>
    <t>Кран шар. PERFECT, рукоятка бабочка 1/2" вн.-вн. (12 /72шт)</t>
  </si>
  <si>
    <t>818.00 руб.</t>
  </si>
  <si>
    <t>VLC-413012</t>
  </si>
  <si>
    <t>VT.317.N.05</t>
  </si>
  <si>
    <t>Кран шар. PERFECT, рукоятка бабочка 3/4" вн.-вн. (9 /36шт)</t>
  </si>
  <si>
    <t>1 467.00 руб.</t>
  </si>
  <si>
    <t>VLC-413013</t>
  </si>
  <si>
    <t>VT.317.N.06</t>
  </si>
  <si>
    <t>Кран шар. PERFECT, рукоятка бабочка 1" вн.-вн.  (6 /24шт)</t>
  </si>
  <si>
    <t>2 605.00 руб.</t>
  </si>
  <si>
    <t>VLC-413014</t>
  </si>
  <si>
    <t>VT.318.N.04</t>
  </si>
  <si>
    <t>Кран шар. PERFECT, рукоятка бабочка 1/2" вн.-нар. (11 /66шт)</t>
  </si>
  <si>
    <t>855.00 руб.</t>
  </si>
  <si>
    <t>VLC-413015</t>
  </si>
  <si>
    <t>VT.318.N.05</t>
  </si>
  <si>
    <t>Кран шар. PERFECT, рукоятка бабочка 3/4" вн.-нар.  (9 /36шт)</t>
  </si>
  <si>
    <t>1 488.00 руб.</t>
  </si>
  <si>
    <t>VLC-413016</t>
  </si>
  <si>
    <t>VT.318.N.06</t>
  </si>
  <si>
    <t>Кран шар. PERFECT, рукоятка бабочка 1" вн.-нар. (6 /24шт)</t>
  </si>
  <si>
    <t>2 694.00 руб.</t>
  </si>
  <si>
    <t>VLC-413017</t>
  </si>
  <si>
    <t>VT.327.N.04</t>
  </si>
  <si>
    <t>Кран шар. PERFECT с полусгоном 1/2" вн.-нар.  (10 /60шт)</t>
  </si>
  <si>
    <t>974.00 руб.</t>
  </si>
  <si>
    <t>VLC-413018</t>
  </si>
  <si>
    <t>VT.327.N.05</t>
  </si>
  <si>
    <t>Кран шар. PERFECT с полусгоном 3/4" вн.-нар. (9 /36шт)</t>
  </si>
  <si>
    <t>1 841.00 руб.</t>
  </si>
  <si>
    <t>VLC-413019</t>
  </si>
  <si>
    <t>VT.327.N.06</t>
  </si>
  <si>
    <t>Кран шар. PERFECT с полусгоном 1" вн.-нар. (5 /20шт)</t>
  </si>
  <si>
    <t>3 201.00 руб.</t>
  </si>
  <si>
    <t>VLC-413020</t>
  </si>
  <si>
    <t>VT.328.N.04</t>
  </si>
  <si>
    <t>Кран шар. PERFECT угловой с полусгоном 1/2" вн.-нар. (8 /48шт)</t>
  </si>
  <si>
    <t>1 134.00 руб.</t>
  </si>
  <si>
    <t>VLC-413021</t>
  </si>
  <si>
    <t>VT.328.N.05</t>
  </si>
  <si>
    <t>Кран шар. PERFECT угловой с полусгоном 3/4" вн.-нар. (6 /24шт)</t>
  </si>
  <si>
    <t>1 975.00 руб.</t>
  </si>
  <si>
    <t>Краны шаровые VALTEC СТАНДАРТ</t>
  </si>
  <si>
    <t>VLC-999124</t>
  </si>
  <si>
    <t>VT.120.GN.04</t>
  </si>
  <si>
    <t>Кран шар. СТАНДАРТ (PN40), длинная рукоятка 1/2", вн.-вн. (60шт)</t>
  </si>
  <si>
    <t>240.00 руб.</t>
  </si>
  <si>
    <t>VLC-999125</t>
  </si>
  <si>
    <t>VT.120.GN.05</t>
  </si>
  <si>
    <t>Кран шар. СТАНДАРТ (PN40), длинная рукоятка 3/4", вн.-вн. (50шт)</t>
  </si>
  <si>
    <t>339.00 руб.</t>
  </si>
  <si>
    <t>VLC-999126</t>
  </si>
  <si>
    <t>VT.121.GN.04</t>
  </si>
  <si>
    <t>Кран шар. СТАНДАРТ (PN40), длинная рукоятка 1/2", вн.-нар. (60шт)</t>
  </si>
  <si>
    <t>267.00 руб.</t>
  </si>
  <si>
    <t>VLC-999127</t>
  </si>
  <si>
    <t>VT.121.GN.05</t>
  </si>
  <si>
    <t>Кран шар. СТАНДАРТ (PN40), длинная рукоятка 3/4", вн.-нар. (50шт)</t>
  </si>
  <si>
    <t>383.00 руб.</t>
  </si>
  <si>
    <t>VLC-999128</t>
  </si>
  <si>
    <t>VT.121.GN.06</t>
  </si>
  <si>
    <t>Кран шар. СТАНДАРТ (PN40), длинная рукоятка 1", вн.-нар. (30шт)</t>
  </si>
  <si>
    <t>681.00 руб.</t>
  </si>
  <si>
    <t>VLC-999129</t>
  </si>
  <si>
    <t>VT.122.GN.04</t>
  </si>
  <si>
    <t>Кран шар. СТАНДАРТ (PN40), рукоятка бабочка 1/2", вн.-вн. (60шт)</t>
  </si>
  <si>
    <t>300.00 руб.</t>
  </si>
  <si>
    <t>VLC-999130</t>
  </si>
  <si>
    <t>VT.122.GN.05</t>
  </si>
  <si>
    <t>Кран шар. СТАНДАРТ (PN40), рукоятка бабочка 3/4", вн.-вн. (50шт)</t>
  </si>
  <si>
    <t>436.00 руб.</t>
  </si>
  <si>
    <t>VLC-999131</t>
  </si>
  <si>
    <t>VT.123.GN.04</t>
  </si>
  <si>
    <t>Кран шар. СТАНДАРТ (PN40), рукоятка бабочка 1/2", вн.-нар. (60шт)</t>
  </si>
  <si>
    <t>324.00 руб.</t>
  </si>
  <si>
    <t>VLC-999132</t>
  </si>
  <si>
    <t>VT.123.GN.05</t>
  </si>
  <si>
    <t>Кран шар. СТАНДАРТ (PN40), рукоятка бабочка 3/4", вн.-нар. (50шт)</t>
  </si>
  <si>
    <t>473.00 руб.</t>
  </si>
  <si>
    <t>VLC-999133</t>
  </si>
  <si>
    <t>VT.120.GN.06</t>
  </si>
  <si>
    <t>Кран шар. СТАНДАРТ (PN40), длинная рукоятка 1", вн.-вн. (30шт)</t>
  </si>
  <si>
    <t>607.00 руб.</t>
  </si>
  <si>
    <t>VLC-999134</t>
  </si>
  <si>
    <t>VT.127.GN.04</t>
  </si>
  <si>
    <t>Кран шар. СТАНДАРТ (PN40) с полусгоном 1/2", вн.-нар. (60шт)</t>
  </si>
  <si>
    <t>294.00 руб.</t>
  </si>
  <si>
    <t>VLC-999135</t>
  </si>
  <si>
    <t>VT.127.GN.05</t>
  </si>
  <si>
    <t>Кран шар. СТАНДАРТ (PN40)  с полусгоном 3/4", вн.-нар. (30шт)</t>
  </si>
  <si>
    <t>582.00 руб.</t>
  </si>
  <si>
    <t>VLC-999136</t>
  </si>
  <si>
    <t>VT.128.GN.04</t>
  </si>
  <si>
    <t>Кран шар. СТАНДАРТ для подключения датчика температуры, бабочка, 1/2", вн.-нар. (PN40) (50шт)</t>
  </si>
  <si>
    <t>335.00 руб.</t>
  </si>
  <si>
    <t>Краны шаровые VIEIR BASIC</t>
  </si>
  <si>
    <t>STP-410014</t>
  </si>
  <si>
    <t>VR1119</t>
  </si>
  <si>
    <t>Кран дренажный со съёмным металлическим штуцером 1/2"  (200/1шт)</t>
  </si>
  <si>
    <t>374.85 руб.</t>
  </si>
  <si>
    <t>VER-000127</t>
  </si>
  <si>
    <t>VER61</t>
  </si>
  <si>
    <t>Кран шаровой с удлиненным штоком 1/2" F/F НИКЕЛЬ "ViEiR"(96/6шт)</t>
  </si>
  <si>
    <t>587.56 руб.</t>
  </si>
  <si>
    <t>VER-000157</t>
  </si>
  <si>
    <t>VR200-07</t>
  </si>
  <si>
    <t>Кран шаровой 2 1/2" F/F  (ручка) НИКЕЛЬ  "ViEiR"(4/1шт)</t>
  </si>
  <si>
    <t>7 375.03 руб.</t>
  </si>
  <si>
    <t>VER-000158</t>
  </si>
  <si>
    <t>VR200-08</t>
  </si>
  <si>
    <t>Кран шаровой 3" F/F  (ручка) НИКЕЛЬ  "ViEiR"(4/1шт)</t>
  </si>
  <si>
    <t>10 425.89 руб.</t>
  </si>
  <si>
    <t>VER-000159</t>
  </si>
  <si>
    <t>VR200-09</t>
  </si>
  <si>
    <t>Кран шаровой 4" F/F  (ручка) НИКЕЛЬ  "ViEiR"(2/1шт)</t>
  </si>
  <si>
    <t>15 365.88 руб.</t>
  </si>
  <si>
    <t>ZAP-310001</t>
  </si>
  <si>
    <t>VR200-01</t>
  </si>
  <si>
    <t>Кран шар. полнопроход. усиленный, стальная рукоятка 1/2" вн.-вн. (14/112шт)</t>
  </si>
  <si>
    <t>377.83 руб.</t>
  </si>
  <si>
    <t>ZAP-310002</t>
  </si>
  <si>
    <t>VR200-02</t>
  </si>
  <si>
    <t>Кран шар. полнопроход. усиленный, стальная рукоятка 3/4" вн.-вн. (10/80шт)</t>
  </si>
  <si>
    <t>554.84 руб.</t>
  </si>
  <si>
    <t>ZAP-310003</t>
  </si>
  <si>
    <t>VR200-03</t>
  </si>
  <si>
    <t>Кран шар. полнопроход. усиленный, стальная рукоятка 1" вн.-вн. (10/60шт)</t>
  </si>
  <si>
    <t>880.60 руб.</t>
  </si>
  <si>
    <t>ZAP-310004</t>
  </si>
  <si>
    <t>VR200-04</t>
  </si>
  <si>
    <t>Кран шар. полнопроход. усиленный, стальная рукоятка 1 1/4" вн.-вн. (6/36шт)</t>
  </si>
  <si>
    <t>1 436.93 руб.</t>
  </si>
  <si>
    <t>ZAP-310005</t>
  </si>
  <si>
    <t>VR200-05</t>
  </si>
  <si>
    <t>Кран шар. полнопроход. усиленный, стальная рукоятка 1 1/2" вн.-вн. (4/24шт)</t>
  </si>
  <si>
    <t>2 327.94 руб.</t>
  </si>
  <si>
    <t>ZAP-310006</t>
  </si>
  <si>
    <t>VR200-06</t>
  </si>
  <si>
    <t>Кран шар. полнопроход. усиленный, стальная рукоятка 2" вн.-вн. (2/12шт)</t>
  </si>
  <si>
    <t>3 546.20 руб.</t>
  </si>
  <si>
    <t>ZAP-310007</t>
  </si>
  <si>
    <t>VR202-01</t>
  </si>
  <si>
    <t>Кран шар. полнопроход. усиленный, стальная рукоятка 1/2" вн.-нар. (14/112шт)</t>
  </si>
  <si>
    <t>ZAP-310008</t>
  </si>
  <si>
    <t>VR202-02</t>
  </si>
  <si>
    <t>Кран шар. полнопроход. усиленный, стальная рукоятка 3/4" вн.-нар. (10/80шт)</t>
  </si>
  <si>
    <t>596.49 руб.</t>
  </si>
  <si>
    <t>ZAP-310009</t>
  </si>
  <si>
    <t>VR202-03</t>
  </si>
  <si>
    <t>Кран шар. полнопроход. усиленный, стальная рукоятка 1" вн.-нар. (10/60шт)</t>
  </si>
  <si>
    <t>952.00 руб.</t>
  </si>
  <si>
    <t>ZAP-310010</t>
  </si>
  <si>
    <t>VR202-04</t>
  </si>
  <si>
    <t>Кран шар. полнопроход. усиленный, стальная рукоятка 1 1/4" вн.-нар. (6/36шт)</t>
  </si>
  <si>
    <t>1 502.38 руб.</t>
  </si>
  <si>
    <t>ZAP-310011</t>
  </si>
  <si>
    <t>VR202-05</t>
  </si>
  <si>
    <t>Кран шар. полнопроход. усиленный, стальная рукоятка 1 1/2" вн.-нар. (4/24шт)</t>
  </si>
  <si>
    <t>2 408.26 руб.</t>
  </si>
  <si>
    <t>ZAP-310012</t>
  </si>
  <si>
    <t>VR202-06</t>
  </si>
  <si>
    <t>Кран шар. полнопроход. усиленный, стальная рукоятка 2" вн.-нар. (2/12шт)</t>
  </si>
  <si>
    <t>3 760.40 руб.</t>
  </si>
  <si>
    <t>ZAP-310013</t>
  </si>
  <si>
    <t>VR201-01</t>
  </si>
  <si>
    <t>Кран шар. полнопроход. усиленный, рукоятка бабочка 1/2" вн.-вн. (14/112шт)</t>
  </si>
  <si>
    <t>368.90 руб.</t>
  </si>
  <si>
    <t>ZAP-310014</t>
  </si>
  <si>
    <t>VR201-02</t>
  </si>
  <si>
    <t>Кран шар. полнопроход. усиленный, рукоятка бабочка 3/4" вн.-вн. (10/80шт)</t>
  </si>
  <si>
    <t>ZAP-310015</t>
  </si>
  <si>
    <t>VR201-03</t>
  </si>
  <si>
    <t>Кран шар. полнопроход. усиленный, рукоятка бабочка 1" вн.-вн. (10/60шт)</t>
  </si>
  <si>
    <t>893.99 руб.</t>
  </si>
  <si>
    <t>ZAP-310016</t>
  </si>
  <si>
    <t>VR203-01</t>
  </si>
  <si>
    <t>Кран шар. полнопроход. усиленный, рукоятка бабочка 1/2" вн.-нар. (10/112шт)</t>
  </si>
  <si>
    <t>404.60 руб.</t>
  </si>
  <si>
    <t>ZAP-310017</t>
  </si>
  <si>
    <t>VR203-02</t>
  </si>
  <si>
    <t>Кран шар. полнопроход. усиленный, рукоятка бабочка 3/4" вн.-нар. (10/80шт)</t>
  </si>
  <si>
    <t>611.36 руб.</t>
  </si>
  <si>
    <t>ZAP-310018</t>
  </si>
  <si>
    <t>VR203-03</t>
  </si>
  <si>
    <t>Кран шар. полнопроход. усиленный, рукоятка бабочка 1" вн.-нар. (10/60шт)</t>
  </si>
  <si>
    <t>956.46 руб.</t>
  </si>
  <si>
    <t>ZAP-310019</t>
  </si>
  <si>
    <t>VR105-03</t>
  </si>
  <si>
    <t>Кран шар. полнопроход. усиленный, рукоятка бабочка 1/2" нар.-нар. (12/120шт)</t>
  </si>
  <si>
    <t>413.53 руб.</t>
  </si>
  <si>
    <t>ZAP-310020</t>
  </si>
  <si>
    <t>VR105-04</t>
  </si>
  <si>
    <t>Кран шар. полнопроход. усиленный, рукоятка бабочка 3/4" нар.-нар. (12/120шт)</t>
  </si>
  <si>
    <t>599.46 руб.</t>
  </si>
  <si>
    <t>ZAP-310021</t>
  </si>
  <si>
    <t>VR204-01</t>
  </si>
  <si>
    <t>Кран шар. полнопроход. усиленный с полусгоном 1/2" вн.-нар. (10/80шт)</t>
  </si>
  <si>
    <t>501.29 руб.</t>
  </si>
  <si>
    <t>ZAP-310022</t>
  </si>
  <si>
    <t>VR204-02</t>
  </si>
  <si>
    <t>Кран шар. полнопроход. усиленный с полусгоном 3/4" вн.-нар. (8/64шт)</t>
  </si>
  <si>
    <t>761.60 руб.</t>
  </si>
  <si>
    <t>ZAP-310023</t>
  </si>
  <si>
    <t>VR204-03</t>
  </si>
  <si>
    <t>Кран шар. полнопроход. усиленный с полусгоном 1" вн.-нар. (6/48шт)</t>
  </si>
  <si>
    <t>1 228.68 руб.</t>
  </si>
  <si>
    <t>ZAP-310024</t>
  </si>
  <si>
    <t>VR204-04</t>
  </si>
  <si>
    <t>Кран шар. полнопроход. усиленный с полусгоном 1 1/4" вн.-нар. (5/30шт)</t>
  </si>
  <si>
    <t>2 033.41 руб.</t>
  </si>
  <si>
    <t>ZAP-310025</t>
  </si>
  <si>
    <t>VER47</t>
  </si>
  <si>
    <t>Кран шар. полнопроход. усиленный угловой с полусгоном 1/2" вн.-нар. (14/112шт)</t>
  </si>
  <si>
    <t>ZAP-310026</t>
  </si>
  <si>
    <t>VER48</t>
  </si>
  <si>
    <t>Кран шар. полнопроход. усиленный угловой с полусгоном 3/4" вн.-нар. (10/80шт)</t>
  </si>
  <si>
    <t>835.98 руб.</t>
  </si>
  <si>
    <t>ZAP-310027</t>
  </si>
  <si>
    <t>VER49</t>
  </si>
  <si>
    <t>Кран шар. полнопроход. усиленный угловой с полусгоном 1" вн.-нар. (10/60шт)</t>
  </si>
  <si>
    <t>1 359.58 руб.</t>
  </si>
  <si>
    <t>ZAP-310028</t>
  </si>
  <si>
    <t>VR204-01A</t>
  </si>
  <si>
    <t>Кран шар. полнопроход. белая ручка с доп уплотнением  усиленный с полусгоном 1/2" вн.-нар. (10/80шт)</t>
  </si>
  <si>
    <t>534.01 руб.</t>
  </si>
  <si>
    <t>ZAP-310029</t>
  </si>
  <si>
    <t>VR204-02A</t>
  </si>
  <si>
    <t>Кран шар. полнопроход. белая ручка  с доп уплотнением усиленный с полусгоном 3/4" вн.-нар. (8/64шт)</t>
  </si>
  <si>
    <t>801.76 руб.</t>
  </si>
  <si>
    <t>ZAP-310030</t>
  </si>
  <si>
    <t>VR204-03А</t>
  </si>
  <si>
    <t>Кран шар. полнопроход. белая ручка с доп уплотнением усиленный с полусгоном 1" вн.-нар. (6/48шт)</t>
  </si>
  <si>
    <t>1 288.18 руб.</t>
  </si>
  <si>
    <t>ZAP-310031</t>
  </si>
  <si>
    <t>VR204-01B</t>
  </si>
  <si>
    <t>Кран шар. полнопроход. белая ручка усиленный с полусгоном 1/2" вн.-нар. (10/80шт)</t>
  </si>
  <si>
    <t>ZAP-310032</t>
  </si>
  <si>
    <t>VR204-02B</t>
  </si>
  <si>
    <t>Кран шар. полнопроход. белая ручка усиленный с полусгоном 3/4" вн.-нар. (8/64шт)</t>
  </si>
  <si>
    <t>ZAP-310033</t>
  </si>
  <si>
    <t>VR204-03B</t>
  </si>
  <si>
    <t>Кран шар. полнопроход. белая ручка усиленный с полусгоном 1" вн.-нар. (6/48шт)</t>
  </si>
  <si>
    <t>ZAP-310034</t>
  </si>
  <si>
    <t>VERS52</t>
  </si>
  <si>
    <t>Кран угловой с накидной гайкой 1/2" вн-вн VR (14/112шт)</t>
  </si>
  <si>
    <t>ZAP-310035</t>
  </si>
  <si>
    <t>VERS53</t>
  </si>
  <si>
    <t>Кран угловой с накидной гайкой 3/4" вн-вн VR (8/96шт)</t>
  </si>
  <si>
    <t>743.75 руб.</t>
  </si>
  <si>
    <t>ZAP-310036</t>
  </si>
  <si>
    <t>VERS50</t>
  </si>
  <si>
    <t>Кран прямой с накидной гайкой  1/2" вн-вн VR (14/112шт)</t>
  </si>
  <si>
    <t>489.39 руб.</t>
  </si>
  <si>
    <t>ZAP-310037</t>
  </si>
  <si>
    <t>VERS51</t>
  </si>
  <si>
    <t>Кран прямой с накидной гайкой  3/4" вн-вн VR (8/80шт)</t>
  </si>
  <si>
    <t>727.39 руб.</t>
  </si>
  <si>
    <t>ZAP-310038</t>
  </si>
  <si>
    <t>GL192</t>
  </si>
  <si>
    <t>Кран шаровой трехходовой 1/2" VR (1/30шт)</t>
  </si>
  <si>
    <t>620.29 руб.</t>
  </si>
  <si>
    <t>ZAP-310039</t>
  </si>
  <si>
    <t>GL193</t>
  </si>
  <si>
    <t>Кран шаровой трехходовой 3/4" VR (1/30шт)</t>
  </si>
  <si>
    <t>830.03 руб.</t>
  </si>
  <si>
    <t>ZAP-310040</t>
  </si>
  <si>
    <t>GL194</t>
  </si>
  <si>
    <t>Кран шаровой трехходовой 1" VR (1/30шт)</t>
  </si>
  <si>
    <t>1 316.44 руб.</t>
  </si>
  <si>
    <t>ZAP-310041</t>
  </si>
  <si>
    <t>VER47A</t>
  </si>
  <si>
    <t>Кран шар. VIEIR полнопроход. белая ручка с доп уплотнением  усиленный угловой с полусгоном 1/2" вн.-</t>
  </si>
  <si>
    <t>562.28 руб.</t>
  </si>
  <si>
    <t>ZAP-310042</t>
  </si>
  <si>
    <t>VER49A</t>
  </si>
  <si>
    <t>Кран шар. VIEIR полнопроход. белая ручка с доп уплотнением  усиленный угловой с полусгоном 1" вн.-на</t>
  </si>
  <si>
    <t>1 402.71 руб.</t>
  </si>
  <si>
    <t>ZAP-310043</t>
  </si>
  <si>
    <t>VER47B</t>
  </si>
  <si>
    <t>Кран шар. VIEIR полнопроход. белая ручка  усиленный угловой с полусгоном 1/2" вн.-нар. (4/80шт)</t>
  </si>
  <si>
    <t>520.63 руб.</t>
  </si>
  <si>
    <t>ZAP-310044</t>
  </si>
  <si>
    <t>VER49B</t>
  </si>
  <si>
    <t>Кран шар. VIEIR полнопроход. белая ручка  усиленный угловой с полусгоном 1" вн.-нар. (2/48шт)</t>
  </si>
  <si>
    <t>ZAP-310045</t>
  </si>
  <si>
    <t>VERS55</t>
  </si>
  <si>
    <t>Кран прямой с накидной гайкой 1" вн-вн VIEIR (6/48шт)</t>
  </si>
  <si>
    <t>1 131.99 руб.</t>
  </si>
  <si>
    <t>Краны шаровые ZEGOR</t>
  </si>
  <si>
    <t>ZGR-000001</t>
  </si>
  <si>
    <t>FB11</t>
  </si>
  <si>
    <t>Кран шаровый Pn40 латунь никель 1/2" вн-вн бабочка (1/80шт)</t>
  </si>
  <si>
    <t>365.91 руб.</t>
  </si>
  <si>
    <t>ZGR-000002</t>
  </si>
  <si>
    <t>FB12</t>
  </si>
  <si>
    <t>Кран шаровый Zegor  полнопроходной Pn40 латунь никель 3/4" вн-вн бабочка (25/100шт)</t>
  </si>
  <si>
    <t>539.31 руб.</t>
  </si>
  <si>
    <t>ZGR-000003</t>
  </si>
  <si>
    <t>FB13</t>
  </si>
  <si>
    <t>Кран шаровый 1" вн-вн Pn40 латунь никель бабочка ZEGOR (15/60шт)</t>
  </si>
  <si>
    <t>717.49 руб.</t>
  </si>
  <si>
    <t>ZGR-000004</t>
  </si>
  <si>
    <t>FN11</t>
  </si>
  <si>
    <t>Кран шаровый Zegor  полнопроходной Pn40 латунь никель 1/2" вн-нар бабочка (1/80шт)</t>
  </si>
  <si>
    <t>386.82 руб.</t>
  </si>
  <si>
    <t>ZGR-000005</t>
  </si>
  <si>
    <t>FN12</t>
  </si>
  <si>
    <t>Кран шаровый Pn40 латунь никель 3/4" вн-нар бабочка (25/100шт)</t>
  </si>
  <si>
    <t>560.46 руб.</t>
  </si>
  <si>
    <t>ZGR-000006</t>
  </si>
  <si>
    <t>FN13</t>
  </si>
  <si>
    <t>Кран шаровый Zegor  полнопроходной Pn40 латунь никель 1" вн-нар бабочка (15/60шт)</t>
  </si>
  <si>
    <t>842.49 руб.</t>
  </si>
  <si>
    <t>ZGR-000007</t>
  </si>
  <si>
    <t>FNN11</t>
  </si>
  <si>
    <t>Кран шаровый Zegor  полнопроходной Pn40 латунь никель 1/2" нар-нар бабочка (1/80шт)</t>
  </si>
  <si>
    <t>372.84 руб.</t>
  </si>
  <si>
    <t>ZGR-000008</t>
  </si>
  <si>
    <t>FBR11</t>
  </si>
  <si>
    <t>Кран шаровый Zegor  полнопроходной Pn40 латунь никель 1/2" вн-вн ручка (25/100шт)</t>
  </si>
  <si>
    <t>400.64 руб.</t>
  </si>
  <si>
    <t>ZGR-000009</t>
  </si>
  <si>
    <t>FBR12</t>
  </si>
  <si>
    <t>Кран шаровый Zegor  полнопроходной Pn40 латунь никель 3/4" вн-вн ручка (20/80шт)</t>
  </si>
  <si>
    <t>570.94 руб.</t>
  </si>
  <si>
    <t>ZGR-000010</t>
  </si>
  <si>
    <t>FBR13</t>
  </si>
  <si>
    <t>Кран шаровый Zegor  полнопроходной Pn40 латунь никель 1" вн-вн ручка (10/40шт)</t>
  </si>
  <si>
    <t>848.04 руб.</t>
  </si>
  <si>
    <t>ZGR-000011</t>
  </si>
  <si>
    <t>FBR14</t>
  </si>
  <si>
    <t>Кран шаровый Pn40 латунь никель 11/4" вн-вн ручка (16/32шт)</t>
  </si>
  <si>
    <t>1 167.12 руб.</t>
  </si>
  <si>
    <t>ZGR-000012</t>
  </si>
  <si>
    <t>FBR15</t>
  </si>
  <si>
    <t>Кран шаровый Zegor  полнопроходной Pn40 латунь никель 11/2" вн-вн ручка (10/20шт)</t>
  </si>
  <si>
    <t>1 901.32 руб.</t>
  </si>
  <si>
    <t>ZGR-000013</t>
  </si>
  <si>
    <t>FBR16</t>
  </si>
  <si>
    <t>Кран шаровый Zegor  полнопроходной Pn40 латунь никель 2" вн-вн ручка (6/12шт)</t>
  </si>
  <si>
    <t>3 104.98 руб.</t>
  </si>
  <si>
    <t>ZGR-000014</t>
  </si>
  <si>
    <t>FNR11</t>
  </si>
  <si>
    <t>Кран шаровый Zegor  полнопроходной Pn40 латунь никель 1/2" вн-нар ручка (25/100шт)</t>
  </si>
  <si>
    <t>339.23 руб.</t>
  </si>
  <si>
    <t>ZGR-000015</t>
  </si>
  <si>
    <t>FNR12</t>
  </si>
  <si>
    <t>Кран шаровый Zegor  полнопроходной Pn40 латунь никель 3/4" вн-нар ручка (15/60шт)</t>
  </si>
  <si>
    <t>559.66 руб.</t>
  </si>
  <si>
    <t>ZGR-000016</t>
  </si>
  <si>
    <t>FNR13</t>
  </si>
  <si>
    <t>Кран шаровый Zegor  полнопроходной Pn40 латунь никель 1" вн-нар ручка (12/48шт)</t>
  </si>
  <si>
    <t>919.99 руб.</t>
  </si>
  <si>
    <t>ZGR-000017</t>
  </si>
  <si>
    <t>FNR14</t>
  </si>
  <si>
    <t>Кран шаровый Zegor  полнопроходной Pn40 латунь никель 11/4" вн-нар ручка (16/32шт)</t>
  </si>
  <si>
    <t>1 379.99 руб.</t>
  </si>
  <si>
    <t>ZGR-000018</t>
  </si>
  <si>
    <t>FNR15</t>
  </si>
  <si>
    <t>Кран шаровый Zegor  полнопроходной Pn40 латунь никель 11/2" вн-нар ручка (10/20шт)</t>
  </si>
  <si>
    <t>2 156.23 руб.</t>
  </si>
  <si>
    <t>ZGR-000019</t>
  </si>
  <si>
    <t>FNR16</t>
  </si>
  <si>
    <t>Кран шаровый Zegor  полнопроходной Pn40 латунь никель 2" вн-нар ручка (6/12шт)</t>
  </si>
  <si>
    <t>3 436.44 руб.</t>
  </si>
  <si>
    <t>ZGR-000020</t>
  </si>
  <si>
    <t>FA11</t>
  </si>
  <si>
    <t>Кран шаровый Zegor  прямой со сгоном полнопроходной Pn40 латунь никель 1/2" вн-нар бабочка (20/80шт)</t>
  </si>
  <si>
    <t>512.27 руб.</t>
  </si>
  <si>
    <t>ZGR-000021</t>
  </si>
  <si>
    <t>FA12</t>
  </si>
  <si>
    <t>Кран шаровый Zegor  прямой со сгоном полнопроходной Pn40 латунь никель 3/4" вн-нар бабочка (18/72шт)</t>
  </si>
  <si>
    <t>744.88 руб.</t>
  </si>
  <si>
    <t>ZGR-000022</t>
  </si>
  <si>
    <t>FA13</t>
  </si>
  <si>
    <t>Кран шаровый Zegor  прямой со сгоном полнопроходной Pn40 латунь никель 1" вн-нар бабочка (10/40шт)</t>
  </si>
  <si>
    <t>1 218.99 руб.</t>
  </si>
  <si>
    <t>ZGR-000023</t>
  </si>
  <si>
    <t>FAL11</t>
  </si>
  <si>
    <t>Кран шаровый Zegor  угловой со сгоном полнопроход Pn40 латунь никель 1/2" вн-нар бабочка (15/90шт)</t>
  </si>
  <si>
    <t>506.49 руб.</t>
  </si>
  <si>
    <t>ZGR-000024</t>
  </si>
  <si>
    <t>FAL12</t>
  </si>
  <si>
    <t>Кран шаровый Zegor  угловой со сгоном полнопроход Pn40 латунь никель 3/4" вн-нар бабочка (15/60шт)</t>
  </si>
  <si>
    <t>827.01 руб.</t>
  </si>
  <si>
    <t>ZGR-000025</t>
  </si>
  <si>
    <t>FAO11</t>
  </si>
  <si>
    <t>Кран шаровый Zegor  прямой со сгоном с доп.уплот. Pn40 латунь ник 1/2" вн-нар белая бабочка (15/</t>
  </si>
  <si>
    <t>524.60 руб.</t>
  </si>
  <si>
    <t>ZGR-000026</t>
  </si>
  <si>
    <t>FAO12</t>
  </si>
  <si>
    <t>Кран шаровый Zegor  прямой со сгоном с доп.уплот. Pn40 латунь ник 3/4" вн-нар белая бабочка (15/</t>
  </si>
  <si>
    <t>791.62 руб.</t>
  </si>
  <si>
    <t>ZGR-000027</t>
  </si>
  <si>
    <t>FAOL11</t>
  </si>
  <si>
    <t>Кран шаровый Zegor  угловой со сгоном с доп.уплот. Pn40 латунь ник 1/2" вн-нар белая бабочка (15</t>
  </si>
  <si>
    <t>580.06 руб.</t>
  </si>
  <si>
    <t>ZGR-000028</t>
  </si>
  <si>
    <t>FAOL12</t>
  </si>
  <si>
    <t>Кран шаровый Zegor  угловой со сгоном с доп.уплот. Pn40 латунь ник 3/4" вн-нар белая бабочка (15</t>
  </si>
  <si>
    <t>1 063.40 руб.</t>
  </si>
  <si>
    <t>ZGR-000031</t>
  </si>
  <si>
    <t>FS11</t>
  </si>
  <si>
    <t>Кран шаровый Zegor  с дренаж и воздухоотвод. полнопроходной Pn40 латунь никель 1/2" вн-вн ручка (15/</t>
  </si>
  <si>
    <t>321.99 руб.</t>
  </si>
  <si>
    <t>ZGR-000032</t>
  </si>
  <si>
    <t>FS12</t>
  </si>
  <si>
    <t>Кран шаровый Zegor  с дренаж и воздухоотвод. полнопроходной Pn40 латунь никель 3/4" вн-вн ручка (15/</t>
  </si>
  <si>
    <t>531.26 руб.</t>
  </si>
  <si>
    <t>ZGR-000033</t>
  </si>
  <si>
    <t>FS13</t>
  </si>
  <si>
    <t>Кран шаровый Zegor  с дренаж и воздухоотвод. полнопроходной Pn40 латунь никель 1" вн-вн ручка (7/42ш</t>
  </si>
  <si>
    <t>807.61 руб.</t>
  </si>
  <si>
    <t>ZGR-000034</t>
  </si>
  <si>
    <t>FS14</t>
  </si>
  <si>
    <t>Кран шаровый Zegor  с дренаж и воздухоотвод. полнопроходной Pn40 латунь никель 11/4" вн-вн ручка (8/</t>
  </si>
  <si>
    <t>1 120.61 руб.</t>
  </si>
  <si>
    <t>ZGR-000035</t>
  </si>
  <si>
    <t>FUB11</t>
  </si>
  <si>
    <t>Кран шаровый Zegor  прямой с накидной гайкой Pn40 латунь никель 1/2" вн-вн бабочка (25/1</t>
  </si>
  <si>
    <t>428.37 руб.</t>
  </si>
  <si>
    <t>ZGR-000036</t>
  </si>
  <si>
    <t>FUB12</t>
  </si>
  <si>
    <t>Кран шаровый прямой с накидной гайкой Pn40 латунь никель 3/4" вн-вн бабочка (20/1</t>
  </si>
  <si>
    <t>595.12 руб.</t>
  </si>
  <si>
    <t>ZGR-000037</t>
  </si>
  <si>
    <t>FUN11</t>
  </si>
  <si>
    <t>Кран шаровый Zegor  прямой с накидной гайкой Pn40 латунь никель 1/2" вн-нар бабочка (25/</t>
  </si>
  <si>
    <t>400.47 руб.</t>
  </si>
  <si>
    <t>ZGR-000038</t>
  </si>
  <si>
    <t>FUN12</t>
  </si>
  <si>
    <t>Кран шаровый Zegor  прямой с накидной гайкой Pn40 латунь никель 3/4" вн-нар бабочка (20/</t>
  </si>
  <si>
    <t>554.70 руб.</t>
  </si>
  <si>
    <t>ZGR-000039</t>
  </si>
  <si>
    <t>FUBL11</t>
  </si>
  <si>
    <t>Кран шаровый Zegor  угловой с накидной гайкой Pn40 латунь никель 1/2" вн-вн бабочка (20/</t>
  </si>
  <si>
    <t>492.47 руб.</t>
  </si>
  <si>
    <t>ZGR-000040</t>
  </si>
  <si>
    <t>FUBL12</t>
  </si>
  <si>
    <t>Кран шаровый Zegor  угловой с накидной гайкой Pn40 латунь никель 3/4" вн-вн бабочка (15/</t>
  </si>
  <si>
    <t>679.17 руб.</t>
  </si>
  <si>
    <t>ZGR-000041</t>
  </si>
  <si>
    <t>FNL11</t>
  </si>
  <si>
    <t>Кран шаровый Zegor  угловой с накидной гайкой Pn40 латунь никель 1/2" вн-нар бабочка (25</t>
  </si>
  <si>
    <t>374.36 руб.</t>
  </si>
  <si>
    <t>ZGR-000042</t>
  </si>
  <si>
    <t>FNL12</t>
  </si>
  <si>
    <t>Кран шаровый Zegor  угловой с накидной гайкой Pn40 латунь никель 3/4" вн-нар бабочка (20</t>
  </si>
  <si>
    <t>526.06 руб.</t>
  </si>
  <si>
    <t>ZGR-000124</t>
  </si>
  <si>
    <t>FNN12</t>
  </si>
  <si>
    <t>Кран шаровый Zegor  полнопроходной Pn40 латунь никель 3/4" нар-нар бабочка (15/90шт)</t>
  </si>
  <si>
    <t>565.00 руб.</t>
  </si>
  <si>
    <t>ZGR-000128</t>
  </si>
  <si>
    <t>FNN13</t>
  </si>
  <si>
    <t>Кран шаровый Zegor  полнопроходной Pn40 латунь никель 1" нар-нар бабочка (15/90шт)</t>
  </si>
  <si>
    <t>966.82 руб.</t>
  </si>
  <si>
    <t>Краны шаровые АТМ</t>
  </si>
  <si>
    <t>ZAP-330001</t>
  </si>
  <si>
    <t>VR205-01</t>
  </si>
  <si>
    <t>Кран шар. АТМ стандарт проход бабочка 1/2" вн.-вн. (14/160шт)</t>
  </si>
  <si>
    <t>223.13 руб.</t>
  </si>
  <si>
    <t>ZAP-330002</t>
  </si>
  <si>
    <t>VR205-02</t>
  </si>
  <si>
    <t>Кран шар. АТМ стандарт  проход  бабочка 3/4" вн.-вн. (10/120шт)</t>
  </si>
  <si>
    <t>307.91 руб.</t>
  </si>
  <si>
    <t>ZAP-330003</t>
  </si>
  <si>
    <t>VR205-03</t>
  </si>
  <si>
    <t>Кран шар. АТМ стандарт  проход  бабочка 1" вн.-вн. (10/100шт)</t>
  </si>
  <si>
    <t>481.95 руб.</t>
  </si>
  <si>
    <t>ZAP-330004</t>
  </si>
  <si>
    <t>VR206-01</t>
  </si>
  <si>
    <t>Кран шар. АТМ стандарт  проход бабочка 1/2" вн.-нар. (10/160шт)</t>
  </si>
  <si>
    <t>230.56 руб.</t>
  </si>
  <si>
    <t>ZAP-330005</t>
  </si>
  <si>
    <t>VR206-02</t>
  </si>
  <si>
    <t>Кран шар. АТМ стандарт  проход бабочка 3/4" вн.-нар. (10/120шт)</t>
  </si>
  <si>
    <t>321.30 руб.</t>
  </si>
  <si>
    <t>ZAP-330006</t>
  </si>
  <si>
    <t>VR206-03</t>
  </si>
  <si>
    <t>Кран шар. АТМ стандарт  проход бабочка 1" вн.-нар. (10/100шт)</t>
  </si>
  <si>
    <t>504.26 руб.</t>
  </si>
  <si>
    <t>ZAP-330007</t>
  </si>
  <si>
    <t>VR207-01</t>
  </si>
  <si>
    <t>Кран шар. АТМ стандарт  проход  рукоятка 1/2" вн.-вн. (14/160шт)</t>
  </si>
  <si>
    <t>226.10 руб.</t>
  </si>
  <si>
    <t>ZAP-330008</t>
  </si>
  <si>
    <t>VR207-02</t>
  </si>
  <si>
    <t>Кран шар. АТМ стандарт  проход  рукоятка 3/4" вн.-вн. (14/160шт)</t>
  </si>
  <si>
    <t>315.35 руб.</t>
  </si>
  <si>
    <t>ZAP-330009</t>
  </si>
  <si>
    <t>VR207-03</t>
  </si>
  <si>
    <t>Кран шар. АТМ стандарт проход  рукоятка 1" вн.-вн. (10/100шт)</t>
  </si>
  <si>
    <t>478.98 руб.</t>
  </si>
  <si>
    <t>ZAP-330013</t>
  </si>
  <si>
    <t>VR208-01</t>
  </si>
  <si>
    <t>Кран шар. АТМ стандарт проход рукоятка 1/2" вн.-нар. (10/160шт)</t>
  </si>
  <si>
    <t>ZAP-330014</t>
  </si>
  <si>
    <t>VR208-02</t>
  </si>
  <si>
    <t>Кран шар. АТМ стандарт проход рукоятка 3/4" вн.-нар. (10/120шт)</t>
  </si>
  <si>
    <t>327.25 руб.</t>
  </si>
  <si>
    <t>ZAP-330015</t>
  </si>
  <si>
    <t>VR208-03</t>
  </si>
  <si>
    <t>Кран шар. АТМ стандарт проход рукоятка 1" вн.-нар. (10/100шт)</t>
  </si>
  <si>
    <t>498.31 руб.</t>
  </si>
  <si>
    <t>Краны шаровые Эконом</t>
  </si>
  <si>
    <t>ZAP-331001</t>
  </si>
  <si>
    <t>Кран шар. 1/2" вн/вн, бабочка для холодной воды (10/240 шт)</t>
  </si>
  <si>
    <t>40.00 руб.</t>
  </si>
  <si>
    <t>ZAP-331003</t>
  </si>
  <si>
    <t>Кран шар. 1/2" вн/нар, бабочка для холодной воды (10/240 шт)</t>
  </si>
  <si>
    <t>50.00 руб.</t>
  </si>
  <si>
    <t>Краны незамерзающие</t>
  </si>
  <si>
    <t>RAC-111001</t>
  </si>
  <si>
    <t>Кран незамерзающий 100мм</t>
  </si>
  <si>
    <t>2 942.40 руб.</t>
  </si>
  <si>
    <t>RAC-111002</t>
  </si>
  <si>
    <t>Кран незамерзающий 150мм</t>
  </si>
  <si>
    <t>3 518.40 руб.</t>
  </si>
  <si>
    <t>RAC-111003</t>
  </si>
  <si>
    <t>Кран незамерзающий 200мм</t>
  </si>
  <si>
    <t>3 688.00 руб.</t>
  </si>
  <si>
    <t>RAC-111005</t>
  </si>
  <si>
    <t>Кран незамерзающий 300мм</t>
  </si>
  <si>
    <t>4 211.20 руб.</t>
  </si>
  <si>
    <t>RAC-111007</t>
  </si>
  <si>
    <t>Кран незамерзающий 400мм</t>
  </si>
  <si>
    <t>4 648.00 руб.</t>
  </si>
  <si>
    <t>RAC-111009</t>
  </si>
  <si>
    <t>Кран незамерзающий 500мм</t>
  </si>
  <si>
    <t>5 820.80 руб.</t>
  </si>
  <si>
    <t>RAC-111010</t>
  </si>
  <si>
    <t>Кран незамерзающий 550мм</t>
  </si>
  <si>
    <t>6 044.80 руб.</t>
  </si>
  <si>
    <t>RAC-111011</t>
  </si>
  <si>
    <t>Кран незамерзающий 600мм</t>
  </si>
  <si>
    <t>6 334.40 руб.</t>
  </si>
  <si>
    <t>Рукоятки для шаровых кранов</t>
  </si>
  <si>
    <t>VLC-415001</t>
  </si>
  <si>
    <t>VT.220.P.01</t>
  </si>
  <si>
    <t>Ручка баласировочного клапана VT.054</t>
  </si>
  <si>
    <t>263.00 руб.</t>
  </si>
  <si>
    <t>VLC-415002</t>
  </si>
  <si>
    <t>VT.220.B.0</t>
  </si>
  <si>
    <t>Ручка для крана 1/2" синяя</t>
  </si>
  <si>
    <t>36.00 руб.</t>
  </si>
  <si>
    <t>VLC-415003</t>
  </si>
  <si>
    <t>VT.220.W.04</t>
  </si>
  <si>
    <t>Ручка-бабочка для крана, 1/2"-3/4" белая</t>
  </si>
  <si>
    <t>34.00 руб.</t>
  </si>
  <si>
    <t>VLC-415004</t>
  </si>
  <si>
    <t>VT.220.R.04</t>
  </si>
  <si>
    <t>Ручка-бабочка для крана, 1/2"-3/4" красная</t>
  </si>
  <si>
    <t>35.00 руб.</t>
  </si>
  <si>
    <t>VLC-415005</t>
  </si>
  <si>
    <t>VT.220.S.08</t>
  </si>
  <si>
    <t>Стальная рукоятка для крана VALTEC BASE, 1 1/2"</t>
  </si>
  <si>
    <t>154.00 руб.</t>
  </si>
  <si>
    <t>VLC-415006</t>
  </si>
  <si>
    <t>VT.220.S.07</t>
  </si>
  <si>
    <t>Стальная рукоятка для крана VALTEC BASE, 1 1/4"</t>
  </si>
  <si>
    <t>87.00 руб.</t>
  </si>
  <si>
    <t>VLC-415007</t>
  </si>
  <si>
    <t>VT.220.S.06</t>
  </si>
  <si>
    <t>Стальная рукоятка для крана VALTEC BASE, 1"</t>
  </si>
  <si>
    <t>57.00 руб.</t>
  </si>
  <si>
    <t>VLC-415008</t>
  </si>
  <si>
    <t>VT.220.S.04</t>
  </si>
  <si>
    <t>Стальная рукоятка для крана VALTEC BASE, 1/2"-3/4"</t>
  </si>
  <si>
    <t>44.00 руб.</t>
  </si>
  <si>
    <t>VLC-415009</t>
  </si>
  <si>
    <t>VT.320.S.08</t>
  </si>
  <si>
    <t>Стальная рукоятка для крана VALTEC PERFECT, 1 1/2"</t>
  </si>
  <si>
    <t>192.00 руб.</t>
  </si>
  <si>
    <t>VLC-415010</t>
  </si>
  <si>
    <t>VT.320.S.07</t>
  </si>
  <si>
    <t>Стальная рукоятка для крана VALTEC PERFECT, 1 1/4"</t>
  </si>
  <si>
    <t>147.00 руб.</t>
  </si>
  <si>
    <t>VLC-415011</t>
  </si>
  <si>
    <t>VT.320.S.06</t>
  </si>
  <si>
    <t>Стальная рукоятка для крана VALTEC PERFECT, 1"</t>
  </si>
  <si>
    <t>94.00 руб.</t>
  </si>
  <si>
    <t>VLC-415012</t>
  </si>
  <si>
    <t>VT.320.S.04</t>
  </si>
  <si>
    <t>Стальная рукоятка для крана VALTEC PERFECT, 1/2"</t>
  </si>
  <si>
    <t>59.00 руб.</t>
  </si>
  <si>
    <t>VLC-415013</t>
  </si>
  <si>
    <t>VT.320.S.05</t>
  </si>
  <si>
    <t>Стальная рукоятка для крана VALTEC PERFECT, 3/4"</t>
  </si>
  <si>
    <t>VLC-415014</t>
  </si>
  <si>
    <t>VT.320.B.04</t>
  </si>
  <si>
    <t>Ручка-бабочка для крана PERFECT, 1/2" черная</t>
  </si>
  <si>
    <t>VLC-415015</t>
  </si>
  <si>
    <t>VT.320.B.05</t>
  </si>
  <si>
    <t>Ручка-бабочка для крана PERFECT, 3/4"</t>
  </si>
  <si>
    <t>72.00 руб.</t>
  </si>
  <si>
    <t>VLC-415016</t>
  </si>
  <si>
    <t>VT.420.R.04</t>
  </si>
  <si>
    <t>Рукоятка шарового крана с плавным управлением VT.252</t>
  </si>
  <si>
    <t>287.00 руб.</t>
  </si>
  <si>
    <t>VLC-415017</t>
  </si>
  <si>
    <t>VT.520.R.04</t>
  </si>
  <si>
    <t>Удлиненная рукоятка для шарового крана BASE</t>
  </si>
  <si>
    <t>269.00 руб.</t>
  </si>
  <si>
    <t>VLC-415018</t>
  </si>
  <si>
    <t>VTr.654.NE.0510</t>
  </si>
  <si>
    <t>Накидная гайка с штуцером для дренажного крана VT.430  3/4 "Евроконус"</t>
  </si>
  <si>
    <t>47.00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</si>
</sst>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015ba29_86a3_11e9_8101_003048fd731b_ac993d02_476f_11ea_810f_003048fd731b1.jpeg"/><Relationship Id="rId2" Type="http://schemas.openxmlformats.org/officeDocument/2006/relationships/image" Target="../media/a6e9ee54_37c1_11ea_810f_003048fd731b_ac993cfd_476f_11ea_810f_003048fd731b2.jpeg"/><Relationship Id="rId3" Type="http://schemas.openxmlformats.org/officeDocument/2006/relationships/image" Target="../media/a6e9ee52_37c1_11ea_810f_003048fd731b_ac993cff_476f_11ea_810f_003048fd731b3.jpeg"/><Relationship Id="rId4" Type="http://schemas.openxmlformats.org/officeDocument/2006/relationships/image" Target="../media/a6e9ee50_37c1_11ea_810f_003048fd731b_ac993d00_476f_11ea_810f_003048fd731b4.png"/><Relationship Id="rId5" Type="http://schemas.openxmlformats.org/officeDocument/2006/relationships/image" Target="../media/dab7a675_3767_11ea_810f_003048fd731b_ac993d01_476f_11ea_810f_003048fd731b5.jpeg"/><Relationship Id="rId6" Type="http://schemas.openxmlformats.org/officeDocument/2006/relationships/image" Target="../media/787d7941_68f4_11ea_8111_003048fd731b_018ae84d_7ca2_11ea_8111_003048fd731b6.jpeg"/><Relationship Id="rId7" Type="http://schemas.openxmlformats.org/officeDocument/2006/relationships/image" Target="../media/370cf686_86a5_11e9_8101_003048fd731b_c530e0d2_2820_11ed_a30f_00259070b4877.jpeg"/><Relationship Id="rId8" Type="http://schemas.openxmlformats.org/officeDocument/2006/relationships/image" Target="../media/370cf68a_86a5_11e9_8101_003048fd731b_c530e0d6_2820_11ed_a30f_00259070b4878.jpeg"/><Relationship Id="rId9" Type="http://schemas.openxmlformats.org/officeDocument/2006/relationships/image" Target="../media/8b569ce4_b6d8_11eb_82ad_003048fd731b_c530e0da_2820_11ed_a30f_00259070b4879.jpeg"/><Relationship Id="rId10" Type="http://schemas.openxmlformats.org/officeDocument/2006/relationships/image" Target="../media/0015ba36_86a3_11e9_8101_003048fd731b_c530e0de_2820_11ed_a30f_00259070b48710.png"/><Relationship Id="rId11" Type="http://schemas.openxmlformats.org/officeDocument/2006/relationships/image" Target="../media/0015ba3a_86a3_11e9_8101_003048fd731b_c530e0df_2820_11ed_a30f_00259070b48711.png"/><Relationship Id="rId12" Type="http://schemas.openxmlformats.org/officeDocument/2006/relationships/image" Target="../media/0015ba3e_86a3_11e9_8101_003048fd731b_c530e0e0_2820_11ed_a30f_00259070b48712.jpeg"/><Relationship Id="rId13" Type="http://schemas.openxmlformats.org/officeDocument/2006/relationships/image" Target="../media/0015ba42_86a3_11e9_8101_003048fd731b_c530e0e2_2820_11ed_a30f_00259070b48713.jpeg"/><Relationship Id="rId14" Type="http://schemas.openxmlformats.org/officeDocument/2006/relationships/image" Target="../media/370cf60f_86a5_11e9_8101_003048fd731b_c530e0e4_2820_11ed_a30f_00259070b48714.jpeg"/><Relationship Id="rId15" Type="http://schemas.openxmlformats.org/officeDocument/2006/relationships/image" Target="../media/370cf613_86a5_11e9_8101_003048fd731b_c530e0e5_2820_11ed_a30f_00259070b48715.jpeg"/><Relationship Id="rId16" Type="http://schemas.openxmlformats.org/officeDocument/2006/relationships/image" Target="../media/f423f423_c461_11eb_82be_003048fd731b_14e1e0d9_f93d_11ef_a6ea_047c1617b14316.jpeg"/><Relationship Id="rId17" Type="http://schemas.openxmlformats.org/officeDocument/2006/relationships/image" Target="../media/f423f425_c461_11eb_82be_003048fd731b_14e1e0da_f93d_11ef_a6ea_047c1617b14317.jpeg"/><Relationship Id="rId18" Type="http://schemas.openxmlformats.org/officeDocument/2006/relationships/image" Target="../media/29b1cbd1_3e5b_11ec_836e_003048fd731b_e00cf34a_f104_11ee_a58b_047c1617b14318.jpeg"/><Relationship Id="rId19" Type="http://schemas.openxmlformats.org/officeDocument/2006/relationships/image" Target="../media/9088d544_e115_11ea_817f_003048fd731b_79368bb7_e197_11ea_817f_003048fd731b19.jpeg"/><Relationship Id="rId20" Type="http://schemas.openxmlformats.org/officeDocument/2006/relationships/image" Target="../media/9088d546_e115_11ea_817f_003048fd731b_d43ed6d9_f115_11ee_a58b_047c1617b14320.jpeg"/><Relationship Id="rId21" Type="http://schemas.openxmlformats.org/officeDocument/2006/relationships/image" Target="../media/28da3a51_a3d5_11ea_812e_003048fd731b_d43ed6d8_f115_11ee_a58b_047c1617b14321.jpeg"/><Relationship Id="rId22" Type="http://schemas.openxmlformats.org/officeDocument/2006/relationships/image" Target="../media/28da3a53_a3d5_11ea_812e_003048fd731b_d43ed6da_f115_11ee_a58b_047c1617b14322.jpeg"/><Relationship Id="rId23" Type="http://schemas.openxmlformats.org/officeDocument/2006/relationships/image" Target="../media/28da3a4f_a3d5_11ea_812e_003048fd731b_d43ed6db_f115_11ee_a58b_047c1617b14323.jpeg"/><Relationship Id="rId24" Type="http://schemas.openxmlformats.org/officeDocument/2006/relationships/image" Target="../media/9088d552_e115_11ea_817f_003048fd731b_79368bbb_e197_11ea_817f_003048fd731b24.jpeg"/><Relationship Id="rId25" Type="http://schemas.openxmlformats.org/officeDocument/2006/relationships/image" Target="../media/9088d556_e115_11ea_817f_003048fd731b_79368bbd_e197_11ea_817f_003048fd731b25.jpeg"/><Relationship Id="rId26" Type="http://schemas.openxmlformats.org/officeDocument/2006/relationships/image" Target="../media/31a73bcb_da46_11ee_a56d_047c1617b143_4396be7f_0312_11ef_a5a4_047c1617b14326.jpeg"/><Relationship Id="rId27" Type="http://schemas.openxmlformats.org/officeDocument/2006/relationships/image" Target="../media/3d0cfd58_86a5_11e9_8101_003048fd731b_c530e0e6_2820_11ed_a30f_00259070b48727.jpeg"/><Relationship Id="rId28" Type="http://schemas.openxmlformats.org/officeDocument/2006/relationships/image" Target="../media/3d0cfd5c_86a5_11e9_8101_003048fd731b_c530e0ea_2820_11ed_a30f_00259070b48728.jpeg"/><Relationship Id="rId29" Type="http://schemas.openxmlformats.org/officeDocument/2006/relationships/image" Target="../media/3d0cfd60_86a5_11e9_8101_003048fd731b_c530e0ee_2820_11ed_a30f_00259070b48729.jpeg"/><Relationship Id="rId30" Type="http://schemas.openxmlformats.org/officeDocument/2006/relationships/image" Target="../media/3d0cfd64_86a5_11e9_8101_003048fd731b_c530e0f2_2820_11ed_a30f_00259070b48730.jpeg"/><Relationship Id="rId31" Type="http://schemas.openxmlformats.org/officeDocument/2006/relationships/image" Target="../media/3d0cfd68_86a5_11e9_8101_003048fd731b_c530e0f6_2820_11ed_a30f_00259070b48731.jpeg"/><Relationship Id="rId32" Type="http://schemas.openxmlformats.org/officeDocument/2006/relationships/image" Target="../media/3d0cfd6c_86a5_11e9_8101_003048fd731b_c530e0fa_2820_11ed_a30f_00259070b48732.jpeg"/><Relationship Id="rId33" Type="http://schemas.openxmlformats.org/officeDocument/2006/relationships/image" Target="../media/3d0cfd70_86a5_11e9_8101_003048fd731b_c530e0fe_2820_11ed_a30f_00259070b48733.jpeg"/><Relationship Id="rId34" Type="http://schemas.openxmlformats.org/officeDocument/2006/relationships/image" Target="../media/3d0cfd74_86a5_11e9_8101_003048fd731b_c530e102_2820_11ed_a30f_00259070b48734.jpeg"/><Relationship Id="rId35" Type="http://schemas.openxmlformats.org/officeDocument/2006/relationships/image" Target="../media/3d0cfd78_86a5_11e9_8101_003048fd731b_c530e106_2820_11ed_a30f_00259070b48735.jpeg"/><Relationship Id="rId36" Type="http://schemas.openxmlformats.org/officeDocument/2006/relationships/image" Target="../media/3d0cfd7c_86a5_11e9_8101_003048fd731b_c530e10a_2820_11ed_a30f_00259070b48736.jpeg"/><Relationship Id="rId37" Type="http://schemas.openxmlformats.org/officeDocument/2006/relationships/image" Target="../media/3d0cfd80_86a5_11e9_8101_003048fd731b_c530e10e_2820_11ed_a30f_00259070b48737.jpeg"/><Relationship Id="rId38" Type="http://schemas.openxmlformats.org/officeDocument/2006/relationships/image" Target="../media/370cf68e_86a5_11e9_8101_003048fd731b_c530e112_2820_11ed_a30f_00259070b48738.jpeg"/><Relationship Id="rId39" Type="http://schemas.openxmlformats.org/officeDocument/2006/relationships/image" Target="../media/370cf692_86a5_11e9_8101_003048fd731b_c530e116_2820_11ed_a30f_00259070b48739.jpeg"/><Relationship Id="rId40" Type="http://schemas.openxmlformats.org/officeDocument/2006/relationships/image" Target="../media/370cf696_86a5_11e9_8101_003048fd731b_c530e11a_2820_11ed_a30f_00259070b48740.jpeg"/><Relationship Id="rId41" Type="http://schemas.openxmlformats.org/officeDocument/2006/relationships/image" Target="../media/370cf69a_86a5_11e9_8101_003048fd731b_c530e11e_2820_11ed_a30f_00259070b48741.jpeg"/><Relationship Id="rId42" Type="http://schemas.openxmlformats.org/officeDocument/2006/relationships/image" Target="../media/370cf69e_86a5_11e9_8101_003048fd731b_c530e122_2820_11ed_a30f_00259070b48742.jpeg"/><Relationship Id="rId43" Type="http://schemas.openxmlformats.org/officeDocument/2006/relationships/image" Target="../media/370cf6a2_86a5_11e9_8101_003048fd731b_c530e126_2820_11ed_a30f_00259070b48743.jpeg"/><Relationship Id="rId44" Type="http://schemas.openxmlformats.org/officeDocument/2006/relationships/image" Target="../media/370cf6a6_86a5_11e9_8101_003048fd731b_c530e12a_2820_11ed_a30f_00259070b48744.jpeg"/><Relationship Id="rId45" Type="http://schemas.openxmlformats.org/officeDocument/2006/relationships/image" Target="../media/370cf6a9_86a5_11e9_8101_003048fd731b_c530e12e_2820_11ed_a30f_00259070b48745.jpeg"/><Relationship Id="rId46" Type="http://schemas.openxmlformats.org/officeDocument/2006/relationships/image" Target="../media/370cf6ac_86a5_11e9_8101_003048fd731b_c530e132_2820_11ed_a30f_00259070b48746.jpeg"/><Relationship Id="rId47" Type="http://schemas.openxmlformats.org/officeDocument/2006/relationships/image" Target="../media/370cf6af_86a5_11e9_8101_003048fd731b_c530e136_2820_11ed_a30f_00259070b48747.jpeg"/><Relationship Id="rId48" Type="http://schemas.openxmlformats.org/officeDocument/2006/relationships/image" Target="../media/370cf6b3_86a5_11e9_8101_003048fd731b_c530e13a_2820_11ed_a30f_00259070b48748.jpeg"/><Relationship Id="rId49" Type="http://schemas.openxmlformats.org/officeDocument/2006/relationships/image" Target="../media/370cf6b7_86a5_11e9_8101_003048fd731b_c530e13e_2820_11ed_a30f_00259070b48749.jpeg"/><Relationship Id="rId50" Type="http://schemas.openxmlformats.org/officeDocument/2006/relationships/image" Target="../media/370cf6bb_86a5_11e9_8101_003048fd731b_c530e142_2820_11ed_a30f_00259070b48750.jpeg"/><Relationship Id="rId51" Type="http://schemas.openxmlformats.org/officeDocument/2006/relationships/image" Target="../media/370cf6bf_86a5_11e9_8101_003048fd731b_c530e146_2820_11ed_a30f_00259070b48751.jpeg"/><Relationship Id="rId52" Type="http://schemas.openxmlformats.org/officeDocument/2006/relationships/image" Target="../media/370cf6c3_86a5_11e9_8101_003048fd731b_c530e14a_2820_11ed_a30f_00259070b48752.jpeg"/><Relationship Id="rId53" Type="http://schemas.openxmlformats.org/officeDocument/2006/relationships/image" Target="../media/370cf6c7_86a5_11e9_8101_003048fd731b_c530e14e_2820_11ed_a30f_00259070b48753.jpeg"/><Relationship Id="rId54" Type="http://schemas.openxmlformats.org/officeDocument/2006/relationships/image" Target="../media/370cf6cb_86a5_11e9_8101_003048fd731b_c530e152_2820_11ed_a30f_00259070b48754.jpeg"/><Relationship Id="rId55" Type="http://schemas.openxmlformats.org/officeDocument/2006/relationships/image" Target="../media/370cf6cf_86a5_11e9_8101_003048fd731b_c530e156_2820_11ed_a30f_00259070b48755.jpeg"/><Relationship Id="rId56" Type="http://schemas.openxmlformats.org/officeDocument/2006/relationships/image" Target="../media/370cf6d3_86a5_11e9_8101_003048fd731b_c530e15a_2820_11ed_a30f_00259070b48756.jpeg"/><Relationship Id="rId57" Type="http://schemas.openxmlformats.org/officeDocument/2006/relationships/image" Target="../media/370cf6d7_86a5_11e9_8101_003048fd731b_c530e15e_2820_11ed_a30f_00259070b48757.jpeg"/><Relationship Id="rId58" Type="http://schemas.openxmlformats.org/officeDocument/2006/relationships/image" Target="../media/370cf6db_86a5_11e9_8101_003048fd731b_c530e162_2820_11ed_a30f_00259070b48758.jpeg"/><Relationship Id="rId59" Type="http://schemas.openxmlformats.org/officeDocument/2006/relationships/image" Target="../media/370cf6df_86a5_11e9_8101_003048fd731b_c530e166_2820_11ed_a30f_00259070b48759.jpeg"/><Relationship Id="rId60" Type="http://schemas.openxmlformats.org/officeDocument/2006/relationships/image" Target="../media/370cf6e3_86a5_11e9_8101_003048fd731b_c530e16a_2820_11ed_a30f_00259070b48760.jpeg"/><Relationship Id="rId61" Type="http://schemas.openxmlformats.org/officeDocument/2006/relationships/image" Target="../media/370cf6e7_86a5_11e9_8101_003048fd731b_c530e16e_2820_11ed_a30f_00259070b48761.jpeg"/><Relationship Id="rId62" Type="http://schemas.openxmlformats.org/officeDocument/2006/relationships/image" Target="../media/370cf6eb_86a5_11e9_8101_003048fd731b_c530e172_2820_11ed_a30f_00259070b48762.jpeg"/><Relationship Id="rId63" Type="http://schemas.openxmlformats.org/officeDocument/2006/relationships/image" Target="../media/370cf6ef_86a5_11e9_8101_003048fd731b_c530e176_2820_11ed_a30f_00259070b48763.jpeg"/><Relationship Id="rId64" Type="http://schemas.openxmlformats.org/officeDocument/2006/relationships/image" Target="../media/370cf6f3_86a5_11e9_8101_003048fd731b_c530e17a_2820_11ed_a30f_00259070b48764.jpeg"/><Relationship Id="rId65" Type="http://schemas.openxmlformats.org/officeDocument/2006/relationships/image" Target="../media/370cf6f7_86a5_11e9_8101_003048fd731b_c530e17e_2820_11ed_a30f_00259070b48765.jpeg"/><Relationship Id="rId66" Type="http://schemas.openxmlformats.org/officeDocument/2006/relationships/image" Target="../media/370cf6fb_86a5_11e9_8101_003048fd731b_c530e182_2820_11ed_a30f_00259070b48766.jpeg"/><Relationship Id="rId67" Type="http://schemas.openxmlformats.org/officeDocument/2006/relationships/image" Target="../media/370cf6ff_86a5_11e9_8101_003048fd731b_c530e186_2820_11ed_a30f_00259070b48767.jpeg"/><Relationship Id="rId68" Type="http://schemas.openxmlformats.org/officeDocument/2006/relationships/image" Target="../media/370cf703_86a5_11e9_8101_003048fd731b_c530e18a_2820_11ed_a30f_00259070b48768.jpeg"/><Relationship Id="rId69" Type="http://schemas.openxmlformats.org/officeDocument/2006/relationships/image" Target="../media/370cf707_86a5_11e9_8101_003048fd731b_c530e18e_2820_11ed_a30f_00259070b48769.jpeg"/><Relationship Id="rId70" Type="http://schemas.openxmlformats.org/officeDocument/2006/relationships/image" Target="../media/370cf70b_86a5_11e9_8101_003048fd731b_c530e192_2820_11ed_a30f_00259070b48770.jpeg"/><Relationship Id="rId71" Type="http://schemas.openxmlformats.org/officeDocument/2006/relationships/image" Target="../media/370cf70f_86a5_11e9_8101_003048fd731b_c530e196_2820_11ed_a30f_00259070b48771.jpeg"/><Relationship Id="rId72" Type="http://schemas.openxmlformats.org/officeDocument/2006/relationships/image" Target="../media/370cf713_86a5_11e9_8101_003048fd731b_c530e19a_2820_11ed_a30f_00259070b48772.jpeg"/><Relationship Id="rId73" Type="http://schemas.openxmlformats.org/officeDocument/2006/relationships/image" Target="../media/370cf717_86a5_11e9_8101_003048fd731b_c530e19e_2820_11ed_a30f_00259070b48773.jpeg"/><Relationship Id="rId74" Type="http://schemas.openxmlformats.org/officeDocument/2006/relationships/image" Target="../media/370cf71b_86a5_11e9_8101_003048fd731b_c530e1a2_2820_11ed_a30f_00259070b48774.jpeg"/><Relationship Id="rId75" Type="http://schemas.openxmlformats.org/officeDocument/2006/relationships/image" Target="../media/370cf71f_86a5_11e9_8101_003048fd731b_c530e1a6_2820_11ed_a30f_00259070b48775.jpeg"/><Relationship Id="rId76" Type="http://schemas.openxmlformats.org/officeDocument/2006/relationships/image" Target="../media/370cf723_86a5_11e9_8101_003048fd731b_c530e1aa_2820_11ed_a30f_00259070b48776.jpeg"/><Relationship Id="rId77" Type="http://schemas.openxmlformats.org/officeDocument/2006/relationships/image" Target="../media/370cf727_86a5_11e9_8101_003048fd731b_c530e1ae_2820_11ed_a30f_00259070b48777.jpeg"/><Relationship Id="rId78" Type="http://schemas.openxmlformats.org/officeDocument/2006/relationships/image" Target="../media/370cf72b_86a5_11e9_8101_003048fd731b_c530e1b2_2820_11ed_a30f_00259070b48778.jpeg"/><Relationship Id="rId79" Type="http://schemas.openxmlformats.org/officeDocument/2006/relationships/image" Target="../media/370cf72f_86a5_11e9_8101_003048fd731b_c530e1b6_2820_11ed_a30f_00259070b48779.jpeg"/><Relationship Id="rId80" Type="http://schemas.openxmlformats.org/officeDocument/2006/relationships/image" Target="../media/370cf733_86a5_11e9_8101_003048fd731b_c530e1ba_2820_11ed_a30f_00259070b48780.jpeg"/><Relationship Id="rId81" Type="http://schemas.openxmlformats.org/officeDocument/2006/relationships/image" Target="../media/370cf737_86a5_11e9_8101_003048fd731b_cbe1917f_2820_11ed_a30f_00259070b48781.jpeg"/><Relationship Id="rId82" Type="http://schemas.openxmlformats.org/officeDocument/2006/relationships/image" Target="../media/370cf73b_86a5_11e9_8101_003048fd731b_cbe19183_2820_11ed_a30f_00259070b48782.jpeg"/><Relationship Id="rId83" Type="http://schemas.openxmlformats.org/officeDocument/2006/relationships/image" Target="../media/370cf73f_86a5_11e9_8101_003048fd731b_cbe19187_2820_11ed_a30f_00259070b48783.jpeg"/><Relationship Id="rId84" Type="http://schemas.openxmlformats.org/officeDocument/2006/relationships/image" Target="../media/370cf743_86a5_11e9_8101_003048fd731b_cbe1918b_2820_11ed_a30f_00259070b48784.jpeg"/><Relationship Id="rId85" Type="http://schemas.openxmlformats.org/officeDocument/2006/relationships/image" Target="../media/370cf747_86a5_11e9_8101_003048fd731b_cbe1918f_2820_11ed_a30f_00259070b48785.jpeg"/><Relationship Id="rId86" Type="http://schemas.openxmlformats.org/officeDocument/2006/relationships/image" Target="../media/370cf74b_86a5_11e9_8101_003048fd731b_cbe19193_2820_11ed_a30f_00259070b48786.jpeg"/><Relationship Id="rId87" Type="http://schemas.openxmlformats.org/officeDocument/2006/relationships/image" Target="../media/370cf74f_86a5_11e9_8101_003048fd731b_cbe19197_2820_11ed_a30f_00259070b48787.jpeg"/><Relationship Id="rId88" Type="http://schemas.openxmlformats.org/officeDocument/2006/relationships/image" Target="../media/370cf753_86a5_11e9_8101_003048fd731b_cbe1919b_2820_11ed_a30f_00259070b48788.jpeg"/><Relationship Id="rId89" Type="http://schemas.openxmlformats.org/officeDocument/2006/relationships/image" Target="../media/370cf757_86a5_11e9_8101_003048fd731b_cbe1919f_2820_11ed_a30f_00259070b48789.jpeg"/><Relationship Id="rId90" Type="http://schemas.openxmlformats.org/officeDocument/2006/relationships/image" Target="../media/370cf75b_86a5_11e9_8101_003048fd731b_cbe191a3_2820_11ed_a30f_00259070b48790.jpeg"/><Relationship Id="rId91" Type="http://schemas.openxmlformats.org/officeDocument/2006/relationships/image" Target="../media/370cf75f_86a5_11e9_8101_003048fd731b_cbe191a7_2820_11ed_a30f_00259070b48791.jpeg"/><Relationship Id="rId92" Type="http://schemas.openxmlformats.org/officeDocument/2006/relationships/image" Target="../media/370cf763_86a5_11e9_8101_003048fd731b_cbe191ab_2820_11ed_a30f_00259070b48792.jpeg"/><Relationship Id="rId93" Type="http://schemas.openxmlformats.org/officeDocument/2006/relationships/image" Target="../media/370cf766_86a5_11e9_8101_003048fd731b_cbe191af_2820_11ed_a30f_00259070b48793.jpeg"/><Relationship Id="rId94" Type="http://schemas.openxmlformats.org/officeDocument/2006/relationships/image" Target="../media/370cf769_86a5_11e9_8101_003048fd731b_cbe191b3_2820_11ed_a30f_00259070b48794.jpeg"/><Relationship Id="rId95" Type="http://schemas.openxmlformats.org/officeDocument/2006/relationships/image" Target="../media/370cf76d_86a5_11e9_8101_003048fd731b_cbe191b7_2820_11ed_a30f_00259070b48795.jpeg"/><Relationship Id="rId96" Type="http://schemas.openxmlformats.org/officeDocument/2006/relationships/image" Target="../media/370cf771_86a5_11e9_8101_003048fd731b_cbe191bb_2820_11ed_a30f_00259070b48796.jpeg"/><Relationship Id="rId97" Type="http://schemas.openxmlformats.org/officeDocument/2006/relationships/image" Target="../media/370cf775_86a5_11e9_8101_003048fd731b_cbe191bf_2820_11ed_a30f_00259070b48797.jpeg"/><Relationship Id="rId98" Type="http://schemas.openxmlformats.org/officeDocument/2006/relationships/image" Target="../media/370cf779_86a5_11e9_8101_003048fd731b_cbe191c3_2820_11ed_a30f_00259070b48798.jpeg"/><Relationship Id="rId99" Type="http://schemas.openxmlformats.org/officeDocument/2006/relationships/image" Target="../media/370cf77d_86a5_11e9_8101_003048fd731b_cbe191c7_2820_11ed_a30f_00259070b48799.jpeg"/><Relationship Id="rId100" Type="http://schemas.openxmlformats.org/officeDocument/2006/relationships/image" Target="../media/370cf781_86a5_11e9_8101_003048fd731b_cbe191cb_2820_11ed_a30f_00259070b487100.jpeg"/><Relationship Id="rId101" Type="http://schemas.openxmlformats.org/officeDocument/2006/relationships/image" Target="../media/370cf785_86a5_11e9_8101_003048fd731b_cbe191cf_2820_11ed_a30f_00259070b487101.jpeg"/><Relationship Id="rId102" Type="http://schemas.openxmlformats.org/officeDocument/2006/relationships/image" Target="../media/370cf789_86a5_11e9_8101_003048fd731b_cbe191d3_2820_11ed_a30f_00259070b487102.jpeg"/><Relationship Id="rId103" Type="http://schemas.openxmlformats.org/officeDocument/2006/relationships/image" Target="../media/3d0cfd1a_86a5_11e9_8101_003048fd731b_cbe191d7_2820_11ed_a30f_00259070b487103.jpeg"/><Relationship Id="rId104" Type="http://schemas.openxmlformats.org/officeDocument/2006/relationships/image" Target="../media/3d0cfd1e_86a5_11e9_8101_003048fd731b_cbe191db_2820_11ed_a30f_00259070b487104.jpeg"/><Relationship Id="rId105" Type="http://schemas.openxmlformats.org/officeDocument/2006/relationships/image" Target="../media/3d0cfd22_86a5_11e9_8101_003048fd731b_cbe191df_2820_11ed_a30f_00259070b487105.jpeg"/><Relationship Id="rId106" Type="http://schemas.openxmlformats.org/officeDocument/2006/relationships/image" Target="../media/3d0cfd26_86a5_11e9_8101_003048fd731b_57339629_f953_11e9_810b_003048fd731b106.jpeg"/><Relationship Id="rId107" Type="http://schemas.openxmlformats.org/officeDocument/2006/relationships/image" Target="../media/3d0cfd29_86a5_11e9_8101_003048fd731b_5733962a_f953_11e9_810b_003048fd731b107.jpeg"/><Relationship Id="rId108" Type="http://schemas.openxmlformats.org/officeDocument/2006/relationships/image" Target="../media/3d0cfd2c_86a5_11e9_8101_003048fd731b_cbe191e3_2820_11ed_a30f_00259070b487108.jpeg"/><Relationship Id="rId109" Type="http://schemas.openxmlformats.org/officeDocument/2006/relationships/image" Target="../media/3d0cfd30_86a5_11e9_8101_003048fd731b_cbe191e7_2820_11ed_a30f_00259070b487109.jpeg"/><Relationship Id="rId110" Type="http://schemas.openxmlformats.org/officeDocument/2006/relationships/image" Target="../media/3d0cfd34_86a5_11e9_8101_003048fd731b_cbe191eb_2820_11ed_a30f_00259070b487110.jpeg"/><Relationship Id="rId111" Type="http://schemas.openxmlformats.org/officeDocument/2006/relationships/image" Target="../media/3d0cfd38_86a5_11e9_8101_003048fd731b_cbe191ef_2820_11ed_a30f_00259070b487111.jpeg"/><Relationship Id="rId112" Type="http://schemas.openxmlformats.org/officeDocument/2006/relationships/image" Target="../media/3d0cfd3c_86a5_11e9_8101_003048fd731b_cbe191f3_2820_11ed_a30f_00259070b487112.jpeg"/><Relationship Id="rId113" Type="http://schemas.openxmlformats.org/officeDocument/2006/relationships/image" Target="../media/3d0cfd40_86a5_11e9_8101_003048fd731b_cbe191f7_2820_11ed_a30f_00259070b487113.jpeg"/><Relationship Id="rId114" Type="http://schemas.openxmlformats.org/officeDocument/2006/relationships/image" Target="../media/3d0cfd44_86a5_11e9_8101_003048fd731b_cbe191fb_2820_11ed_a30f_00259070b487114.jpeg"/><Relationship Id="rId115" Type="http://schemas.openxmlformats.org/officeDocument/2006/relationships/image" Target="../media/3d0cfd48_86a5_11e9_8101_003048fd731b_cbe191ff_2820_11ed_a30f_00259070b487115.jpeg"/><Relationship Id="rId116" Type="http://schemas.openxmlformats.org/officeDocument/2006/relationships/image" Target="../media/3d0cfd4c_86a5_11e9_8101_003048fd731b_cbe19203_2820_11ed_a30f_00259070b487116.jpeg"/><Relationship Id="rId117" Type="http://schemas.openxmlformats.org/officeDocument/2006/relationships/image" Target="../media/3d0cfd50_86a5_11e9_8101_003048fd731b_cbe19207_2820_11ed_a30f_00259070b487117.jpeg"/><Relationship Id="rId118" Type="http://schemas.openxmlformats.org/officeDocument/2006/relationships/image" Target="../media/3d0cfd54_86a5_11e9_8101_003048fd731b_57339634_f953_11e9_810b_003048fd731b118.jpeg"/><Relationship Id="rId119" Type="http://schemas.openxmlformats.org/officeDocument/2006/relationships/image" Target="../media/ccf1937d_ffba_11e9_810b_003048fd731b_cbe1920b_2820_11ed_a30f_00259070b487119.jpeg"/><Relationship Id="rId120" Type="http://schemas.openxmlformats.org/officeDocument/2006/relationships/image" Target="../media/b33536b1_3462_11eb_81f3_003048fd731b_cbe1920f_2820_11ed_a30f_00259070b487120.jpeg"/><Relationship Id="rId121" Type="http://schemas.openxmlformats.org/officeDocument/2006/relationships/image" Target="../media/3a76c3ab_0b65_11ec_831e_003048fd731b_cbe19213_2820_11ed_a30f_00259070b487121.jpeg"/><Relationship Id="rId122" Type="http://schemas.openxmlformats.org/officeDocument/2006/relationships/image" Target="../media/3a76c3ad_0b65_11ec_831e_003048fd731b_cbe19217_2820_11ed_a30f_00259070b487122.jpeg"/><Relationship Id="rId123" Type="http://schemas.openxmlformats.org/officeDocument/2006/relationships/image" Target="../media/3a76c3af_0b65_11ec_831e_003048fd731b_cbe1921b_2820_11ed_a30f_00259070b487123.jpeg"/><Relationship Id="rId124" Type="http://schemas.openxmlformats.org/officeDocument/2006/relationships/image" Target="../media/3a76c3b1_0b65_11ec_831e_003048fd731b_cbe1921f_2820_11ed_a30f_00259070b487124.jpeg"/><Relationship Id="rId125" Type="http://schemas.openxmlformats.org/officeDocument/2006/relationships/image" Target="../media/3a76c3b3_0b65_11ec_831e_003048fd731b_cbe19223_2820_11ed_a30f_00259070b487125.jpeg"/><Relationship Id="rId126" Type="http://schemas.openxmlformats.org/officeDocument/2006/relationships/image" Target="../media/3d0cfd85_86a5_11e9_8101_003048fd731b_cbe19227_2820_11ed_a30f_00259070b487126.jpeg"/><Relationship Id="rId127" Type="http://schemas.openxmlformats.org/officeDocument/2006/relationships/image" Target="../media/3d0cfd89_86a5_11e9_8101_003048fd731b_cbe1922b_2820_11ed_a30f_00259070b487127.jpeg"/><Relationship Id="rId128" Type="http://schemas.openxmlformats.org/officeDocument/2006/relationships/image" Target="../media/3d0cfd8d_86a5_11e9_8101_003048fd731b_cbe1922f_2820_11ed_a30f_00259070b487128.jpeg"/><Relationship Id="rId129" Type="http://schemas.openxmlformats.org/officeDocument/2006/relationships/image" Target="../media/3d0cfd91_86a5_11e9_8101_003048fd731b_cbe19233_2820_11ed_a30f_00259070b487129.jpeg"/><Relationship Id="rId130" Type="http://schemas.openxmlformats.org/officeDocument/2006/relationships/image" Target="../media/3d0cfd95_86a5_11e9_8101_003048fd731b_cbe19237_2820_11ed_a30f_00259070b487130.jpeg"/><Relationship Id="rId131" Type="http://schemas.openxmlformats.org/officeDocument/2006/relationships/image" Target="../media/3d0cfd99_86a5_11e9_8101_003048fd731b_cbe1923b_2820_11ed_a30f_00259070b487131.jpeg"/><Relationship Id="rId132" Type="http://schemas.openxmlformats.org/officeDocument/2006/relationships/image" Target="../media/3d0cfd9e_86a5_11e9_8101_003048fd731b_cbe1923f_2820_11ed_a30f_00259070b487132.jpeg"/><Relationship Id="rId133" Type="http://schemas.openxmlformats.org/officeDocument/2006/relationships/image" Target="../media/3d0cfda2_86a5_11e9_8101_003048fd731b_cbe19243_2820_11ed_a30f_00259070b487133.jpeg"/><Relationship Id="rId134" Type="http://schemas.openxmlformats.org/officeDocument/2006/relationships/image" Target="../media/3d0cfda6_86a5_11e9_8101_003048fd731b_cbe19247_2820_11ed_a30f_00259070b487134.jpeg"/><Relationship Id="rId135" Type="http://schemas.openxmlformats.org/officeDocument/2006/relationships/image" Target="../media/3d0cfdaa_86a5_11e9_8101_003048fd731b_cbe1924b_2820_11ed_a30f_00259070b487135.jpeg"/><Relationship Id="rId136" Type="http://schemas.openxmlformats.org/officeDocument/2006/relationships/image" Target="../media/3d0cfdae_86a5_11e9_8101_003048fd731b_cbe1924f_2820_11ed_a30f_00259070b487136.jpeg"/><Relationship Id="rId137" Type="http://schemas.openxmlformats.org/officeDocument/2006/relationships/image" Target="../media/3d0cfdb2_86a5_11e9_8101_003048fd731b_cbe19253_2820_11ed_a30f_00259070b487137.jpeg"/><Relationship Id="rId138" Type="http://schemas.openxmlformats.org/officeDocument/2006/relationships/image" Target="../media/3d0cfdb6_86a5_11e9_8101_003048fd731b_cbe19257_2820_11ed_a30f_00259070b487138.jpeg"/><Relationship Id="rId139" Type="http://schemas.openxmlformats.org/officeDocument/2006/relationships/image" Target="../media/3d0cfdba_86a5_11e9_8101_003048fd731b_cbe1925b_2820_11ed_a30f_00259070b487139.jpeg"/><Relationship Id="rId140" Type="http://schemas.openxmlformats.org/officeDocument/2006/relationships/image" Target="../media/3d0cfdbe_86a5_11e9_8101_003048fd731b_cbe1925f_2820_11ed_a30f_00259070b487140.jpeg"/><Relationship Id="rId141" Type="http://schemas.openxmlformats.org/officeDocument/2006/relationships/image" Target="../media/3d0cfdc2_86a5_11e9_8101_003048fd731b_cbe19263_2820_11ed_a30f_00259070b487141.jpeg"/><Relationship Id="rId142" Type="http://schemas.openxmlformats.org/officeDocument/2006/relationships/image" Target="../media/3d0cfdc6_86a5_11e9_8101_003048fd731b_cbe19267_2820_11ed_a30f_00259070b487142.jpeg"/><Relationship Id="rId143" Type="http://schemas.openxmlformats.org/officeDocument/2006/relationships/image" Target="../media/3d0cfdca_86a5_11e9_8101_003048fd731b_cbe1926b_2820_11ed_a30f_00259070b487143.jpeg"/><Relationship Id="rId144" Type="http://schemas.openxmlformats.org/officeDocument/2006/relationships/image" Target="../media/3d0cfdce_86a5_11e9_8101_003048fd731b_cbe1926f_2820_11ed_a30f_00259070b487144.jpeg"/><Relationship Id="rId145" Type="http://schemas.openxmlformats.org/officeDocument/2006/relationships/image" Target="../media/3d0cfdd2_86a5_11e9_8101_003048fd731b_cbe19273_2820_11ed_a30f_00259070b487145.jpeg"/><Relationship Id="rId146" Type="http://schemas.openxmlformats.org/officeDocument/2006/relationships/image" Target="../media/3d0cfdd6_86a5_11e9_8101_003048fd731b_cbe19277_2820_11ed_a30f_00259070b487146.jpeg"/><Relationship Id="rId147" Type="http://schemas.openxmlformats.org/officeDocument/2006/relationships/image" Target="../media/3d0cfdda_86a5_11e9_8101_003048fd731b_cbe1927b_2820_11ed_a30f_00259070b487147.jpeg"/><Relationship Id="rId148" Type="http://schemas.openxmlformats.org/officeDocument/2006/relationships/image" Target="../media/3d0cfdde_86a5_11e9_8101_003048fd731b_d2eca855_2820_11ed_a30f_00259070b487148.jpeg"/><Relationship Id="rId149" Type="http://schemas.openxmlformats.org/officeDocument/2006/relationships/image" Target="../media/3d0cfde2_86a5_11e9_8101_003048fd731b_d2eca859_2820_11ed_a30f_00259070b487149.jpeg"/><Relationship Id="rId150" Type="http://schemas.openxmlformats.org/officeDocument/2006/relationships/image" Target="../media/3d0cfde6_86a5_11e9_8101_003048fd731b_d2eca85d_2820_11ed_a30f_00259070b487150.jpeg"/><Relationship Id="rId151" Type="http://schemas.openxmlformats.org/officeDocument/2006/relationships/image" Target="../media/3d0cfdea_86a5_11e9_8101_003048fd731b_d2eca861_2820_11ed_a30f_00259070b487151.jpeg"/><Relationship Id="rId152" Type="http://schemas.openxmlformats.org/officeDocument/2006/relationships/image" Target="../media/3d0cfdee_86a5_11e9_8101_003048fd731b_d2eca865_2820_11ed_a30f_00259070b487152.jpeg"/><Relationship Id="rId153" Type="http://schemas.openxmlformats.org/officeDocument/2006/relationships/image" Target="../media/36303af8_3acc_11ec_8367_003048fd731b_d2eca871_2820_11ed_a30f_00259070b487153.jpeg"/><Relationship Id="rId154" Type="http://schemas.openxmlformats.org/officeDocument/2006/relationships/image" Target="../media/36303afa_3acc_11ec_8367_003048fd731b_d2eca875_2820_11ed_a30f_00259070b487154.jpeg"/><Relationship Id="rId155" Type="http://schemas.openxmlformats.org/officeDocument/2006/relationships/image" Target="../media/36303afc_3acc_11ec_8367_003048fd731b_d2eca879_2820_11ed_a30f_00259070b487155.jpeg"/><Relationship Id="rId156" Type="http://schemas.openxmlformats.org/officeDocument/2006/relationships/image" Target="../media/36303afe_3acc_11ec_8367_003048fd731b_d2eca87d_2820_11ed_a30f_00259070b487156.jpeg"/><Relationship Id="rId157" Type="http://schemas.openxmlformats.org/officeDocument/2006/relationships/image" Target="../media/36303b00_3acc_11ec_8367_003048fd731b_d2eca881_2820_11ed_a30f_00259070b487157.jpeg"/><Relationship Id="rId158" Type="http://schemas.openxmlformats.org/officeDocument/2006/relationships/image" Target="../media/36303b02_3acc_11ec_8367_003048fd731b_d2eca885_2820_11ed_a30f_00259070b487158.jpeg"/><Relationship Id="rId159" Type="http://schemas.openxmlformats.org/officeDocument/2006/relationships/image" Target="../media/36303b04_3acc_11ec_8367_003048fd731b_d2eca889_2820_11ed_a30f_00259070b487159.jpeg"/><Relationship Id="rId160" Type="http://schemas.openxmlformats.org/officeDocument/2006/relationships/image" Target="../media/36303b06_3acc_11ec_8367_003048fd731b_d2eca88d_2820_11ed_a30f_00259070b487160.jpeg"/><Relationship Id="rId161" Type="http://schemas.openxmlformats.org/officeDocument/2006/relationships/image" Target="../media/36303b08_3acc_11ec_8367_003048fd731b_d2eca891_2820_11ed_a30f_00259070b487161.jpeg"/><Relationship Id="rId162" Type="http://schemas.openxmlformats.org/officeDocument/2006/relationships/image" Target="../media/fed9789b_46f7_11ec_8393_003048fd731b_d2eca895_2820_11ed_a30f_00259070b487162.jpeg"/><Relationship Id="rId163" Type="http://schemas.openxmlformats.org/officeDocument/2006/relationships/image" Target="../media/fed9789d_46f7_11ec_8393_003048fd731b_d2eca899_2820_11ed_a30f_00259070b487163.jpeg"/><Relationship Id="rId164" Type="http://schemas.openxmlformats.org/officeDocument/2006/relationships/image" Target="../media/fed9789f_46f7_11ec_8393_003048fd731b_d2eca89d_2820_11ed_a30f_00259070b487164.jpeg"/><Relationship Id="rId165" Type="http://schemas.openxmlformats.org/officeDocument/2006/relationships/image" Target="../media/fed978a1_46f7_11ec_8393_003048fd731b_d2eca8a1_2820_11ed_a30f_00259070b487165.jpeg"/><Relationship Id="rId166" Type="http://schemas.openxmlformats.org/officeDocument/2006/relationships/image" Target="../media/a5fad502_86a5_11e9_8101_003048fd731b_d2eca8a5_2820_11ed_a30f_00259070b487166.jpeg"/><Relationship Id="rId167" Type="http://schemas.openxmlformats.org/officeDocument/2006/relationships/image" Target="../media/45f59290_4009_11ec_8370_003048fd731b_d2eca8a6_2820_11ed_a30f_00259070b487167.jpeg"/><Relationship Id="rId168" Type="http://schemas.openxmlformats.org/officeDocument/2006/relationships/image" Target="../media/f3d2eb74_7759_11ec_a212_00259070b487_d2eca8aa_2820_11ed_a30f_00259070b487168.jpeg"/><Relationship Id="rId169" Type="http://schemas.openxmlformats.org/officeDocument/2006/relationships/image" Target="../media/f3d2eb76_7759_11ec_a212_00259070b487_d2eca8ab_2820_11ed_a30f_00259070b487169.jpeg"/><Relationship Id="rId170" Type="http://schemas.openxmlformats.org/officeDocument/2006/relationships/image" Target="../media/f3d2eb78_7759_11ec_a212_00259070b487_d2eca8ac_2820_11ed_a30f_00259070b487170.jpeg"/><Relationship Id="rId171" Type="http://schemas.openxmlformats.org/officeDocument/2006/relationships/image" Target="../media/437a214f_86a5_11e9_8101_003048fd731b_d2eca8ad_2820_11ed_a30f_00259070b487171.jpeg"/><Relationship Id="rId172" Type="http://schemas.openxmlformats.org/officeDocument/2006/relationships/image" Target="../media/437a2153_86a5_11e9_8101_003048fd731b_d2eca8ae_2820_11ed_a30f_00259070b487172.jpeg"/><Relationship Id="rId173" Type="http://schemas.openxmlformats.org/officeDocument/2006/relationships/image" Target="../media/437a2157_86a5_11e9_8101_003048fd731b_d2eca8af_2820_11ed_a30f_00259070b487173.jpeg"/><Relationship Id="rId174" Type="http://schemas.openxmlformats.org/officeDocument/2006/relationships/image" Target="../media/437a215b_86a5_11e9_8101_003048fd731b_d2eca8b0_2820_11ed_a30f_00259070b487174.jpeg"/><Relationship Id="rId175" Type="http://schemas.openxmlformats.org/officeDocument/2006/relationships/image" Target="../media/437a215f_86a5_11e9_8101_003048fd731b_d2eca8b1_2820_11ed_a30f_00259070b487175.jpeg"/><Relationship Id="rId176" Type="http://schemas.openxmlformats.org/officeDocument/2006/relationships/image" Target="../media/437a2163_86a5_11e9_8101_003048fd731b_d2eca8b2_2820_11ed_a30f_00259070b487176.jpeg"/><Relationship Id="rId177" Type="http://schemas.openxmlformats.org/officeDocument/2006/relationships/image" Target="../media/437a2167_86a5_11e9_8101_003048fd731b_d2eca8b3_2820_11ed_a30f_00259070b487177.jpeg"/><Relationship Id="rId178" Type="http://schemas.openxmlformats.org/officeDocument/2006/relationships/image" Target="../media/437a216b_86a5_11e9_8101_003048fd731b_d2eca8b4_2820_11ed_a30f_00259070b487178.jpeg"/><Relationship Id="rId179" Type="http://schemas.openxmlformats.org/officeDocument/2006/relationships/image" Target="../media/437a216f_86a5_11e9_8101_003048fd731b_d2eca8b5_2820_11ed_a30f_00259070b487179.jpeg"/><Relationship Id="rId180" Type="http://schemas.openxmlformats.org/officeDocument/2006/relationships/image" Target="../media/437a2173_86a5_11e9_8101_003048fd731b_d2eca8b6_2820_11ed_a30f_00259070b487180.jpeg"/><Relationship Id="rId181" Type="http://schemas.openxmlformats.org/officeDocument/2006/relationships/image" Target="../media/437a2177_86a5_11e9_8101_003048fd731b_d2eca8b7_2820_11ed_a30f_00259070b487181.jpeg"/><Relationship Id="rId182" Type="http://schemas.openxmlformats.org/officeDocument/2006/relationships/image" Target="../media/437a217b_86a5_11e9_8101_003048fd731b_d2eca8b8_2820_11ed_a30f_00259070b487182.jpeg"/><Relationship Id="rId183" Type="http://schemas.openxmlformats.org/officeDocument/2006/relationships/image" Target="../media/437a217f_86a5_11e9_8101_003048fd731b_d2eca8b9_2820_11ed_a30f_00259070b487183.jpeg"/><Relationship Id="rId184" Type="http://schemas.openxmlformats.org/officeDocument/2006/relationships/image" Target="../media/437a2183_86a5_11e9_8101_003048fd731b_d2eca8ba_2820_11ed_a30f_00259070b487184.jpeg"/><Relationship Id="rId185" Type="http://schemas.openxmlformats.org/officeDocument/2006/relationships/image" Target="../media/437a2187_86a5_11e9_8101_003048fd731b_d2eca8bb_2820_11ed_a30f_00259070b487185.jpeg"/><Relationship Id="rId186" Type="http://schemas.openxmlformats.org/officeDocument/2006/relationships/image" Target="../media/437a218b_86a5_11e9_8101_003048fd731b_d2eca8bc_2820_11ed_a30f_00259070b487186.jpeg"/><Relationship Id="rId187" Type="http://schemas.openxmlformats.org/officeDocument/2006/relationships/image" Target="../media/437a218f_86a5_11e9_8101_003048fd731b_d2eca8bd_2820_11ed_a30f_00259070b487187.jpeg"/><Relationship Id="rId188" Type="http://schemas.openxmlformats.org/officeDocument/2006/relationships/image" Target="../media/437a2193_86a5_11e9_8101_003048fd731b_d2eca8be_2820_11ed_a30f_00259070b487188.jpeg"/><Relationship Id="rId189" Type="http://schemas.openxmlformats.org/officeDocument/2006/relationships/image" Target="../media/437a2197_86a5_11e9_8101_003048fd731b_d2eca8bf_2820_11ed_a30f_00259070b487189.jpeg"/><Relationship Id="rId190" Type="http://schemas.openxmlformats.org/officeDocument/2006/relationships/image" Target="../media/437a219b_86a5_11e9_8101_003048fd731b_d2eca8c1_2820_11ed_a30f_00259070b487190.jpeg"/><Relationship Id="rId191" Type="http://schemas.openxmlformats.org/officeDocument/2006/relationships/image" Target="../media/437a219f_86a5_11e9_8101_003048fd731b_d2eca8c3_2820_11ed_a30f_00259070b487191.jpeg"/><Relationship Id="rId192" Type="http://schemas.openxmlformats.org/officeDocument/2006/relationships/image" Target="../media/437a21a3_86a5_11e9_8101_003048fd731b_d2eca8c4_2820_11ed_a30f_00259070b487192.jpeg"/><Relationship Id="rId193" Type="http://schemas.openxmlformats.org/officeDocument/2006/relationships/image" Target="../media/437a21a7_86a5_11e9_8101_003048fd731b_d2eca8c5_2820_11ed_a30f_00259070b487193.jpeg"/><Relationship Id="rId194" Type="http://schemas.openxmlformats.org/officeDocument/2006/relationships/image" Target="../media/437a21ab_86a5_11e9_8101_003048fd731b_d2eca8c6_2820_11ed_a30f_00259070b487194.jpeg"/><Relationship Id="rId195" Type="http://schemas.openxmlformats.org/officeDocument/2006/relationships/image" Target="../media/437a21af_86a5_11e9_8101_003048fd731b_d2eca8c7_2820_11ed_a30f_00259070b487195.jpeg"/><Relationship Id="rId196" Type="http://schemas.openxmlformats.org/officeDocument/2006/relationships/image" Target="../media/437a21b3_86a5_11e9_8101_003048fd731b_d2eca8c8_2820_11ed_a30f_00259070b487196.jpeg"/><Relationship Id="rId197" Type="http://schemas.openxmlformats.org/officeDocument/2006/relationships/image" Target="../media/437a21b7_86a5_11e9_8101_003048fd731b_d2eca8c9_2820_11ed_a30f_00259070b487197.jpeg"/><Relationship Id="rId198" Type="http://schemas.openxmlformats.org/officeDocument/2006/relationships/image" Target="../media/68a7bd91_a71a_11e9_8103_003048fd731b_d2eca8ca_2820_11ed_a30f_00259070b487198.jpeg"/><Relationship Id="rId199" Type="http://schemas.openxmlformats.org/officeDocument/2006/relationships/image" Target="../media/97785522_d539_11e9_8109_003048fd731b_d2eca8cb_2820_11ed_a30f_00259070b487199.jpeg"/><Relationship Id="rId200" Type="http://schemas.openxmlformats.org/officeDocument/2006/relationships/image" Target="../media/2af66c31_addf_11e9_8103_003048fd731b_d2eca8cc_2820_11ed_a30f_00259070b487200.jpeg"/><Relationship Id="rId201" Type="http://schemas.openxmlformats.org/officeDocument/2006/relationships/image" Target="../media/68a7bd93_a71a_11e9_8103_003048fd731b_d2eca8cd_2820_11ed_a30f_00259070b487201.jpeg"/><Relationship Id="rId202" Type="http://schemas.openxmlformats.org/officeDocument/2006/relationships/image" Target="../media/c6c8b03a_b1f9_11e9_8103_003048fd731b_d2eca8ce_2820_11ed_a30f_00259070b487202.jpeg"/><Relationship Id="rId203" Type="http://schemas.openxmlformats.org/officeDocument/2006/relationships/image" Target="../media/97785527_d539_11e9_8109_003048fd731b_d2eca8cf_2820_11ed_a30f_00259070b487203.jpeg"/><Relationship Id="rId204" Type="http://schemas.openxmlformats.org/officeDocument/2006/relationships/image" Target="../media/dab7a67b_3767_11ea_810f_003048fd731b_d2eca8d0_2820_11ed_a30f_00259070b487204.jpeg"/><Relationship Id="rId205" Type="http://schemas.openxmlformats.org/officeDocument/2006/relationships/image" Target="../media/dab7a67d_3767_11ea_810f_003048fd731b_d2eca8d1_2820_11ed_a30f_00259070b487205.jpeg"/><Relationship Id="rId206" Type="http://schemas.openxmlformats.org/officeDocument/2006/relationships/image" Target="../media/dab7a67f_3767_11ea_810f_003048fd731b_d2eca8d2_2820_11ed_a30f_00259070b487206.jpeg"/><Relationship Id="rId207" Type="http://schemas.openxmlformats.org/officeDocument/2006/relationships/image" Target="../media/dab7a681_3767_11ea_810f_003048fd731b_d2eca8d3_2820_11ed_a30f_00259070b487207.jpeg"/><Relationship Id="rId208" Type="http://schemas.openxmlformats.org/officeDocument/2006/relationships/image" Target="../media/dab7a683_3767_11ea_810f_003048fd731b_d2eca8d4_2820_11ed_a30f_00259070b487208.jpeg"/><Relationship Id="rId209" Type="http://schemas.openxmlformats.org/officeDocument/2006/relationships/image" Target="../media/dab7a685_3767_11ea_810f_003048fd731b_d2eca8d5_2820_11ed_a30f_00259070b487209.jpeg"/><Relationship Id="rId210" Type="http://schemas.openxmlformats.org/officeDocument/2006/relationships/image" Target="../media/dab7a687_3767_11ea_810f_003048fd731b_d2eca8d6_2820_11ed_a30f_00259070b487210.jpeg"/><Relationship Id="rId211" Type="http://schemas.openxmlformats.org/officeDocument/2006/relationships/image" Target="../media/5eb5c522_7c9e_11ea_8111_003048fd731b_d2eca8d7_2820_11ed_a30f_00259070b487211.jpeg"/><Relationship Id="rId212" Type="http://schemas.openxmlformats.org/officeDocument/2006/relationships/image" Target="../media/5eb5c524_7c9e_11ea_8111_003048fd731b_d2eca8d8_2820_11ed_a30f_00259070b487212.jpeg"/><Relationship Id="rId213" Type="http://schemas.openxmlformats.org/officeDocument/2006/relationships/image" Target="../media/5eb5c526_7c9e_11ea_8111_003048fd731b_d2eca8d9_2820_11ed_a30f_00259070b487213.jpeg"/><Relationship Id="rId214" Type="http://schemas.openxmlformats.org/officeDocument/2006/relationships/image" Target="../media/5eb5c528_7c9e_11ea_8111_003048fd731b_d2eca8da_2820_11ed_a30f_00259070b487214.jpeg"/><Relationship Id="rId215" Type="http://schemas.openxmlformats.org/officeDocument/2006/relationships/image" Target="../media/5eb5c52a_7c9e_11ea_8111_003048fd731b_d2eca8db_2820_11ed_a30f_00259070b487215.jpeg"/><Relationship Id="rId216" Type="http://schemas.openxmlformats.org/officeDocument/2006/relationships/image" Target="../media/f423f3eb_c461_11eb_82be_003048fd731b_a1555456_602e_11ec_a20b_00259070b487216.jpeg"/><Relationship Id="rId217" Type="http://schemas.openxmlformats.org/officeDocument/2006/relationships/image" Target="../media/f423f3ed_c461_11eb_82be_003048fd731b_a1555457_602e_11ec_a20b_00259070b487217.jpeg"/><Relationship Id="rId218" Type="http://schemas.openxmlformats.org/officeDocument/2006/relationships/image" Target="../media/f423f3ef_c461_11eb_82be_003048fd731b_a1555458_602e_11ec_a20b_00259070b487218.jpeg"/><Relationship Id="rId219" Type="http://schemas.openxmlformats.org/officeDocument/2006/relationships/image" Target="../media/f423f3f1_c461_11eb_82be_003048fd731b_a1555459_602e_11ec_a20b_00259070b487219.jpeg"/><Relationship Id="rId220" Type="http://schemas.openxmlformats.org/officeDocument/2006/relationships/image" Target="../media/f423f3f3_c461_11eb_82be_003048fd731b_a155545a_602e_11ec_a20b_00259070b487220.jpeg"/><Relationship Id="rId221" Type="http://schemas.openxmlformats.org/officeDocument/2006/relationships/image" Target="../media/f423f3f5_c461_11eb_82be_003048fd731b_a155545b_602e_11ec_a20b_00259070b487221.jpeg"/><Relationship Id="rId222" Type="http://schemas.openxmlformats.org/officeDocument/2006/relationships/image" Target="../media/f423f3f7_c461_11eb_82be_003048fd731b_a155545c_602e_11ec_a20b_00259070b487222.jpeg"/><Relationship Id="rId223" Type="http://schemas.openxmlformats.org/officeDocument/2006/relationships/image" Target="../media/f423f3f9_c461_11eb_82be_003048fd731b_a155545d_602e_11ec_a20b_00259070b487223.jpeg"/><Relationship Id="rId224" Type="http://schemas.openxmlformats.org/officeDocument/2006/relationships/image" Target="../media/f423f3fb_c461_11eb_82be_003048fd731b_a155545e_602e_11ec_a20b_00259070b487224.jpeg"/><Relationship Id="rId225" Type="http://schemas.openxmlformats.org/officeDocument/2006/relationships/image" Target="../media/f423f3fd_c461_11eb_82be_003048fd731b_a155545f_602e_11ec_a20b_00259070b487225.jpeg"/><Relationship Id="rId226" Type="http://schemas.openxmlformats.org/officeDocument/2006/relationships/image" Target="../media/f423f3ff_c461_11eb_82be_003048fd731b_a1555460_602e_11ec_a20b_00259070b487226.jpeg"/><Relationship Id="rId227" Type="http://schemas.openxmlformats.org/officeDocument/2006/relationships/image" Target="../media/f423f401_c461_11eb_82be_003048fd731b_a1555461_602e_11ec_a20b_00259070b487227.jpeg"/><Relationship Id="rId228" Type="http://schemas.openxmlformats.org/officeDocument/2006/relationships/image" Target="../media/f423f403_c461_11eb_82be_003048fd731b_a1555462_602e_11ec_a20b_00259070b487228.jpeg"/><Relationship Id="rId229" Type="http://schemas.openxmlformats.org/officeDocument/2006/relationships/image" Target="../media/f423f405_c461_11eb_82be_003048fd731b_a1555463_602e_11ec_a20b_00259070b487229.jpeg"/><Relationship Id="rId230" Type="http://schemas.openxmlformats.org/officeDocument/2006/relationships/image" Target="../media/f423f407_c461_11eb_82be_003048fd731b_a1555464_602e_11ec_a20b_00259070b487230.jpeg"/><Relationship Id="rId231" Type="http://schemas.openxmlformats.org/officeDocument/2006/relationships/image" Target="../media/f423f409_c461_11eb_82be_003048fd731b_a1555465_602e_11ec_a20b_00259070b487231.jpeg"/><Relationship Id="rId232" Type="http://schemas.openxmlformats.org/officeDocument/2006/relationships/image" Target="../media/f423f40b_c461_11eb_82be_003048fd731b_a1555466_602e_11ec_a20b_00259070b487232.jpeg"/><Relationship Id="rId233" Type="http://schemas.openxmlformats.org/officeDocument/2006/relationships/image" Target="../media/f423f40d_c461_11eb_82be_003048fd731b_aaacbdff_602e_11ec_a20b_00259070b487233.jpeg"/><Relationship Id="rId234" Type="http://schemas.openxmlformats.org/officeDocument/2006/relationships/image" Target="../media/f423f40f_c461_11eb_82be_003048fd731b_aaacbe00_602e_11ec_a20b_00259070b487234.jpeg"/><Relationship Id="rId235" Type="http://schemas.openxmlformats.org/officeDocument/2006/relationships/image" Target="../media/f423f411_c461_11eb_82be_003048fd731b_aaacbe01_602e_11ec_a20b_00259070b487235.jpeg"/><Relationship Id="rId236" Type="http://schemas.openxmlformats.org/officeDocument/2006/relationships/image" Target="../media/f423f413_c461_11eb_82be_003048fd731b_aaacbe02_602e_11ec_a20b_00259070b487236.jpeg"/><Relationship Id="rId237" Type="http://schemas.openxmlformats.org/officeDocument/2006/relationships/image" Target="../media/f423f415_c461_11eb_82be_003048fd731b_aaacbe03_602e_11ec_a20b_00259070b487237.jpeg"/><Relationship Id="rId238" Type="http://schemas.openxmlformats.org/officeDocument/2006/relationships/image" Target="../media/f423f417_c461_11eb_82be_003048fd731b_aaacbe04_602e_11ec_a20b_00259070b487238.jpeg"/><Relationship Id="rId239" Type="http://schemas.openxmlformats.org/officeDocument/2006/relationships/image" Target="../media/f423f419_c461_11eb_82be_003048fd731b_aaacbe05_602e_11ec_a20b_00259070b487239.jpeg"/><Relationship Id="rId240" Type="http://schemas.openxmlformats.org/officeDocument/2006/relationships/image" Target="../media/f423f41b_c461_11eb_82be_003048fd731b_aaacbe06_602e_11ec_a20b_00259070b487240.jpeg"/><Relationship Id="rId241" Type="http://schemas.openxmlformats.org/officeDocument/2006/relationships/image" Target="../media/f423f41d_c461_11eb_82be_003048fd731b_aaacbe07_602e_11ec_a20b_00259070b487241.jpeg"/><Relationship Id="rId242" Type="http://schemas.openxmlformats.org/officeDocument/2006/relationships/image" Target="../media/f423f41f_c461_11eb_82be_003048fd731b_aaacbe08_602e_11ec_a20b_00259070b487242.jpeg"/><Relationship Id="rId243" Type="http://schemas.openxmlformats.org/officeDocument/2006/relationships/image" Target="../media/f423f421_c461_11eb_82be_003048fd731b_aaacbe09_602e_11ec_a20b_00259070b487243.jpeg"/><Relationship Id="rId244" Type="http://schemas.openxmlformats.org/officeDocument/2006/relationships/image" Target="../media/f423f427_c461_11eb_82be_003048fd731b_aaacbe0a_602e_11ec_a20b_00259070b487244.jpeg"/><Relationship Id="rId245" Type="http://schemas.openxmlformats.org/officeDocument/2006/relationships/image" Target="../media/f423f429_c461_11eb_82be_003048fd731b_aaacbe0b_602e_11ec_a20b_00259070b487245.jpeg"/><Relationship Id="rId246" Type="http://schemas.openxmlformats.org/officeDocument/2006/relationships/image" Target="../media/f423f42b_c461_11eb_82be_003048fd731b_aaacbe0c_602e_11ec_a20b_00259070b487246.jpeg"/><Relationship Id="rId247" Type="http://schemas.openxmlformats.org/officeDocument/2006/relationships/image" Target="../media/f423f42d_c461_11eb_82be_003048fd731b_aaacbe0d_602e_11ec_a20b_00259070b487247.jpeg"/><Relationship Id="rId248" Type="http://schemas.openxmlformats.org/officeDocument/2006/relationships/image" Target="../media/f423f42f_c461_11eb_82be_003048fd731b_aaacbe0e_602e_11ec_a20b_00259070b487248.jpeg"/><Relationship Id="rId249" Type="http://schemas.openxmlformats.org/officeDocument/2006/relationships/image" Target="../media/f423f431_c461_11eb_82be_003048fd731b_aaacbe0f_602e_11ec_a20b_00259070b487249.jpeg"/><Relationship Id="rId250" Type="http://schemas.openxmlformats.org/officeDocument/2006/relationships/image" Target="../media/f423f433_c461_11eb_82be_003048fd731b_aaacbe10_602e_11ec_a20b_00259070b487250.jpeg"/><Relationship Id="rId251" Type="http://schemas.openxmlformats.org/officeDocument/2006/relationships/image" Target="../media/f423f435_c461_11eb_82be_003048fd731b_aaacbe11_602e_11ec_a20b_00259070b487251.jpeg"/><Relationship Id="rId252" Type="http://schemas.openxmlformats.org/officeDocument/2006/relationships/image" Target="../media/f423f437_c461_11eb_82be_003048fd731b_aaacbe12_602e_11ec_a20b_00259070b487252.jpeg"/><Relationship Id="rId253" Type="http://schemas.openxmlformats.org/officeDocument/2006/relationships/image" Target="../media/f423f439_c461_11eb_82be_003048fd731b_aaacbe13_602e_11ec_a20b_00259070b487253.jpeg"/><Relationship Id="rId254" Type="http://schemas.openxmlformats.org/officeDocument/2006/relationships/image" Target="../media/f423f43b_c461_11eb_82be_003048fd731b_aaacbe14_602e_11ec_a20b_00259070b487254.jpeg"/><Relationship Id="rId255" Type="http://schemas.openxmlformats.org/officeDocument/2006/relationships/image" Target="../media/f423f43d_c461_11eb_82be_003048fd731b_aaacbe15_602e_11ec_a20b_00259070b487255.jpeg"/><Relationship Id="rId256" Type="http://schemas.openxmlformats.org/officeDocument/2006/relationships/image" Target="../media/29b1cbcb_3e5b_11ec_836e_003048fd731b_aaacbe16_602e_11ec_a20b_00259070b487256.jpeg"/><Relationship Id="rId257" Type="http://schemas.openxmlformats.org/officeDocument/2006/relationships/image" Target="../media/29b1cbd3_3e5b_11ec_836e_003048fd731b_aaacbe17_602e_11ec_a20b_00259070b487257.jpeg"/><Relationship Id="rId258" Type="http://schemas.openxmlformats.org/officeDocument/2006/relationships/image" Target="../media/437a221d_86a5_11e9_8101_003048fd731b_d2eca8dc_2820_11ed_a30f_00259070b487258.jpeg"/><Relationship Id="rId259" Type="http://schemas.openxmlformats.org/officeDocument/2006/relationships/image" Target="../media/437a2221_86a5_11e9_8101_003048fd731b_d2eca8dd_2820_11ed_a30f_00259070b487259.jpeg"/><Relationship Id="rId260" Type="http://schemas.openxmlformats.org/officeDocument/2006/relationships/image" Target="../media/437a2225_86a5_11e9_8101_003048fd731b_d2eca8de_2820_11ed_a30f_00259070b487260.jpeg"/><Relationship Id="rId261" Type="http://schemas.openxmlformats.org/officeDocument/2006/relationships/image" Target="../media/437a2229_86a5_11e9_8101_003048fd731b_d2eca8df_2820_11ed_a30f_00259070b487261.jpeg"/><Relationship Id="rId262" Type="http://schemas.openxmlformats.org/officeDocument/2006/relationships/image" Target="../media/437a222d_86a5_11e9_8101_003048fd731b_d2eca8e0_2820_11ed_a30f_00259070b487262.jpeg"/><Relationship Id="rId263" Type="http://schemas.openxmlformats.org/officeDocument/2006/relationships/image" Target="../media/437a2231_86a5_11e9_8101_003048fd731b_d2eca8e1_2820_11ed_a30f_00259070b487263.jpeg"/><Relationship Id="rId264" Type="http://schemas.openxmlformats.org/officeDocument/2006/relationships/image" Target="../media/29dd4e17_ba6d_11e9_8105_003048fd731b_d2eca8e2_2820_11ed_a30f_00259070b487264.jpeg"/><Relationship Id="rId265" Type="http://schemas.openxmlformats.org/officeDocument/2006/relationships/image" Target="../media/29dd4e19_ba6d_11e9_8105_003048fd731b_d2eca8e3_2820_11ed_a30f_00259070b487265.jpeg"/><Relationship Id="rId266" Type="http://schemas.openxmlformats.org/officeDocument/2006/relationships/image" Target="../media/9778552d_d539_11e9_8109_003048fd731b_d2eca8e4_2820_11ed_a30f_00259070b487266.jpeg"/><Relationship Id="rId267" Type="http://schemas.openxmlformats.org/officeDocument/2006/relationships/image" Target="../media/4e579de0_de3a_11e9_810a_003048fd731b_a26f33f0_7c1e_11f0_a7a3_047c1617b143267.jpeg"/><Relationship Id="rId268" Type="http://schemas.openxmlformats.org/officeDocument/2006/relationships/image" Target="../media/4e579de2_de3a_11e9_810a_003048fd731b_a26f33f1_7c1e_11f0_a7a3_047c1617b143268.jpeg"/><Relationship Id="rId269" Type="http://schemas.openxmlformats.org/officeDocument/2006/relationships/image" Target="../media/97785535_d539_11e9_8109_003048fd731b_a26f33ef_7c1e_11f0_a7a3_047c1617b143269.jpeg"/><Relationship Id="rId270" Type="http://schemas.openxmlformats.org/officeDocument/2006/relationships/image" Target="../media/9088d54c_e115_11ea_817f_003048fd731b_79368bb8_e197_11ea_817f_003048fd731b270.jpeg"/><Relationship Id="rId271" Type="http://schemas.openxmlformats.org/officeDocument/2006/relationships/image" Target="../media/9088d550_e115_11ea_817f_003048fd731b_79368bba_e197_11ea_817f_003048fd731b271.jpeg"/><Relationship Id="rId272" Type="http://schemas.openxmlformats.org/officeDocument/2006/relationships/image" Target="../media/702457ae_8fe1_11ed_a3b6_047c1617b143_4b3c1cb6_5a46_11f0_a775_047c1617b143272.jpeg"/><Relationship Id="rId273" Type="http://schemas.openxmlformats.org/officeDocument/2006/relationships/image" Target="../media/702457b0_8fe1_11ed_a3b6_047c1617b143_4b3c1cb7_5a46_11f0_a775_047c1617b143273.jpeg"/><Relationship Id="rId274" Type="http://schemas.openxmlformats.org/officeDocument/2006/relationships/image" Target="../media/48ba3983_93ab_11ec_a256_00259070b487_4b3c1cb8_5a46_11f0_a775_047c1617b143274.jpeg"/><Relationship Id="rId275" Type="http://schemas.openxmlformats.org/officeDocument/2006/relationships/image" Target="../media/0bff966c_032b_11ed_a2de_00259070b487_4b3c1cb9_5a46_11f0_a775_047c1617b143275.jpeg"/><Relationship Id="rId276" Type="http://schemas.openxmlformats.org/officeDocument/2006/relationships/image" Target="../media/29639db2_d258_11ed_a410_047c1617b143_4b3c1cba_5a46_11f0_a775_047c1617b143276.jpeg"/><Relationship Id="rId277" Type="http://schemas.openxmlformats.org/officeDocument/2006/relationships/image" Target="../media/3d4746fa_fd02_11ec_a2d6_00259070b487_4b3c1cbb_5a46_11f0_a775_047c1617b143277.jpeg"/><Relationship Id="rId278" Type="http://schemas.openxmlformats.org/officeDocument/2006/relationships/image" Target="../media/3d4746fc_fd02_11ec_a2d6_00259070b487_4b3c1cbc_5a46_11f0_a775_047c1617b143278.jpeg"/><Relationship Id="rId279" Type="http://schemas.openxmlformats.org/officeDocument/2006/relationships/image" Target="../media/3d4746fe_fd02_11ec_a2d6_00259070b487_4b3c1cbd_5a46_11f0_a775_047c1617b143279.jpeg"/><Relationship Id="rId280" Type="http://schemas.openxmlformats.org/officeDocument/2006/relationships/image" Target="../media/3d0cfe55_86a5_11e9_8101_003048fd731b_b627a777_281f_11ed_a30f_00259070b487280.jpeg"/><Relationship Id="rId281" Type="http://schemas.openxmlformats.org/officeDocument/2006/relationships/image" Target="../media/3d0cfe59_86a5_11e9_8101_003048fd731b_b627a77b_281f_11ed_a30f_00259070b487281.jpeg"/><Relationship Id="rId282" Type="http://schemas.openxmlformats.org/officeDocument/2006/relationships/image" Target="../media/3d0cfe5d_86a5_11e9_8101_003048fd731b_b627a77c_281f_11ed_a30f_00259070b487282.jpeg"/><Relationship Id="rId283" Type="http://schemas.openxmlformats.org/officeDocument/2006/relationships/image" Target="../media/3d0cfe61_86a5_11e9_8101_003048fd731b_b627a77d_281f_11ed_a30f_00259070b487283.jpeg"/><Relationship Id="rId284" Type="http://schemas.openxmlformats.org/officeDocument/2006/relationships/image" Target="../media/3d0cfe65_86a5_11e9_8101_003048fd731b_b627a77e_281f_11ed_a30f_00259070b487284.png"/><Relationship Id="rId285" Type="http://schemas.openxmlformats.org/officeDocument/2006/relationships/image" Target="../media/3d0cfe69_86a5_11e9_8101_003048fd731b_c530e0bc_2820_11ed_a30f_00259070b487285.png"/><Relationship Id="rId286" Type="http://schemas.openxmlformats.org/officeDocument/2006/relationships/image" Target="../media/3d0cfe6d_86a5_11e9_8101_003048fd731b_c530e0bd_2820_11ed_a30f_00259070b487286.png"/><Relationship Id="rId287" Type="http://schemas.openxmlformats.org/officeDocument/2006/relationships/image" Target="../media/3d0cfe71_86a5_11e9_8101_003048fd731b_c530e0be_2820_11ed_a30f_00259070b487287.png"/><Relationship Id="rId288" Type="http://schemas.openxmlformats.org/officeDocument/2006/relationships/image" Target="../media/3d0cfe75_86a5_11e9_8101_003048fd731b_c530e0bf_2820_11ed_a30f_00259070b487288.jpeg"/><Relationship Id="rId289" Type="http://schemas.openxmlformats.org/officeDocument/2006/relationships/image" Target="../media/3d0cfe79_86a5_11e9_8101_003048fd731b_c530e0c0_2820_11ed_a30f_00259070b487289.jpeg"/><Relationship Id="rId290" Type="http://schemas.openxmlformats.org/officeDocument/2006/relationships/image" Target="../media/3d0cfe7d_86a5_11e9_8101_003048fd731b_c530e0c1_2820_11ed_a30f_00259070b487290.jpeg"/><Relationship Id="rId291" Type="http://schemas.openxmlformats.org/officeDocument/2006/relationships/image" Target="../media/3d0cfe81_86a5_11e9_8101_003048fd731b_c530e0c2_2820_11ed_a30f_00259070b487291.jpeg"/><Relationship Id="rId292" Type="http://schemas.openxmlformats.org/officeDocument/2006/relationships/image" Target="../media/3d0cfe85_86a5_11e9_8101_003048fd731b_c530e0c3_2820_11ed_a30f_00259070b487292.jpeg"/><Relationship Id="rId293" Type="http://schemas.openxmlformats.org/officeDocument/2006/relationships/image" Target="../media/3d0cfe89_86a5_11e9_8101_003048fd731b_c530e0c4_2820_11ed_a30f_00259070b487293.jpeg"/><Relationship Id="rId294" Type="http://schemas.openxmlformats.org/officeDocument/2006/relationships/image" Target="../media/3d0cfe8d_86a5_11e9_8101_003048fd731b_c530e0c5_2820_11ed_a30f_00259070b487294.jpeg"/><Relationship Id="rId295" Type="http://schemas.openxmlformats.org/officeDocument/2006/relationships/image" Target="../media/3d0cfe91_86a5_11e9_8101_003048fd731b_c530e0c6_2820_11ed_a30f_00259070b487295.jpeg"/><Relationship Id="rId296" Type="http://schemas.openxmlformats.org/officeDocument/2006/relationships/image" Target="../media/3d0cfe95_86a5_11e9_8101_003048fd731b_c530e0ca_2820_11ed_a30f_00259070b487296.jpeg"/><Relationship Id="rId297" Type="http://schemas.openxmlformats.org/officeDocument/2006/relationships/image" Target="../media/437a214a_86a5_11e9_8101_003048fd731b_c530e0ce_2820_11ed_a30f_00259070b48729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247775"/>
    <xdr:pic>
      <xdr:nvPicPr>
        <xdr:cNvPr id="19" name="Image_27" descr="Image_2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0" name="Image_28" descr="Image_2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1" name="Image_29" descr="Image_2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2" name="Image_30" descr="Image_3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3" name="Image_31" descr="Image_3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247775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247775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7" name="Image_37" descr="Image_3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8" name="Image_38" descr="Image_3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9" name="Image_39" descr="Image_3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0" name="Image_40" descr="Image_4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1" name="Image_41" descr="Image_4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2" name="Image_42" descr="Image_4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3" name="Image_43" descr="Image_4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4" name="Image_44" descr="Image_4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5" name="Image_45" descr="Image_4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6" name="Image_46" descr="Image_4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7" name="Image_47" descr="Image_4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8" name="Image_48" descr="Image_4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9" name="Image_49" descr="Image_4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0" name="Image_50" descr="Image_50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1" name="Image_51" descr="Image_51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2" name="Image_52" descr="Image_5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3" name="Image_53" descr="Image_5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4" name="Image_54" descr="Image_5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5" name="Image_55" descr="Image_5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6" name="Image_56" descr="Image_5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7" name="Image_57" descr="Image_57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8" name="Image_58" descr="Image_58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9" name="Image_59" descr="Image_59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0" name="Image_60" descr="Image_6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1" name="Image_61" descr="Image_61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2" name="Image_62" descr="Image_62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3" name="Image_63" descr="Image_63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4" name="Image_64" descr="Image_64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8" name="Image_88" descr="Image_8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9" name="Image_89" descr="Image_8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0" name="Image_90" descr="Image_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4" name="Image_94" descr="Image_9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5" name="Image_95" descr="Image_9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6" name="Image_96" descr="Image_9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7" name="Image_97" descr="Image_9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8" name="Image_98" descr="Image_9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9" name="Image_99" descr="Image_9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0" name="Image_100" descr="Image_10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1" name="Image_101" descr="Image_10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2" name="Image_102" descr="Image_10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3" name="Image_103" descr="Image_10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4" name="Image_104" descr="Image_104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5" name="Image_105" descr="Image_10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6" name="Image_106" descr="Image_106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7" name="Image_107" descr="Image_107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8" name="Image_108" descr="Image_108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9" name="Image_109" descr="Image_109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0" name="Image_110" descr="Image_110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1" name="Image_111" descr="Image_111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2" name="Image_112" descr="Image_112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3" name="Image_113" descr="Image_113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4" name="Image_114" descr="Image_114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5" name="Image_115" descr="Image_115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6" name="Image_116" descr="Image_116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7" name="Image_117" descr="Image_117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8" name="Image_118" descr="Image_118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9" name="Image_119" descr="Image_119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0" name="Image_120" descr="Image_120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1" name="Image_121" descr="Image_121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2" name="Image_122" descr="Image_122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3" name="Image_123" descr="Image_123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4" name="Image_124" descr="Image_124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5" name="Image_125" descr="Image_125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6" name="Image_126" descr="Image_126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7" name="Image_127" descr="Image_127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8" name="Image_128" descr="Image_128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9" name="Image_129" descr="Image_129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0" name="Image_130" descr="Image_130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1" name="Image_131" descr="Image_131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2" name="Image_132" descr="Image_132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3" name="Image_133" descr="Image_133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4" name="Image_134" descr="Image_134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5" name="Image_135" descr="Image_135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6" name="Image_137" descr="Image_13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7" name="Image_138" descr="Image_13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8" name="Image_139" descr="Image_13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9" name="Image_140" descr="Image_14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0" name="Image_141" descr="Image_14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1" name="Image_142" descr="Image_14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2" name="Image_144" descr="Image_144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3" name="Image_145" descr="Image_145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4" name="Image_146" descr="Image_146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5" name="Image_147" descr="Image_14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6" name="Image_148" descr="Image_14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7" name="Image_149" descr="Image_14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8" name="Image_150" descr="Image_15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9" name="Image_151" descr="Image_15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0" name="Image_152" descr="Image_15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1" name="Image_153" descr="Image_153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2" name="Image_154" descr="Image_154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3" name="Image_155" descr="Image_155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4" name="Image_156" descr="Image_156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5" name="Image_157" descr="Image_157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6" name="Image_158" descr="Image_158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7" name="Image_159" descr="Image_159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8" name="Image_160" descr="Image_160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9" name="Image_161" descr="Image_161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0" name="Image_162" descr="Image_162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1" name="Image_163" descr="Image_163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2" name="Image_164" descr="Image_164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3" name="Image_166" descr="Image_166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4" name="Image_167" descr="Image_167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5" name="Image_168" descr="Image_168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6" name="Image_169" descr="Image_169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7" name="Image_170" descr="Image_170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8" name="Image_171" descr="Image_171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9" name="Image_172" descr="Image_172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0" name="Image_173" descr="Image_173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1" name="Image_174" descr="Image_174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2" name="Image_175" descr="Image_175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3" name="Image_176" descr="Image_17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4" name="Image_177" descr="Image_17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5" name="Image_178" descr="Image_17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6" name="Image_180" descr="Image_180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7" name="Image_181" descr="Image_181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8" name="Image_182" descr="Image_182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9" name="Image_183" descr="Image_183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0" name="Image_184" descr="Image_184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1" name="Image_185" descr="Image_185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2" name="Image_186" descr="Image_186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3" name="Image_187" descr="Image_187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4" name="Image_188" descr="Image_188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5" name="Image_189" descr="Image_189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6" name="Image_190" descr="Image_190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7" name="Image_191" descr="Image_191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8" name="Image_192" descr="Image_192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9" name="Image_193" descr="Image_193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0" name="Image_194" descr="Image_19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1" name="Image_195" descr="Image_195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2" name="Image_196" descr="Image_196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3" name="Image_197" descr="Image_197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4" name="Image_198" descr="Image_19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5" name="Image_199" descr="Image_19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6" name="Image_200" descr="Image_20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7" name="Image_201" descr="Image_20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8" name="Image_202" descr="Image_20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9" name="Image_203" descr="Image_20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0" name="Image_204" descr="Image_20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1" name="Image_205" descr="Image_20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2" name="Image_206" descr="Image_206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3" name="Image_207" descr="Image_207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4" name="Image_208" descr="Image_20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5" name="Image_209" descr="Image_20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6" name="Image_210" descr="Image_21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7" name="Image_211" descr="Image_21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8" name="Image_212" descr="Image_21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9" name="Image_213" descr="Image_21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0" name="Image_214" descr="Image_21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1" name="Image_215" descr="Image_215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2" name="Image_216" descr="Image_216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3" name="Image_217" descr="Image_217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4" name="Image_218" descr="Image_218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5" name="Image_219" descr="Image_219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6" name="Image_220" descr="Image_220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7" name="Image_221" descr="Image_221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8" name="Image_222" descr="Image_222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9" name="Image_223" descr="Image_223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0" name="Image_224" descr="Image_224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1" name="Image_225" descr="Image_225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2" name="Image_226" descr="Image_226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3" name="Image_227" descr="Image_22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4" name="Image_228" descr="Image_22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5" name="Image_229" descr="Image_229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6" name="Image_231" descr="Image_231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7" name="Image_232" descr="Image_232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8" name="Image_233" descr="Image_233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19" name="Image_234" descr="Image_234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0" name="Image_235" descr="Image_235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1" name="Image_236" descr="Image_236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2" name="Image_237" descr="Image_237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3" name="Image_238" descr="Image_238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4" name="Image_239" descr="Image_239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5" name="Image_240" descr="Image_240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6" name="Image_241" descr="Image_241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7" name="Image_242" descr="Image_242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8" name="Image_243" descr="Image_243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29" name="Image_244" descr="Image_244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0" name="Image_245" descr="Image_245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1" name="Image_246" descr="Image_246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2" name="Image_247" descr="Image_247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3" name="Image_248" descr="Image_248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4" name="Image_249" descr="Image_249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5" name="Image_250" descr="Image_250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6" name="Image_251" descr="Image_251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7" name="Image_252" descr="Image_252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8" name="Image_253" descr="Image_253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39" name="Image_254" descr="Image_254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0" name="Image_255" descr="Image_255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1" name="Image_256" descr="Image_256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2" name="Image_257" descr="Image_257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3" name="Image_258" descr="Image_258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4" name="Image_259" descr="Image_259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5" name="Image_260" descr="Image_260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46" name="Image_261" descr="Image_261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47" name="Image_262" descr="Image_262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48" name="Image_263" descr="Image_263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49" name="Image_264" descr="Image_264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0" name="Image_265" descr="Image_265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1" name="Image_266" descr="Image_266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2" name="Image_267" descr="Image_267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3" name="Image_268" descr="Image_268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54" name="Image_269" descr="Image_269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55" name="Image_270" descr="Image_270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56" name="Image_271" descr="Image_271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57" name="Image_272" descr="Image_272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58" name="Image_274" descr="Image_274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59" name="Image_275" descr="Image_275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60" name="Image_276" descr="Image_276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61" name="Image_277" descr="Image_277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62" name="Image_278" descr="Image_278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63" name="Image_279" descr="Image_279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64" name="Image_280" descr="Image_280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65" name="Image_281" descr="Image_281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66" name="Image_282" descr="Image_282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67" name="Image_283" descr="Image_283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68" name="Image_284" descr="Image_284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69" name="Image_285" descr="Image_285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247775"/>
    <xdr:pic>
      <xdr:nvPicPr>
        <xdr:cNvPr id="270" name="Image_287" descr="Image_287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247775"/>
    <xdr:pic>
      <xdr:nvPicPr>
        <xdr:cNvPr id="271" name="Image_288" descr="Image_288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72" name="Image_290" descr="Image_290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73" name="Image_291" descr="Image_291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74" name="Image_292" descr="Image_292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75" name="Image_293" descr="Image_293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76" name="Image_294" descr="Image_294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77" name="Image_295" descr="Image_295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78" name="Image_296" descr="Image_296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79" name="Image_297" descr="Image_297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80" name="Image_299" descr="Image_299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81" name="Image_300" descr="Image_300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82" name="Image_301" descr="Image_301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83" name="Image_302" descr="Image_302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84" name="Image_303" descr="Image_303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85" name="Image_304" descr="Image_304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86" name="Image_305" descr="Image_305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87" name="Image_306" descr="Image_306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88" name="Image_307" descr="Image_307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89" name="Image_308" descr="Image_308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90" name="Image_309" descr="Image_309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91" name="Image_310" descr="Image_310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92" name="Image_311" descr="Image_311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93" name="Image_312" descr="Image_312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94" name="Image_313" descr="Image_313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95" name="Image_314" descr="Image_314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96" name="Image_315" descr="Image_315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97" name="Image_316" descr="Image_316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11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810787</v>
      </c>
      <c r="C5" s="1" t="s">
        <v>12</v>
      </c>
      <c r="D5" s="1" t="s">
        <v>13</v>
      </c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J5*347.05</f>
        <v>0</v>
      </c>
      <c r="L5" s="5"/>
    </row>
    <row r="6" spans="1:12" customHeight="1" ht="105" outlineLevel="4">
      <c r="A6" s="1"/>
      <c r="B6" s="1">
        <v>825090</v>
      </c>
      <c r="C6" s="1" t="s">
        <v>17</v>
      </c>
      <c r="D6" s="1" t="s">
        <v>18</v>
      </c>
      <c r="E6" s="2" t="s">
        <v>19</v>
      </c>
      <c r="F6" s="2" t="s">
        <v>20</v>
      </c>
      <c r="G6" s="2">
        <v>0</v>
      </c>
      <c r="H6" s="2">
        <v>0</v>
      </c>
      <c r="I6" s="1">
        <v>0</v>
      </c>
      <c r="J6" s="3" t="s">
        <v>16</v>
      </c>
      <c r="K6" s="2" t="str">
        <f>J6*302.60</f>
        <v>0</v>
      </c>
      <c r="L6" s="5"/>
    </row>
    <row r="7" spans="1:12" customHeight="1" ht="105" outlineLevel="4">
      <c r="A7" s="1"/>
      <c r="B7" s="1">
        <v>825089</v>
      </c>
      <c r="C7" s="1" t="s">
        <v>21</v>
      </c>
      <c r="D7" s="1" t="s">
        <v>22</v>
      </c>
      <c r="E7" s="2" t="s">
        <v>23</v>
      </c>
      <c r="F7" s="2" t="s">
        <v>24</v>
      </c>
      <c r="G7" s="2" t="s">
        <v>25</v>
      </c>
      <c r="H7" s="2">
        <v>0</v>
      </c>
      <c r="I7" s="1">
        <v>0</v>
      </c>
      <c r="J7" s="3" t="s">
        <v>16</v>
      </c>
      <c r="K7" s="2" t="str">
        <f>J7*50.86</f>
        <v>0</v>
      </c>
      <c r="L7" s="5"/>
    </row>
    <row r="8" spans="1:12" customHeight="1" ht="105" outlineLevel="4">
      <c r="A8" s="1"/>
      <c r="B8" s="1">
        <v>825088</v>
      </c>
      <c r="C8" s="1" t="s">
        <v>26</v>
      </c>
      <c r="D8" s="1" t="s">
        <v>27</v>
      </c>
      <c r="E8" s="2" t="s">
        <v>28</v>
      </c>
      <c r="F8" s="2" t="s">
        <v>24</v>
      </c>
      <c r="G8" s="2">
        <v>0</v>
      </c>
      <c r="H8" s="2">
        <v>0</v>
      </c>
      <c r="I8" s="1">
        <v>0</v>
      </c>
      <c r="J8" s="3" t="s">
        <v>16</v>
      </c>
      <c r="K8" s="2" t="str">
        <f>J8*50.86</f>
        <v>0</v>
      </c>
      <c r="L8" s="5"/>
    </row>
    <row r="9" spans="1:12" customHeight="1" ht="105" outlineLevel="4">
      <c r="A9" s="1"/>
      <c r="B9" s="1">
        <v>824564</v>
      </c>
      <c r="C9" s="1" t="s">
        <v>29</v>
      </c>
      <c r="D9" s="1" t="s">
        <v>30</v>
      </c>
      <c r="E9" s="2" t="s">
        <v>31</v>
      </c>
      <c r="F9" s="2" t="s">
        <v>32</v>
      </c>
      <c r="G9" s="2" t="s">
        <v>33</v>
      </c>
      <c r="H9" s="2">
        <v>0</v>
      </c>
      <c r="I9" s="1">
        <v>0</v>
      </c>
      <c r="J9" s="3" t="s">
        <v>16</v>
      </c>
      <c r="K9" s="2" t="str">
        <f>J9*51.26</f>
        <v>0</v>
      </c>
      <c r="L9" s="5"/>
    </row>
    <row r="10" spans="1:12" customHeight="1" ht="105" outlineLevel="4">
      <c r="A10" s="1"/>
      <c r="B10" s="1">
        <v>825170</v>
      </c>
      <c r="C10" s="1" t="s">
        <v>34</v>
      </c>
      <c r="D10" s="1" t="s">
        <v>35</v>
      </c>
      <c r="E10" s="2" t="s">
        <v>36</v>
      </c>
      <c r="F10" s="2" t="s">
        <v>37</v>
      </c>
      <c r="G10" s="2" t="s">
        <v>33</v>
      </c>
      <c r="H10" s="2">
        <v>0</v>
      </c>
      <c r="I10" s="1">
        <v>0</v>
      </c>
      <c r="J10" s="3" t="s">
        <v>16</v>
      </c>
      <c r="K10" s="2" t="str">
        <f>J10*316.20</f>
        <v>0</v>
      </c>
      <c r="L10" s="5"/>
    </row>
    <row r="11" spans="1:12" outlineLevel="2">
      <c r="A11" s="8" t="s">
        <v>38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810823</v>
      </c>
      <c r="C12" s="1" t="s">
        <v>39</v>
      </c>
      <c r="D12" s="1" t="s">
        <v>40</v>
      </c>
      <c r="E12" s="2" t="s">
        <v>41</v>
      </c>
      <c r="F12" s="2" t="s">
        <v>42</v>
      </c>
      <c r="G12" s="2" t="s">
        <v>33</v>
      </c>
      <c r="H12" s="2" t="s">
        <v>43</v>
      </c>
      <c r="I12" s="1">
        <v>0</v>
      </c>
      <c r="J12" s="3" t="s">
        <v>16</v>
      </c>
      <c r="K12" s="2" t="str">
        <f>J12*608.00</f>
        <v>0</v>
      </c>
      <c r="L12" s="5"/>
    </row>
    <row r="13" spans="1:12" customHeight="1" ht="105" outlineLevel="4">
      <c r="A13" s="1"/>
      <c r="B13" s="1">
        <v>810824</v>
      </c>
      <c r="C13" s="1" t="s">
        <v>44</v>
      </c>
      <c r="D13" s="1" t="s">
        <v>45</v>
      </c>
      <c r="E13" s="2" t="s">
        <v>46</v>
      </c>
      <c r="F13" s="2" t="s">
        <v>47</v>
      </c>
      <c r="G13" s="2" t="s">
        <v>48</v>
      </c>
      <c r="H13" s="2" t="s">
        <v>43</v>
      </c>
      <c r="I13" s="1">
        <v>0</v>
      </c>
      <c r="J13" s="3" t="s">
        <v>16</v>
      </c>
      <c r="K13" s="2" t="str">
        <f>J13*903.00</f>
        <v>0</v>
      </c>
      <c r="L13" s="5"/>
    </row>
    <row r="14" spans="1:12" customHeight="1" ht="105" outlineLevel="4">
      <c r="A14" s="1"/>
      <c r="B14" s="1">
        <v>833016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4</v>
      </c>
      <c r="H14" s="2" t="s">
        <v>25</v>
      </c>
      <c r="I14" s="1">
        <v>0</v>
      </c>
      <c r="J14" s="3" t="s">
        <v>16</v>
      </c>
      <c r="K14" s="2" t="str">
        <f>J14*1693.00</f>
        <v>0</v>
      </c>
      <c r="L14" s="5"/>
    </row>
    <row r="15" spans="1:12" outlineLevel="2">
      <c r="A15" s="8" t="s">
        <v>53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customHeight="1" ht="105" outlineLevel="4">
      <c r="A16" s="1"/>
      <c r="B16" s="1">
        <v>810791</v>
      </c>
      <c r="C16" s="1" t="s">
        <v>54</v>
      </c>
      <c r="D16" s="1" t="s">
        <v>55</v>
      </c>
      <c r="E16" s="2" t="s">
        <v>56</v>
      </c>
      <c r="F16" s="2" t="s">
        <v>57</v>
      </c>
      <c r="G16" s="2" t="s">
        <v>33</v>
      </c>
      <c r="H16" s="2">
        <v>0</v>
      </c>
      <c r="I16" s="1">
        <v>0</v>
      </c>
      <c r="J16" s="3" t="s">
        <v>16</v>
      </c>
      <c r="K16" s="2" t="str">
        <f>J16*288.58</f>
        <v>0</v>
      </c>
      <c r="L16" s="5"/>
    </row>
    <row r="17" spans="1:12" customHeight="1" ht="105" outlineLevel="4">
      <c r="A17" s="1"/>
      <c r="B17" s="1">
        <v>810792</v>
      </c>
      <c r="C17" s="1" t="s">
        <v>58</v>
      </c>
      <c r="D17" s="1" t="s">
        <v>59</v>
      </c>
      <c r="E17" s="2" t="s">
        <v>60</v>
      </c>
      <c r="F17" s="2" t="s">
        <v>61</v>
      </c>
      <c r="G17" s="2" t="s">
        <v>62</v>
      </c>
      <c r="H17" s="2">
        <v>0</v>
      </c>
      <c r="I17" s="1">
        <v>0</v>
      </c>
      <c r="J17" s="3" t="s">
        <v>16</v>
      </c>
      <c r="K17" s="2" t="str">
        <f>J17*397.16</f>
        <v>0</v>
      </c>
      <c r="L17" s="5"/>
    </row>
    <row r="18" spans="1:12" customHeight="1" ht="105" outlineLevel="4">
      <c r="A18" s="1"/>
      <c r="B18" s="1">
        <v>810793</v>
      </c>
      <c r="C18" s="1" t="s">
        <v>63</v>
      </c>
      <c r="D18" s="1" t="s">
        <v>64</v>
      </c>
      <c r="E18" s="2" t="s">
        <v>65</v>
      </c>
      <c r="F18" s="2" t="s">
        <v>66</v>
      </c>
      <c r="G18" s="2" t="s">
        <v>48</v>
      </c>
      <c r="H18" s="2">
        <v>0</v>
      </c>
      <c r="I18" s="1">
        <v>0</v>
      </c>
      <c r="J18" s="3" t="s">
        <v>16</v>
      </c>
      <c r="K18" s="2" t="str">
        <f>J18*645.58</f>
        <v>0</v>
      </c>
      <c r="L18" s="5"/>
    </row>
    <row r="19" spans="1:12" customHeight="1" ht="105" outlineLevel="4">
      <c r="A19" s="1"/>
      <c r="B19" s="1">
        <v>810794</v>
      </c>
      <c r="C19" s="1" t="s">
        <v>67</v>
      </c>
      <c r="D19" s="1" t="s">
        <v>68</v>
      </c>
      <c r="E19" s="2" t="s">
        <v>69</v>
      </c>
      <c r="F19" s="2" t="s">
        <v>70</v>
      </c>
      <c r="G19" s="2">
        <v>9</v>
      </c>
      <c r="H19" s="2">
        <v>0</v>
      </c>
      <c r="I19" s="1">
        <v>0</v>
      </c>
      <c r="J19" s="3" t="s">
        <v>16</v>
      </c>
      <c r="K19" s="2" t="str">
        <f>J19*716.98</f>
        <v>0</v>
      </c>
      <c r="L19" s="5"/>
    </row>
    <row r="20" spans="1:12" customHeight="1" ht="105" outlineLevel="4">
      <c r="A20" s="1"/>
      <c r="B20" s="1">
        <v>810795</v>
      </c>
      <c r="C20" s="1" t="s">
        <v>71</v>
      </c>
      <c r="D20" s="1" t="s">
        <v>72</v>
      </c>
      <c r="E20" s="2" t="s">
        <v>73</v>
      </c>
      <c r="F20" s="2" t="s">
        <v>74</v>
      </c>
      <c r="G20" s="2">
        <v>10</v>
      </c>
      <c r="H20" s="2">
        <v>0</v>
      </c>
      <c r="I20" s="1">
        <v>0</v>
      </c>
      <c r="J20" s="3" t="s">
        <v>16</v>
      </c>
      <c r="K20" s="2" t="str">
        <f>J20*1407.18</f>
        <v>0</v>
      </c>
      <c r="L20" s="5"/>
    </row>
    <row r="21" spans="1:12" customHeight="1" ht="105" outlineLevel="4">
      <c r="A21" s="1"/>
      <c r="B21" s="1">
        <v>810796</v>
      </c>
      <c r="C21" s="1" t="s">
        <v>75</v>
      </c>
      <c r="D21" s="1" t="s">
        <v>76</v>
      </c>
      <c r="E21" s="2" t="s">
        <v>77</v>
      </c>
      <c r="F21" s="2" t="s">
        <v>78</v>
      </c>
      <c r="G21" s="2">
        <v>5</v>
      </c>
      <c r="H21" s="2">
        <v>0</v>
      </c>
      <c r="I21" s="1">
        <v>0</v>
      </c>
      <c r="J21" s="3" t="s">
        <v>16</v>
      </c>
      <c r="K21" s="2" t="str">
        <f>J21*1570.80</f>
        <v>0</v>
      </c>
      <c r="L21" s="5"/>
    </row>
    <row r="22" spans="1:12" outlineLevel="2">
      <c r="A22" s="8" t="s">
        <v>79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833168</v>
      </c>
      <c r="C23" s="1" t="s">
        <v>80</v>
      </c>
      <c r="D23" s="1" t="s">
        <v>81</v>
      </c>
      <c r="E23" s="2" t="s">
        <v>82</v>
      </c>
      <c r="F23" s="2" t="s">
        <v>83</v>
      </c>
      <c r="G23" s="2" t="s">
        <v>25</v>
      </c>
      <c r="H23" s="2">
        <v>0</v>
      </c>
      <c r="I23" s="1">
        <v>0</v>
      </c>
      <c r="J23" s="3" t="s">
        <v>16</v>
      </c>
      <c r="K23" s="2" t="str">
        <f>J23*520.37</f>
        <v>0</v>
      </c>
      <c r="L23" s="5"/>
    </row>
    <row r="24" spans="1:12" customHeight="1" ht="105" outlineLevel="4">
      <c r="A24" s="1"/>
      <c r="B24" s="1">
        <v>833169</v>
      </c>
      <c r="C24" s="1" t="s">
        <v>84</v>
      </c>
      <c r="D24" s="1" t="s">
        <v>85</v>
      </c>
      <c r="E24" s="2" t="s">
        <v>86</v>
      </c>
      <c r="F24" s="2" t="s">
        <v>87</v>
      </c>
      <c r="G24" s="2">
        <v>0</v>
      </c>
      <c r="H24" s="2">
        <v>0</v>
      </c>
      <c r="I24" s="1">
        <v>0</v>
      </c>
      <c r="J24" s="3" t="s">
        <v>16</v>
      </c>
      <c r="K24" s="2" t="str">
        <f>J24*703.52</f>
        <v>0</v>
      </c>
      <c r="L24" s="5"/>
    </row>
    <row r="25" spans="1:12" customHeight="1" ht="105" outlineLevel="4">
      <c r="A25" s="1"/>
      <c r="B25" s="1">
        <v>837293</v>
      </c>
      <c r="C25" s="1" t="s">
        <v>88</v>
      </c>
      <c r="D25" s="1" t="s">
        <v>89</v>
      </c>
      <c r="E25" s="2" t="s">
        <v>90</v>
      </c>
      <c r="F25" s="2" t="s">
        <v>91</v>
      </c>
      <c r="G25" s="2" t="s">
        <v>48</v>
      </c>
      <c r="H25" s="2">
        <v>0</v>
      </c>
      <c r="I25" s="1">
        <v>0</v>
      </c>
      <c r="J25" s="3" t="s">
        <v>16</v>
      </c>
      <c r="K25" s="2" t="str">
        <f>J25*508.57</f>
        <v>0</v>
      </c>
      <c r="L25" s="5"/>
    </row>
    <row r="26" spans="1:12" outlineLevel="2">
      <c r="A26" s="8" t="s">
        <v>92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878965</v>
      </c>
      <c r="C27" s="1" t="s">
        <v>93</v>
      </c>
      <c r="D27" s="1">
        <v>554086</v>
      </c>
      <c r="E27" s="2" t="s">
        <v>94</v>
      </c>
      <c r="F27" s="2" t="s">
        <v>95</v>
      </c>
      <c r="G27" s="2">
        <v>0</v>
      </c>
      <c r="H27" s="2">
        <v>0</v>
      </c>
      <c r="I27" s="1">
        <v>0</v>
      </c>
      <c r="J27" s="3" t="s">
        <v>16</v>
      </c>
      <c r="K27" s="2" t="str">
        <f>J27*288.01</f>
        <v>0</v>
      </c>
      <c r="L27" s="5"/>
    </row>
    <row r="28" spans="1:12" customHeight="1" ht="105" outlineLevel="4">
      <c r="A28" s="1"/>
      <c r="B28" s="1">
        <v>878966</v>
      </c>
      <c r="C28" s="1" t="s">
        <v>96</v>
      </c>
      <c r="D28" s="1">
        <v>554037</v>
      </c>
      <c r="E28" s="2" t="s">
        <v>97</v>
      </c>
      <c r="F28" s="2" t="s">
        <v>98</v>
      </c>
      <c r="G28" s="2">
        <v>0</v>
      </c>
      <c r="H28" s="2">
        <v>0</v>
      </c>
      <c r="I28" s="1">
        <v>0</v>
      </c>
      <c r="J28" s="3" t="s">
        <v>16</v>
      </c>
      <c r="K28" s="2" t="str">
        <f>J28*144.48</f>
        <v>0</v>
      </c>
      <c r="L28" s="5"/>
    </row>
    <row r="29" spans="1:12" customHeight="1" ht="105" outlineLevel="4">
      <c r="A29" s="1"/>
      <c r="B29" s="1">
        <v>878878</v>
      </c>
      <c r="C29" s="1" t="s">
        <v>99</v>
      </c>
      <c r="D29" s="1">
        <v>554034</v>
      </c>
      <c r="E29" s="2" t="s">
        <v>100</v>
      </c>
      <c r="F29" s="2" t="s">
        <v>101</v>
      </c>
      <c r="G29" s="2">
        <v>0</v>
      </c>
      <c r="H29" s="2">
        <v>0</v>
      </c>
      <c r="I29" s="1">
        <v>0</v>
      </c>
      <c r="J29" s="3" t="s">
        <v>16</v>
      </c>
      <c r="K29" s="2" t="str">
        <f>J29*184.80</f>
        <v>0</v>
      </c>
      <c r="L29" s="5"/>
    </row>
    <row r="30" spans="1:12" customHeight="1" ht="105" outlineLevel="4">
      <c r="A30" s="1"/>
      <c r="B30" s="1">
        <v>878879</v>
      </c>
      <c r="C30" s="1" t="s">
        <v>102</v>
      </c>
      <c r="D30" s="1">
        <v>554039</v>
      </c>
      <c r="E30" s="2" t="s">
        <v>103</v>
      </c>
      <c r="F30" s="2" t="s">
        <v>104</v>
      </c>
      <c r="G30" s="2">
        <v>0</v>
      </c>
      <c r="H30" s="2">
        <v>0</v>
      </c>
      <c r="I30" s="1">
        <v>0</v>
      </c>
      <c r="J30" s="3" t="s">
        <v>16</v>
      </c>
      <c r="K30" s="2" t="str">
        <f>J30*155.68</f>
        <v>0</v>
      </c>
      <c r="L30" s="5"/>
    </row>
    <row r="31" spans="1:12" customHeight="1" ht="105" outlineLevel="4">
      <c r="A31" s="1"/>
      <c r="B31" s="1">
        <v>878877</v>
      </c>
      <c r="C31" s="1" t="s">
        <v>105</v>
      </c>
      <c r="D31" s="1">
        <v>554088</v>
      </c>
      <c r="E31" s="2" t="s">
        <v>106</v>
      </c>
      <c r="F31" s="2" t="s">
        <v>107</v>
      </c>
      <c r="G31" s="2">
        <v>0</v>
      </c>
      <c r="H31" s="2">
        <v>0</v>
      </c>
      <c r="I31" s="1">
        <v>0</v>
      </c>
      <c r="J31" s="3" t="s">
        <v>16</v>
      </c>
      <c r="K31" s="2" t="str">
        <f>J31*123.20</f>
        <v>0</v>
      </c>
      <c r="L31" s="5"/>
    </row>
    <row r="32" spans="1:12" customHeight="1" ht="105" outlineLevel="4">
      <c r="A32" s="1"/>
      <c r="B32" s="1">
        <v>828270</v>
      </c>
      <c r="C32" s="1" t="s">
        <v>108</v>
      </c>
      <c r="D32" s="1">
        <v>554751</v>
      </c>
      <c r="E32" s="2" t="s">
        <v>109</v>
      </c>
      <c r="F32" s="2" t="s">
        <v>110</v>
      </c>
      <c r="G32" s="2">
        <v>0</v>
      </c>
      <c r="H32" s="2">
        <v>0</v>
      </c>
      <c r="I32" s="1">
        <v>0</v>
      </c>
      <c r="J32" s="3" t="s">
        <v>16</v>
      </c>
      <c r="K32" s="2" t="str">
        <f>J32*158.14</f>
        <v>0</v>
      </c>
      <c r="L32" s="5"/>
    </row>
    <row r="33" spans="1:12" customHeight="1" ht="105" outlineLevel="4">
      <c r="A33" s="1"/>
      <c r="B33" s="1">
        <v>828272</v>
      </c>
      <c r="C33" s="1" t="s">
        <v>111</v>
      </c>
      <c r="D33" s="1">
        <v>554155</v>
      </c>
      <c r="E33" s="2" t="s">
        <v>112</v>
      </c>
      <c r="F33" s="2" t="s">
        <v>113</v>
      </c>
      <c r="G33" s="2">
        <v>0</v>
      </c>
      <c r="H33" s="2">
        <v>0</v>
      </c>
      <c r="I33" s="1">
        <v>0</v>
      </c>
      <c r="J33" s="3" t="s">
        <v>16</v>
      </c>
      <c r="K33" s="2" t="str">
        <f>J33*225.82</f>
        <v>0</v>
      </c>
      <c r="L33" s="5"/>
    </row>
    <row r="34" spans="1:12" customHeight="1" ht="105" outlineLevel="4">
      <c r="A34" s="1"/>
      <c r="B34" s="1">
        <v>882508</v>
      </c>
      <c r="C34" s="1" t="s">
        <v>114</v>
      </c>
      <c r="D34" s="1"/>
      <c r="E34" s="2" t="s">
        <v>115</v>
      </c>
      <c r="F34" s="2" t="s">
        <v>116</v>
      </c>
      <c r="G34" s="2" t="s">
        <v>33</v>
      </c>
      <c r="H34" s="2">
        <v>0</v>
      </c>
      <c r="I34" s="1">
        <v>0</v>
      </c>
      <c r="J34" s="3" t="s">
        <v>16</v>
      </c>
      <c r="K34" s="2" t="str">
        <f>J34*259.25</f>
        <v>0</v>
      </c>
      <c r="L34" s="5"/>
    </row>
    <row r="35" spans="1:12" outlineLevel="1">
      <c r="A35" s="7" t="s">
        <v>117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5"/>
    </row>
    <row r="36" spans="1:12" outlineLevel="2">
      <c r="A36" s="8" t="s">
        <v>118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5"/>
    </row>
    <row r="37" spans="1:12" customHeight="1" ht="105" outlineLevel="4">
      <c r="A37" s="1"/>
      <c r="B37" s="1">
        <v>810906</v>
      </c>
      <c r="C37" s="1" t="s">
        <v>119</v>
      </c>
      <c r="D37" s="1" t="s">
        <v>120</v>
      </c>
      <c r="E37" s="2" t="s">
        <v>121</v>
      </c>
      <c r="F37" s="2" t="s">
        <v>122</v>
      </c>
      <c r="G37" s="2" t="s">
        <v>33</v>
      </c>
      <c r="H37" s="2" t="s">
        <v>123</v>
      </c>
      <c r="I37" s="1">
        <v>0</v>
      </c>
      <c r="J37" s="3" t="s">
        <v>16</v>
      </c>
      <c r="K37" s="2" t="str">
        <f>J37*587.00</f>
        <v>0</v>
      </c>
      <c r="L37" s="5"/>
    </row>
    <row r="38" spans="1:12" customHeight="1" ht="105" outlineLevel="4">
      <c r="A38" s="1"/>
      <c r="B38" s="1">
        <v>810907</v>
      </c>
      <c r="C38" s="1" t="s">
        <v>124</v>
      </c>
      <c r="D38" s="1" t="s">
        <v>125</v>
      </c>
      <c r="E38" s="2" t="s">
        <v>126</v>
      </c>
      <c r="F38" s="2" t="s">
        <v>127</v>
      </c>
      <c r="G38" s="2">
        <v>0</v>
      </c>
      <c r="H38" s="2" t="s">
        <v>123</v>
      </c>
      <c r="I38" s="1">
        <v>0</v>
      </c>
      <c r="J38" s="3" t="s">
        <v>16</v>
      </c>
      <c r="K38" s="2" t="str">
        <f>J38*857.00</f>
        <v>0</v>
      </c>
      <c r="L38" s="5"/>
    </row>
    <row r="39" spans="1:12" customHeight="1" ht="105" outlineLevel="4">
      <c r="A39" s="1"/>
      <c r="B39" s="1">
        <v>810908</v>
      </c>
      <c r="C39" s="1" t="s">
        <v>128</v>
      </c>
      <c r="D39" s="1" t="s">
        <v>129</v>
      </c>
      <c r="E39" s="2" t="s">
        <v>130</v>
      </c>
      <c r="F39" s="2" t="s">
        <v>131</v>
      </c>
      <c r="G39" s="2">
        <v>0</v>
      </c>
      <c r="H39" s="2" t="s">
        <v>25</v>
      </c>
      <c r="I39" s="1">
        <v>0</v>
      </c>
      <c r="J39" s="3" t="s">
        <v>16</v>
      </c>
      <c r="K39" s="2" t="str">
        <f>J39*1307.00</f>
        <v>0</v>
      </c>
      <c r="L39" s="5"/>
    </row>
    <row r="40" spans="1:12" customHeight="1" ht="105" outlineLevel="4">
      <c r="A40" s="1"/>
      <c r="B40" s="1">
        <v>810909</v>
      </c>
      <c r="C40" s="1" t="s">
        <v>132</v>
      </c>
      <c r="D40" s="1" t="s">
        <v>133</v>
      </c>
      <c r="E40" s="2" t="s">
        <v>134</v>
      </c>
      <c r="F40" s="2" t="s">
        <v>135</v>
      </c>
      <c r="G40" s="2" t="s">
        <v>62</v>
      </c>
      <c r="H40" s="2" t="s">
        <v>25</v>
      </c>
      <c r="I40" s="1">
        <v>0</v>
      </c>
      <c r="J40" s="3" t="s">
        <v>16</v>
      </c>
      <c r="K40" s="2" t="str">
        <f>J40*604.00</f>
        <v>0</v>
      </c>
      <c r="L40" s="5"/>
    </row>
    <row r="41" spans="1:12" customHeight="1" ht="105" outlineLevel="4">
      <c r="A41" s="1"/>
      <c r="B41" s="1">
        <v>810910</v>
      </c>
      <c r="C41" s="1" t="s">
        <v>136</v>
      </c>
      <c r="D41" s="1" t="s">
        <v>137</v>
      </c>
      <c r="E41" s="2" t="s">
        <v>138</v>
      </c>
      <c r="F41" s="2" t="s">
        <v>139</v>
      </c>
      <c r="G41" s="2" t="s">
        <v>48</v>
      </c>
      <c r="H41" s="2" t="s">
        <v>25</v>
      </c>
      <c r="I41" s="1">
        <v>0</v>
      </c>
      <c r="J41" s="3" t="s">
        <v>16</v>
      </c>
      <c r="K41" s="2" t="str">
        <f>J41*522.00</f>
        <v>0</v>
      </c>
      <c r="L41" s="5"/>
    </row>
    <row r="42" spans="1:12" customHeight="1" ht="105" outlineLevel="4">
      <c r="A42" s="1"/>
      <c r="B42" s="1">
        <v>810911</v>
      </c>
      <c r="C42" s="1" t="s">
        <v>140</v>
      </c>
      <c r="D42" s="1" t="s">
        <v>141</v>
      </c>
      <c r="E42" s="2" t="s">
        <v>142</v>
      </c>
      <c r="F42" s="2" t="s">
        <v>143</v>
      </c>
      <c r="G42" s="2">
        <v>0</v>
      </c>
      <c r="H42" s="2" t="s">
        <v>25</v>
      </c>
      <c r="I42" s="1">
        <v>0</v>
      </c>
      <c r="J42" s="3" t="s">
        <v>16</v>
      </c>
      <c r="K42" s="2" t="str">
        <f>J42*496.00</f>
        <v>0</v>
      </c>
      <c r="L42" s="5"/>
    </row>
    <row r="43" spans="1:12" customHeight="1" ht="105" outlineLevel="4">
      <c r="A43" s="1"/>
      <c r="B43" s="1">
        <v>810912</v>
      </c>
      <c r="C43" s="1" t="s">
        <v>144</v>
      </c>
      <c r="D43" s="1" t="s">
        <v>145</v>
      </c>
      <c r="E43" s="2" t="s">
        <v>146</v>
      </c>
      <c r="F43" s="2" t="s">
        <v>147</v>
      </c>
      <c r="G43" s="2" t="s">
        <v>33</v>
      </c>
      <c r="H43" s="2" t="s">
        <v>43</v>
      </c>
      <c r="I43" s="1">
        <v>0</v>
      </c>
      <c r="J43" s="3" t="s">
        <v>16</v>
      </c>
      <c r="K43" s="2" t="str">
        <f>J43*504.00</f>
        <v>0</v>
      </c>
      <c r="L43" s="5"/>
    </row>
    <row r="44" spans="1:12" customHeight="1" ht="105" outlineLevel="4">
      <c r="A44" s="1"/>
      <c r="B44" s="1">
        <v>810913</v>
      </c>
      <c r="C44" s="1" t="s">
        <v>148</v>
      </c>
      <c r="D44" s="1" t="s">
        <v>149</v>
      </c>
      <c r="E44" s="2" t="s">
        <v>150</v>
      </c>
      <c r="F44" s="2" t="s">
        <v>151</v>
      </c>
      <c r="G44" s="2" t="s">
        <v>33</v>
      </c>
      <c r="H44" s="2" t="s">
        <v>123</v>
      </c>
      <c r="I44" s="1">
        <v>0</v>
      </c>
      <c r="J44" s="3" t="s">
        <v>16</v>
      </c>
      <c r="K44" s="2" t="str">
        <f>J44*464.00</f>
        <v>0</v>
      </c>
      <c r="L44" s="5"/>
    </row>
    <row r="45" spans="1:12" customHeight="1" ht="105" outlineLevel="4">
      <c r="A45" s="1"/>
      <c r="B45" s="1">
        <v>810914</v>
      </c>
      <c r="C45" s="1" t="s">
        <v>152</v>
      </c>
      <c r="D45" s="1" t="s">
        <v>153</v>
      </c>
      <c r="E45" s="2" t="s">
        <v>154</v>
      </c>
      <c r="F45" s="2" t="s">
        <v>155</v>
      </c>
      <c r="G45" s="2">
        <v>0</v>
      </c>
      <c r="H45" s="2" t="s">
        <v>33</v>
      </c>
      <c r="I45" s="1">
        <v>0</v>
      </c>
      <c r="J45" s="3" t="s">
        <v>16</v>
      </c>
      <c r="K45" s="2" t="str">
        <f>J45*469.00</f>
        <v>0</v>
      </c>
      <c r="L45" s="5"/>
    </row>
    <row r="46" spans="1:12" customHeight="1" ht="105" outlineLevel="4">
      <c r="A46" s="1"/>
      <c r="B46" s="1">
        <v>810915</v>
      </c>
      <c r="C46" s="1" t="s">
        <v>156</v>
      </c>
      <c r="D46" s="1" t="s">
        <v>157</v>
      </c>
      <c r="E46" s="2" t="s">
        <v>158</v>
      </c>
      <c r="F46" s="2" t="s">
        <v>159</v>
      </c>
      <c r="G46" s="2">
        <v>8</v>
      </c>
      <c r="H46" s="2" t="s">
        <v>62</v>
      </c>
      <c r="I46" s="1">
        <v>0</v>
      </c>
      <c r="J46" s="3" t="s">
        <v>16</v>
      </c>
      <c r="K46" s="2" t="str">
        <f>J46*1014.00</f>
        <v>0</v>
      </c>
      <c r="L46" s="5"/>
    </row>
    <row r="47" spans="1:12" customHeight="1" ht="105" outlineLevel="4">
      <c r="A47" s="1"/>
      <c r="B47" s="1">
        <v>810916</v>
      </c>
      <c r="C47" s="1" t="s">
        <v>160</v>
      </c>
      <c r="D47" s="1" t="s">
        <v>161</v>
      </c>
      <c r="E47" s="2" t="s">
        <v>162</v>
      </c>
      <c r="F47" s="2" t="s">
        <v>163</v>
      </c>
      <c r="G47" s="2">
        <v>0</v>
      </c>
      <c r="H47" s="2" t="s">
        <v>33</v>
      </c>
      <c r="I47" s="1">
        <v>0</v>
      </c>
      <c r="J47" s="3" t="s">
        <v>16</v>
      </c>
      <c r="K47" s="2" t="str">
        <f>J47*1338.00</f>
        <v>0</v>
      </c>
      <c r="L47" s="5"/>
    </row>
    <row r="48" spans="1:12" customHeight="1" ht="105" outlineLevel="4">
      <c r="A48" s="1"/>
      <c r="B48" s="1">
        <v>810825</v>
      </c>
      <c r="C48" s="1" t="s">
        <v>164</v>
      </c>
      <c r="D48" s="1" t="s">
        <v>165</v>
      </c>
      <c r="E48" s="2" t="s">
        <v>166</v>
      </c>
      <c r="F48" s="2" t="s">
        <v>167</v>
      </c>
      <c r="G48" s="2" t="s">
        <v>25</v>
      </c>
      <c r="H48" s="2" t="s">
        <v>168</v>
      </c>
      <c r="I48" s="1">
        <v>0</v>
      </c>
      <c r="J48" s="3" t="s">
        <v>16</v>
      </c>
      <c r="K48" s="2" t="str">
        <f>J48*488.00</f>
        <v>0</v>
      </c>
      <c r="L48" s="5"/>
    </row>
    <row r="49" spans="1:12" customHeight="1" ht="105" outlineLevel="4">
      <c r="A49" s="1"/>
      <c r="B49" s="1">
        <v>810826</v>
      </c>
      <c r="C49" s="1" t="s">
        <v>169</v>
      </c>
      <c r="D49" s="1" t="s">
        <v>170</v>
      </c>
      <c r="E49" s="2" t="s">
        <v>171</v>
      </c>
      <c r="F49" s="2" t="s">
        <v>172</v>
      </c>
      <c r="G49" s="2" t="s">
        <v>33</v>
      </c>
      <c r="H49" s="2" t="s">
        <v>43</v>
      </c>
      <c r="I49" s="1">
        <v>0</v>
      </c>
      <c r="J49" s="3" t="s">
        <v>16</v>
      </c>
      <c r="K49" s="2" t="str">
        <f>J49*744.00</f>
        <v>0</v>
      </c>
      <c r="L49" s="5"/>
    </row>
    <row r="50" spans="1:12" customHeight="1" ht="105" outlineLevel="4">
      <c r="A50" s="1"/>
      <c r="B50" s="1">
        <v>810827</v>
      </c>
      <c r="C50" s="1" t="s">
        <v>173</v>
      </c>
      <c r="D50" s="1" t="s">
        <v>174</v>
      </c>
      <c r="E50" s="2" t="s">
        <v>175</v>
      </c>
      <c r="F50" s="2" t="s">
        <v>176</v>
      </c>
      <c r="G50" s="2" t="s">
        <v>48</v>
      </c>
      <c r="H50" s="2" t="s">
        <v>43</v>
      </c>
      <c r="I50" s="1">
        <v>0</v>
      </c>
      <c r="J50" s="3" t="s">
        <v>16</v>
      </c>
      <c r="K50" s="2" t="str">
        <f>J50*1209.00</f>
        <v>0</v>
      </c>
      <c r="L50" s="5"/>
    </row>
    <row r="51" spans="1:12" customHeight="1" ht="105" outlineLevel="4">
      <c r="A51" s="1"/>
      <c r="B51" s="1">
        <v>810828</v>
      </c>
      <c r="C51" s="1" t="s">
        <v>177</v>
      </c>
      <c r="D51" s="1" t="s">
        <v>178</v>
      </c>
      <c r="E51" s="2" t="s">
        <v>179</v>
      </c>
      <c r="F51" s="2" t="s">
        <v>180</v>
      </c>
      <c r="G51" s="2" t="s">
        <v>48</v>
      </c>
      <c r="H51" s="2" t="s">
        <v>43</v>
      </c>
      <c r="I51" s="1">
        <v>0</v>
      </c>
      <c r="J51" s="3" t="s">
        <v>16</v>
      </c>
      <c r="K51" s="2" t="str">
        <f>J51*1889.00</f>
        <v>0</v>
      </c>
      <c r="L51" s="5"/>
    </row>
    <row r="52" spans="1:12" customHeight="1" ht="105" outlineLevel="4">
      <c r="A52" s="1"/>
      <c r="B52" s="1">
        <v>810829</v>
      </c>
      <c r="C52" s="1" t="s">
        <v>181</v>
      </c>
      <c r="D52" s="1" t="s">
        <v>182</v>
      </c>
      <c r="E52" s="2" t="s">
        <v>183</v>
      </c>
      <c r="F52" s="2" t="s">
        <v>184</v>
      </c>
      <c r="G52" s="2" t="s">
        <v>48</v>
      </c>
      <c r="H52" s="2" t="s">
        <v>123</v>
      </c>
      <c r="I52" s="1">
        <v>0</v>
      </c>
      <c r="J52" s="3" t="s">
        <v>16</v>
      </c>
      <c r="K52" s="2" t="str">
        <f>J52*2893.00</f>
        <v>0</v>
      </c>
      <c r="L52" s="5"/>
    </row>
    <row r="53" spans="1:12" customHeight="1" ht="105" outlineLevel="4">
      <c r="A53" s="1"/>
      <c r="B53" s="1">
        <v>810830</v>
      </c>
      <c r="C53" s="1" t="s">
        <v>185</v>
      </c>
      <c r="D53" s="1" t="s">
        <v>186</v>
      </c>
      <c r="E53" s="2" t="s">
        <v>187</v>
      </c>
      <c r="F53" s="2" t="s">
        <v>188</v>
      </c>
      <c r="G53" s="2" t="s">
        <v>48</v>
      </c>
      <c r="H53" s="2" t="s">
        <v>123</v>
      </c>
      <c r="I53" s="1">
        <v>0</v>
      </c>
      <c r="J53" s="3" t="s">
        <v>16</v>
      </c>
      <c r="K53" s="2" t="str">
        <f>J53*4078.00</f>
        <v>0</v>
      </c>
      <c r="L53" s="5"/>
    </row>
    <row r="54" spans="1:12" customHeight="1" ht="105" outlineLevel="4">
      <c r="A54" s="1"/>
      <c r="B54" s="1">
        <v>810831</v>
      </c>
      <c r="C54" s="1" t="s">
        <v>189</v>
      </c>
      <c r="D54" s="1" t="s">
        <v>190</v>
      </c>
      <c r="E54" s="2" t="s">
        <v>191</v>
      </c>
      <c r="F54" s="2" t="s">
        <v>192</v>
      </c>
      <c r="G54" s="2">
        <v>0</v>
      </c>
      <c r="H54" s="2">
        <v>0</v>
      </c>
      <c r="I54" s="1">
        <v>0</v>
      </c>
      <c r="J54" s="3" t="s">
        <v>16</v>
      </c>
      <c r="K54" s="2" t="str">
        <f>J54*10118.00</f>
        <v>0</v>
      </c>
      <c r="L54" s="5"/>
    </row>
    <row r="55" spans="1:12" customHeight="1" ht="105" outlineLevel="4">
      <c r="A55" s="1"/>
      <c r="B55" s="1">
        <v>810832</v>
      </c>
      <c r="C55" s="1" t="s">
        <v>193</v>
      </c>
      <c r="D55" s="1" t="s">
        <v>194</v>
      </c>
      <c r="E55" s="2" t="s">
        <v>195</v>
      </c>
      <c r="F55" s="2" t="s">
        <v>196</v>
      </c>
      <c r="G55" s="2">
        <v>0</v>
      </c>
      <c r="H55" s="2" t="s">
        <v>62</v>
      </c>
      <c r="I55" s="1">
        <v>0</v>
      </c>
      <c r="J55" s="3" t="s">
        <v>16</v>
      </c>
      <c r="K55" s="2" t="str">
        <f>J55*15193.00</f>
        <v>0</v>
      </c>
      <c r="L55" s="5"/>
    </row>
    <row r="56" spans="1:12" customHeight="1" ht="105" outlineLevel="4">
      <c r="A56" s="1"/>
      <c r="B56" s="1">
        <v>810833</v>
      </c>
      <c r="C56" s="1" t="s">
        <v>197</v>
      </c>
      <c r="D56" s="1" t="s">
        <v>198</v>
      </c>
      <c r="E56" s="2" t="s">
        <v>199</v>
      </c>
      <c r="F56" s="2" t="s">
        <v>200</v>
      </c>
      <c r="G56" s="2">
        <v>0</v>
      </c>
      <c r="H56" s="2" t="s">
        <v>48</v>
      </c>
      <c r="I56" s="1">
        <v>0</v>
      </c>
      <c r="J56" s="3" t="s">
        <v>16</v>
      </c>
      <c r="K56" s="2" t="str">
        <f>J56*20679.00</f>
        <v>0</v>
      </c>
      <c r="L56" s="5"/>
    </row>
    <row r="57" spans="1:12" customHeight="1" ht="105" outlineLevel="4">
      <c r="A57" s="1"/>
      <c r="B57" s="1">
        <v>810834</v>
      </c>
      <c r="C57" s="1" t="s">
        <v>201</v>
      </c>
      <c r="D57" s="1" t="s">
        <v>202</v>
      </c>
      <c r="E57" s="2" t="s">
        <v>203</v>
      </c>
      <c r="F57" s="2" t="s">
        <v>204</v>
      </c>
      <c r="G57" s="2" t="s">
        <v>62</v>
      </c>
      <c r="H57" s="2" t="s">
        <v>43</v>
      </c>
      <c r="I57" s="1">
        <v>0</v>
      </c>
      <c r="J57" s="3" t="s">
        <v>16</v>
      </c>
      <c r="K57" s="2" t="str">
        <f>J57*539.00</f>
        <v>0</v>
      </c>
      <c r="L57" s="5"/>
    </row>
    <row r="58" spans="1:12" customHeight="1" ht="105" outlineLevel="4">
      <c r="A58" s="1"/>
      <c r="B58" s="1">
        <v>810835</v>
      </c>
      <c r="C58" s="1" t="s">
        <v>205</v>
      </c>
      <c r="D58" s="1" t="s">
        <v>206</v>
      </c>
      <c r="E58" s="2" t="s">
        <v>207</v>
      </c>
      <c r="F58" s="2" t="s">
        <v>208</v>
      </c>
      <c r="G58" s="2" t="s">
        <v>62</v>
      </c>
      <c r="H58" s="2" t="s">
        <v>43</v>
      </c>
      <c r="I58" s="1">
        <v>0</v>
      </c>
      <c r="J58" s="3" t="s">
        <v>16</v>
      </c>
      <c r="K58" s="2" t="str">
        <f>J58*806.00</f>
        <v>0</v>
      </c>
      <c r="L58" s="5"/>
    </row>
    <row r="59" spans="1:12" customHeight="1" ht="105" outlineLevel="4">
      <c r="A59" s="1"/>
      <c r="B59" s="1">
        <v>810836</v>
      </c>
      <c r="C59" s="1" t="s">
        <v>209</v>
      </c>
      <c r="D59" s="1" t="s">
        <v>210</v>
      </c>
      <c r="E59" s="2" t="s">
        <v>211</v>
      </c>
      <c r="F59" s="2" t="s">
        <v>212</v>
      </c>
      <c r="G59" s="2" t="s">
        <v>62</v>
      </c>
      <c r="H59" s="2" t="s">
        <v>123</v>
      </c>
      <c r="I59" s="1">
        <v>0</v>
      </c>
      <c r="J59" s="3" t="s">
        <v>16</v>
      </c>
      <c r="K59" s="2" t="str">
        <f>J59*1314.00</f>
        <v>0</v>
      </c>
      <c r="L59" s="5"/>
    </row>
    <row r="60" spans="1:12" customHeight="1" ht="105" outlineLevel="4">
      <c r="A60" s="1"/>
      <c r="B60" s="1">
        <v>810837</v>
      </c>
      <c r="C60" s="1" t="s">
        <v>213</v>
      </c>
      <c r="D60" s="1" t="s">
        <v>214</v>
      </c>
      <c r="E60" s="2" t="s">
        <v>215</v>
      </c>
      <c r="F60" s="2" t="s">
        <v>216</v>
      </c>
      <c r="G60" s="2" t="s">
        <v>48</v>
      </c>
      <c r="H60" s="2" t="s">
        <v>123</v>
      </c>
      <c r="I60" s="1">
        <v>0</v>
      </c>
      <c r="J60" s="3" t="s">
        <v>16</v>
      </c>
      <c r="K60" s="2" t="str">
        <f>J60*2321.00</f>
        <v>0</v>
      </c>
      <c r="L60" s="5"/>
    </row>
    <row r="61" spans="1:12" customHeight="1" ht="105" outlineLevel="4">
      <c r="A61" s="1"/>
      <c r="B61" s="1">
        <v>810838</v>
      </c>
      <c r="C61" s="1" t="s">
        <v>217</v>
      </c>
      <c r="D61" s="1" t="s">
        <v>218</v>
      </c>
      <c r="E61" s="2" t="s">
        <v>219</v>
      </c>
      <c r="F61" s="2" t="s">
        <v>220</v>
      </c>
      <c r="G61" s="2">
        <v>10</v>
      </c>
      <c r="H61" s="2" t="s">
        <v>25</v>
      </c>
      <c r="I61" s="1">
        <v>0</v>
      </c>
      <c r="J61" s="3" t="s">
        <v>16</v>
      </c>
      <c r="K61" s="2" t="str">
        <f>J61*3488.00</f>
        <v>0</v>
      </c>
      <c r="L61" s="5"/>
    </row>
    <row r="62" spans="1:12" customHeight="1" ht="105" outlineLevel="4">
      <c r="A62" s="1"/>
      <c r="B62" s="1">
        <v>810839</v>
      </c>
      <c r="C62" s="1" t="s">
        <v>221</v>
      </c>
      <c r="D62" s="1" t="s">
        <v>222</v>
      </c>
      <c r="E62" s="2" t="s">
        <v>223</v>
      </c>
      <c r="F62" s="2" t="s">
        <v>224</v>
      </c>
      <c r="G62" s="2">
        <v>2</v>
      </c>
      <c r="H62" s="2" t="s">
        <v>25</v>
      </c>
      <c r="I62" s="1">
        <v>0</v>
      </c>
      <c r="J62" s="3" t="s">
        <v>16</v>
      </c>
      <c r="K62" s="2" t="str">
        <f>J62*5152.00</f>
        <v>0</v>
      </c>
      <c r="L62" s="5"/>
    </row>
    <row r="63" spans="1:12" customHeight="1" ht="105" outlineLevel="4">
      <c r="A63" s="1"/>
      <c r="B63" s="1">
        <v>810840</v>
      </c>
      <c r="C63" s="1" t="s">
        <v>225</v>
      </c>
      <c r="D63" s="1" t="s">
        <v>226</v>
      </c>
      <c r="E63" s="2" t="s">
        <v>227</v>
      </c>
      <c r="F63" s="2" t="s">
        <v>228</v>
      </c>
      <c r="G63" s="2" t="s">
        <v>123</v>
      </c>
      <c r="H63" s="2" t="s">
        <v>168</v>
      </c>
      <c r="I63" s="1">
        <v>0</v>
      </c>
      <c r="J63" s="3" t="s">
        <v>16</v>
      </c>
      <c r="K63" s="2" t="str">
        <f>J63*439.00</f>
        <v>0</v>
      </c>
      <c r="L63" s="5"/>
    </row>
    <row r="64" spans="1:12" customHeight="1" ht="105" outlineLevel="4">
      <c r="A64" s="1"/>
      <c r="B64" s="1">
        <v>810841</v>
      </c>
      <c r="C64" s="1" t="s">
        <v>229</v>
      </c>
      <c r="D64" s="1" t="s">
        <v>230</v>
      </c>
      <c r="E64" s="2" t="s">
        <v>231</v>
      </c>
      <c r="F64" s="2" t="s">
        <v>232</v>
      </c>
      <c r="G64" s="2" t="s">
        <v>25</v>
      </c>
      <c r="H64" s="2" t="s">
        <v>168</v>
      </c>
      <c r="I64" s="1">
        <v>0</v>
      </c>
      <c r="J64" s="3" t="s">
        <v>16</v>
      </c>
      <c r="K64" s="2" t="str">
        <f>J64*658.00</f>
        <v>0</v>
      </c>
      <c r="L64" s="5"/>
    </row>
    <row r="65" spans="1:12" customHeight="1" ht="105" outlineLevel="4">
      <c r="A65" s="1"/>
      <c r="B65" s="1">
        <v>810842</v>
      </c>
      <c r="C65" s="1" t="s">
        <v>233</v>
      </c>
      <c r="D65" s="1" t="s">
        <v>234</v>
      </c>
      <c r="E65" s="2" t="s">
        <v>235</v>
      </c>
      <c r="F65" s="2" t="s">
        <v>236</v>
      </c>
      <c r="G65" s="2" t="s">
        <v>33</v>
      </c>
      <c r="H65" s="2" t="s">
        <v>43</v>
      </c>
      <c r="I65" s="1">
        <v>0</v>
      </c>
      <c r="J65" s="3" t="s">
        <v>16</v>
      </c>
      <c r="K65" s="2" t="str">
        <f>J65*1111.00</f>
        <v>0</v>
      </c>
      <c r="L65" s="5"/>
    </row>
    <row r="66" spans="1:12" customHeight="1" ht="105" outlineLevel="4">
      <c r="A66" s="1"/>
      <c r="B66" s="1">
        <v>810843</v>
      </c>
      <c r="C66" s="1" t="s">
        <v>237</v>
      </c>
      <c r="D66" s="1" t="s">
        <v>238</v>
      </c>
      <c r="E66" s="2" t="s">
        <v>239</v>
      </c>
      <c r="F66" s="2" t="s">
        <v>240</v>
      </c>
      <c r="G66" s="2" t="s">
        <v>123</v>
      </c>
      <c r="H66" s="2" t="s">
        <v>168</v>
      </c>
      <c r="I66" s="1">
        <v>0</v>
      </c>
      <c r="J66" s="3" t="s">
        <v>16</v>
      </c>
      <c r="K66" s="2" t="str">
        <f>J66*468.00</f>
        <v>0</v>
      </c>
      <c r="L66" s="5"/>
    </row>
    <row r="67" spans="1:12" customHeight="1" ht="105" outlineLevel="4">
      <c r="A67" s="1"/>
      <c r="B67" s="1">
        <v>810844</v>
      </c>
      <c r="C67" s="1" t="s">
        <v>241</v>
      </c>
      <c r="D67" s="1" t="s">
        <v>242</v>
      </c>
      <c r="E67" s="2" t="s">
        <v>243</v>
      </c>
      <c r="F67" s="2" t="s">
        <v>244</v>
      </c>
      <c r="G67" s="2" t="s">
        <v>25</v>
      </c>
      <c r="H67" s="2" t="s">
        <v>43</v>
      </c>
      <c r="I67" s="1">
        <v>0</v>
      </c>
      <c r="J67" s="3" t="s">
        <v>16</v>
      </c>
      <c r="K67" s="2" t="str">
        <f>J67*756.00</f>
        <v>0</v>
      </c>
      <c r="L67" s="5"/>
    </row>
    <row r="68" spans="1:12" customHeight="1" ht="105" outlineLevel="4">
      <c r="A68" s="1"/>
      <c r="B68" s="1">
        <v>810845</v>
      </c>
      <c r="C68" s="1" t="s">
        <v>245</v>
      </c>
      <c r="D68" s="1" t="s">
        <v>246</v>
      </c>
      <c r="E68" s="2" t="s">
        <v>247</v>
      </c>
      <c r="F68" s="2" t="s">
        <v>248</v>
      </c>
      <c r="G68" s="2" t="s">
        <v>62</v>
      </c>
      <c r="H68" s="2" t="s">
        <v>43</v>
      </c>
      <c r="I68" s="1">
        <v>0</v>
      </c>
      <c r="J68" s="3" t="s">
        <v>16</v>
      </c>
      <c r="K68" s="2" t="str">
        <f>J68*1242.00</f>
        <v>0</v>
      </c>
      <c r="L68" s="5"/>
    </row>
    <row r="69" spans="1:12" customHeight="1" ht="105" outlineLevel="4">
      <c r="A69" s="1"/>
      <c r="B69" s="1">
        <v>810846</v>
      </c>
      <c r="C69" s="1" t="s">
        <v>249</v>
      </c>
      <c r="D69" s="1" t="s">
        <v>250</v>
      </c>
      <c r="E69" s="2" t="s">
        <v>251</v>
      </c>
      <c r="F69" s="2" t="s">
        <v>252</v>
      </c>
      <c r="G69" s="2" t="s">
        <v>33</v>
      </c>
      <c r="H69" s="2" t="s">
        <v>43</v>
      </c>
      <c r="I69" s="1">
        <v>0</v>
      </c>
      <c r="J69" s="3" t="s">
        <v>16</v>
      </c>
      <c r="K69" s="2" t="str">
        <f>J69*524.00</f>
        <v>0</v>
      </c>
      <c r="L69" s="5"/>
    </row>
    <row r="70" spans="1:12" customHeight="1" ht="105" outlineLevel="4">
      <c r="A70" s="1"/>
      <c r="B70" s="1">
        <v>810847</v>
      </c>
      <c r="C70" s="1" t="s">
        <v>253</v>
      </c>
      <c r="D70" s="1" t="s">
        <v>254</v>
      </c>
      <c r="E70" s="2" t="s">
        <v>255</v>
      </c>
      <c r="F70" s="2" t="s">
        <v>256</v>
      </c>
      <c r="G70" s="2" t="s">
        <v>62</v>
      </c>
      <c r="H70" s="2" t="s">
        <v>25</v>
      </c>
      <c r="I70" s="1">
        <v>0</v>
      </c>
      <c r="J70" s="3" t="s">
        <v>16</v>
      </c>
      <c r="K70" s="2" t="str">
        <f>J70*830.00</f>
        <v>0</v>
      </c>
      <c r="L70" s="5"/>
    </row>
    <row r="71" spans="1:12" customHeight="1" ht="105" outlineLevel="4">
      <c r="A71" s="1"/>
      <c r="B71" s="1">
        <v>810848</v>
      </c>
      <c r="C71" s="1" t="s">
        <v>257</v>
      </c>
      <c r="D71" s="1" t="s">
        <v>258</v>
      </c>
      <c r="E71" s="2" t="s">
        <v>259</v>
      </c>
      <c r="F71" s="2" t="s">
        <v>260</v>
      </c>
      <c r="G71" s="2" t="s">
        <v>48</v>
      </c>
      <c r="H71" s="2" t="s">
        <v>25</v>
      </c>
      <c r="I71" s="1">
        <v>0</v>
      </c>
      <c r="J71" s="3" t="s">
        <v>16</v>
      </c>
      <c r="K71" s="2" t="str">
        <f>J71*1426.00</f>
        <v>0</v>
      </c>
      <c r="L71" s="5"/>
    </row>
    <row r="72" spans="1:12" customHeight="1" ht="105" outlineLevel="4">
      <c r="A72" s="1"/>
      <c r="B72" s="1">
        <v>810849</v>
      </c>
      <c r="C72" s="1" t="s">
        <v>261</v>
      </c>
      <c r="D72" s="1" t="s">
        <v>262</v>
      </c>
      <c r="E72" s="2" t="s">
        <v>263</v>
      </c>
      <c r="F72" s="2" t="s">
        <v>264</v>
      </c>
      <c r="G72" s="2" t="s">
        <v>48</v>
      </c>
      <c r="H72" s="2" t="s">
        <v>25</v>
      </c>
      <c r="I72" s="1">
        <v>0</v>
      </c>
      <c r="J72" s="3" t="s">
        <v>16</v>
      </c>
      <c r="K72" s="2" t="str">
        <f>J72*413.00</f>
        <v>0</v>
      </c>
      <c r="L72" s="5"/>
    </row>
    <row r="73" spans="1:12" customHeight="1" ht="105" outlineLevel="4">
      <c r="A73" s="1"/>
      <c r="B73" s="1">
        <v>810850</v>
      </c>
      <c r="C73" s="1" t="s">
        <v>265</v>
      </c>
      <c r="D73" s="1" t="s">
        <v>266</v>
      </c>
      <c r="E73" s="2" t="s">
        <v>267</v>
      </c>
      <c r="F73" s="2" t="s">
        <v>268</v>
      </c>
      <c r="G73" s="2" t="s">
        <v>48</v>
      </c>
      <c r="H73" s="2" t="s">
        <v>25</v>
      </c>
      <c r="I73" s="1">
        <v>0</v>
      </c>
      <c r="J73" s="3" t="s">
        <v>16</v>
      </c>
      <c r="K73" s="2" t="str">
        <f>J73*330.00</f>
        <v>0</v>
      </c>
      <c r="L73" s="5"/>
    </row>
    <row r="74" spans="1:12" customHeight="1" ht="105" outlineLevel="4">
      <c r="A74" s="1"/>
      <c r="B74" s="1">
        <v>810851</v>
      </c>
      <c r="C74" s="1" t="s">
        <v>269</v>
      </c>
      <c r="D74" s="1" t="s">
        <v>270</v>
      </c>
      <c r="E74" s="2" t="s">
        <v>271</v>
      </c>
      <c r="F74" s="2" t="s">
        <v>272</v>
      </c>
      <c r="G74" s="2" t="s">
        <v>48</v>
      </c>
      <c r="H74" s="2" t="s">
        <v>25</v>
      </c>
      <c r="I74" s="1">
        <v>0</v>
      </c>
      <c r="J74" s="3" t="s">
        <v>16</v>
      </c>
      <c r="K74" s="2" t="str">
        <f>J74*705.00</f>
        <v>0</v>
      </c>
      <c r="L74" s="5"/>
    </row>
    <row r="75" spans="1:12" customHeight="1" ht="105" outlineLevel="4">
      <c r="A75" s="1"/>
      <c r="B75" s="1">
        <v>810852</v>
      </c>
      <c r="C75" s="1" t="s">
        <v>273</v>
      </c>
      <c r="D75" s="1" t="s">
        <v>274</v>
      </c>
      <c r="E75" s="2" t="s">
        <v>275</v>
      </c>
      <c r="F75" s="2" t="s">
        <v>276</v>
      </c>
      <c r="G75" s="2" t="s">
        <v>48</v>
      </c>
      <c r="H75" s="2" t="s">
        <v>25</v>
      </c>
      <c r="I75" s="1">
        <v>0</v>
      </c>
      <c r="J75" s="3" t="s">
        <v>16</v>
      </c>
      <c r="K75" s="2" t="str">
        <f>J75*1039.00</f>
        <v>0</v>
      </c>
      <c r="L75" s="5"/>
    </row>
    <row r="76" spans="1:12" customHeight="1" ht="105" outlineLevel="4">
      <c r="A76" s="1"/>
      <c r="B76" s="1">
        <v>810853</v>
      </c>
      <c r="C76" s="1" t="s">
        <v>277</v>
      </c>
      <c r="D76" s="1" t="s">
        <v>278</v>
      </c>
      <c r="E76" s="2" t="s">
        <v>279</v>
      </c>
      <c r="F76" s="2" t="s">
        <v>280</v>
      </c>
      <c r="G76" s="2" t="s">
        <v>25</v>
      </c>
      <c r="H76" s="2" t="s">
        <v>168</v>
      </c>
      <c r="I76" s="1">
        <v>0</v>
      </c>
      <c r="J76" s="3" t="s">
        <v>16</v>
      </c>
      <c r="K76" s="2" t="str">
        <f>J76*555.00</f>
        <v>0</v>
      </c>
      <c r="L76" s="5"/>
    </row>
    <row r="77" spans="1:12" customHeight="1" ht="105" outlineLevel="4">
      <c r="A77" s="1"/>
      <c r="B77" s="1">
        <v>810854</v>
      </c>
      <c r="C77" s="1" t="s">
        <v>281</v>
      </c>
      <c r="D77" s="1" t="s">
        <v>282</v>
      </c>
      <c r="E77" s="2" t="s">
        <v>283</v>
      </c>
      <c r="F77" s="2" t="s">
        <v>280</v>
      </c>
      <c r="G77" s="2" t="s">
        <v>33</v>
      </c>
      <c r="H77" s="2" t="s">
        <v>168</v>
      </c>
      <c r="I77" s="1">
        <v>0</v>
      </c>
      <c r="J77" s="3" t="s">
        <v>16</v>
      </c>
      <c r="K77" s="2" t="str">
        <f>J77*555.00</f>
        <v>0</v>
      </c>
      <c r="L77" s="5"/>
    </row>
    <row r="78" spans="1:12" customHeight="1" ht="105" outlineLevel="4">
      <c r="A78" s="1"/>
      <c r="B78" s="1">
        <v>810855</v>
      </c>
      <c r="C78" s="1" t="s">
        <v>284</v>
      </c>
      <c r="D78" s="1" t="s">
        <v>285</v>
      </c>
      <c r="E78" s="2" t="s">
        <v>286</v>
      </c>
      <c r="F78" s="2" t="s">
        <v>42</v>
      </c>
      <c r="G78" s="2" t="s">
        <v>62</v>
      </c>
      <c r="H78" s="2" t="s">
        <v>123</v>
      </c>
      <c r="I78" s="1">
        <v>0</v>
      </c>
      <c r="J78" s="3" t="s">
        <v>16</v>
      </c>
      <c r="K78" s="2" t="str">
        <f>J78*608.00</f>
        <v>0</v>
      </c>
      <c r="L78" s="5"/>
    </row>
    <row r="79" spans="1:12" customHeight="1" ht="105" outlineLevel="4">
      <c r="A79" s="1"/>
      <c r="B79" s="1">
        <v>810856</v>
      </c>
      <c r="C79" s="1" t="s">
        <v>287</v>
      </c>
      <c r="D79" s="1" t="s">
        <v>288</v>
      </c>
      <c r="E79" s="2" t="s">
        <v>289</v>
      </c>
      <c r="F79" s="2" t="s">
        <v>290</v>
      </c>
      <c r="G79" s="2" t="s">
        <v>25</v>
      </c>
      <c r="H79" s="2" t="s">
        <v>168</v>
      </c>
      <c r="I79" s="1">
        <v>0</v>
      </c>
      <c r="J79" s="3" t="s">
        <v>16</v>
      </c>
      <c r="K79" s="2" t="str">
        <f>J79*889.00</f>
        <v>0</v>
      </c>
      <c r="L79" s="5"/>
    </row>
    <row r="80" spans="1:12" customHeight="1" ht="105" outlineLevel="4">
      <c r="A80" s="1"/>
      <c r="B80" s="1">
        <v>810857</v>
      </c>
      <c r="C80" s="1" t="s">
        <v>291</v>
      </c>
      <c r="D80" s="1" t="s">
        <v>292</v>
      </c>
      <c r="E80" s="2" t="s">
        <v>293</v>
      </c>
      <c r="F80" s="2" t="s">
        <v>290</v>
      </c>
      <c r="G80" s="2" t="s">
        <v>25</v>
      </c>
      <c r="H80" s="2" t="s">
        <v>168</v>
      </c>
      <c r="I80" s="1">
        <v>0</v>
      </c>
      <c r="J80" s="3" t="s">
        <v>16</v>
      </c>
      <c r="K80" s="2" t="str">
        <f>J80*889.00</f>
        <v>0</v>
      </c>
      <c r="L80" s="5"/>
    </row>
    <row r="81" spans="1:12" customHeight="1" ht="105" outlineLevel="4">
      <c r="A81" s="1"/>
      <c r="B81" s="1">
        <v>810858</v>
      </c>
      <c r="C81" s="1" t="s">
        <v>294</v>
      </c>
      <c r="D81" s="1" t="s">
        <v>295</v>
      </c>
      <c r="E81" s="2" t="s">
        <v>296</v>
      </c>
      <c r="F81" s="2" t="s">
        <v>297</v>
      </c>
      <c r="G81" s="2" t="s">
        <v>25</v>
      </c>
      <c r="H81" s="2" t="s">
        <v>123</v>
      </c>
      <c r="I81" s="1">
        <v>0</v>
      </c>
      <c r="J81" s="3" t="s">
        <v>16</v>
      </c>
      <c r="K81" s="2" t="str">
        <f>J81*961.00</f>
        <v>0</v>
      </c>
      <c r="L81" s="5"/>
    </row>
    <row r="82" spans="1:12" customHeight="1" ht="105" outlineLevel="4">
      <c r="A82" s="1"/>
      <c r="B82" s="1">
        <v>810859</v>
      </c>
      <c r="C82" s="1" t="s">
        <v>298</v>
      </c>
      <c r="D82" s="1" t="s">
        <v>299</v>
      </c>
      <c r="E82" s="2" t="s">
        <v>300</v>
      </c>
      <c r="F82" s="2" t="s">
        <v>301</v>
      </c>
      <c r="G82" s="2" t="s">
        <v>33</v>
      </c>
      <c r="H82" s="2" t="s">
        <v>43</v>
      </c>
      <c r="I82" s="1">
        <v>0</v>
      </c>
      <c r="J82" s="3" t="s">
        <v>16</v>
      </c>
      <c r="K82" s="2" t="str">
        <f>J82*1942.00</f>
        <v>0</v>
      </c>
      <c r="L82" s="5"/>
    </row>
    <row r="83" spans="1:12" customHeight="1" ht="105" outlineLevel="4">
      <c r="A83" s="1"/>
      <c r="B83" s="1">
        <v>810860</v>
      </c>
      <c r="C83" s="1" t="s">
        <v>302</v>
      </c>
      <c r="D83" s="1" t="s">
        <v>303</v>
      </c>
      <c r="E83" s="2" t="s">
        <v>304</v>
      </c>
      <c r="F83" s="2" t="s">
        <v>305</v>
      </c>
      <c r="G83" s="2" t="s">
        <v>48</v>
      </c>
      <c r="H83" s="2" t="s">
        <v>123</v>
      </c>
      <c r="I83" s="1">
        <v>0</v>
      </c>
      <c r="J83" s="3" t="s">
        <v>16</v>
      </c>
      <c r="K83" s="2" t="str">
        <f>J83*2742.00</f>
        <v>0</v>
      </c>
      <c r="L83" s="5"/>
    </row>
    <row r="84" spans="1:12" customHeight="1" ht="105" outlineLevel="4">
      <c r="A84" s="1"/>
      <c r="B84" s="1">
        <v>810861</v>
      </c>
      <c r="C84" s="1" t="s">
        <v>306</v>
      </c>
      <c r="D84" s="1" t="s">
        <v>307</v>
      </c>
      <c r="E84" s="2" t="s">
        <v>308</v>
      </c>
      <c r="F84" s="2" t="s">
        <v>309</v>
      </c>
      <c r="G84" s="2" t="s">
        <v>33</v>
      </c>
      <c r="H84" s="2" t="s">
        <v>123</v>
      </c>
      <c r="I84" s="1">
        <v>0</v>
      </c>
      <c r="J84" s="3" t="s">
        <v>16</v>
      </c>
      <c r="K84" s="2" t="str">
        <f>J84*781.00</f>
        <v>0</v>
      </c>
      <c r="L84" s="5"/>
    </row>
    <row r="85" spans="1:12" customHeight="1" ht="105" outlineLevel="4">
      <c r="A85" s="1"/>
      <c r="B85" s="1">
        <v>810862</v>
      </c>
      <c r="C85" s="1" t="s">
        <v>310</v>
      </c>
      <c r="D85" s="1" t="s">
        <v>311</v>
      </c>
      <c r="E85" s="2" t="s">
        <v>312</v>
      </c>
      <c r="F85" s="2" t="s">
        <v>309</v>
      </c>
      <c r="G85" s="2" t="s">
        <v>48</v>
      </c>
      <c r="H85" s="2" t="s">
        <v>123</v>
      </c>
      <c r="I85" s="1">
        <v>0</v>
      </c>
      <c r="J85" s="3" t="s">
        <v>16</v>
      </c>
      <c r="K85" s="2" t="str">
        <f>J85*781.00</f>
        <v>0</v>
      </c>
      <c r="L85" s="5"/>
    </row>
    <row r="86" spans="1:12" customHeight="1" ht="105" outlineLevel="4">
      <c r="A86" s="1"/>
      <c r="B86" s="1">
        <v>810863</v>
      </c>
      <c r="C86" s="1" t="s">
        <v>313</v>
      </c>
      <c r="D86" s="1" t="s">
        <v>314</v>
      </c>
      <c r="E86" s="2" t="s">
        <v>315</v>
      </c>
      <c r="F86" s="2" t="s">
        <v>316</v>
      </c>
      <c r="G86" s="2">
        <v>0</v>
      </c>
      <c r="H86" s="2" t="s">
        <v>33</v>
      </c>
      <c r="I86" s="1">
        <v>0</v>
      </c>
      <c r="J86" s="3" t="s">
        <v>16</v>
      </c>
      <c r="K86" s="2" t="str">
        <f>J86*843.00</f>
        <v>0</v>
      </c>
      <c r="L86" s="5"/>
    </row>
    <row r="87" spans="1:12" customHeight="1" ht="105" outlineLevel="4">
      <c r="A87" s="1"/>
      <c r="B87" s="1">
        <v>810864</v>
      </c>
      <c r="C87" s="1" t="s">
        <v>317</v>
      </c>
      <c r="D87" s="1" t="s">
        <v>318</v>
      </c>
      <c r="E87" s="2" t="s">
        <v>319</v>
      </c>
      <c r="F87" s="2" t="s">
        <v>320</v>
      </c>
      <c r="G87" s="2" t="s">
        <v>48</v>
      </c>
      <c r="H87" s="2" t="s">
        <v>123</v>
      </c>
      <c r="I87" s="1">
        <v>0</v>
      </c>
      <c r="J87" s="3" t="s">
        <v>16</v>
      </c>
      <c r="K87" s="2" t="str">
        <f>J87*1271.00</f>
        <v>0</v>
      </c>
      <c r="L87" s="5"/>
    </row>
    <row r="88" spans="1:12" customHeight="1" ht="105" outlineLevel="4">
      <c r="A88" s="1"/>
      <c r="B88" s="1">
        <v>810865</v>
      </c>
      <c r="C88" s="1" t="s">
        <v>321</v>
      </c>
      <c r="D88" s="1" t="s">
        <v>322</v>
      </c>
      <c r="E88" s="2" t="s">
        <v>323</v>
      </c>
      <c r="F88" s="2" t="s">
        <v>320</v>
      </c>
      <c r="G88" s="2">
        <v>4</v>
      </c>
      <c r="H88" s="2" t="s">
        <v>25</v>
      </c>
      <c r="I88" s="1">
        <v>0</v>
      </c>
      <c r="J88" s="3" t="s">
        <v>16</v>
      </c>
      <c r="K88" s="2" t="str">
        <f>J88*1271.00</f>
        <v>0</v>
      </c>
      <c r="L88" s="5"/>
    </row>
    <row r="89" spans="1:12" customHeight="1" ht="105" outlineLevel="4">
      <c r="A89" s="1"/>
      <c r="B89" s="1">
        <v>810866</v>
      </c>
      <c r="C89" s="1" t="s">
        <v>324</v>
      </c>
      <c r="D89" s="1" t="s">
        <v>325</v>
      </c>
      <c r="E89" s="2" t="s">
        <v>326</v>
      </c>
      <c r="F89" s="2" t="s">
        <v>327</v>
      </c>
      <c r="G89" s="2">
        <v>0</v>
      </c>
      <c r="H89" s="2" t="s">
        <v>25</v>
      </c>
      <c r="I89" s="1">
        <v>0</v>
      </c>
      <c r="J89" s="3" t="s">
        <v>16</v>
      </c>
      <c r="K89" s="2" t="str">
        <f>J89*1336.00</f>
        <v>0</v>
      </c>
      <c r="L89" s="5"/>
    </row>
    <row r="90" spans="1:12" customHeight="1" ht="105" outlineLevel="4">
      <c r="A90" s="1"/>
      <c r="B90" s="1">
        <v>810867</v>
      </c>
      <c r="C90" s="1" t="s">
        <v>328</v>
      </c>
      <c r="D90" s="1" t="s">
        <v>329</v>
      </c>
      <c r="E90" s="2" t="s">
        <v>330</v>
      </c>
      <c r="F90" s="2" t="s">
        <v>331</v>
      </c>
      <c r="G90" s="2">
        <v>6</v>
      </c>
      <c r="H90" s="2" t="s">
        <v>25</v>
      </c>
      <c r="I90" s="1">
        <v>0</v>
      </c>
      <c r="J90" s="3" t="s">
        <v>16</v>
      </c>
      <c r="K90" s="2" t="str">
        <f>J90*2070.00</f>
        <v>0</v>
      </c>
      <c r="L90" s="5"/>
    </row>
    <row r="91" spans="1:12" customHeight="1" ht="105" outlineLevel="4">
      <c r="A91" s="1"/>
      <c r="B91" s="1">
        <v>810868</v>
      </c>
      <c r="C91" s="1" t="s">
        <v>332</v>
      </c>
      <c r="D91" s="1" t="s">
        <v>333</v>
      </c>
      <c r="E91" s="2" t="s">
        <v>334</v>
      </c>
      <c r="F91" s="2" t="s">
        <v>335</v>
      </c>
      <c r="G91" s="2" t="s">
        <v>33</v>
      </c>
      <c r="H91" s="2" t="s">
        <v>123</v>
      </c>
      <c r="I91" s="1">
        <v>0</v>
      </c>
      <c r="J91" s="3" t="s">
        <v>16</v>
      </c>
      <c r="K91" s="2" t="str">
        <f>J91*538.00</f>
        <v>0</v>
      </c>
      <c r="L91" s="5"/>
    </row>
    <row r="92" spans="1:12" customHeight="1" ht="105" outlineLevel="4">
      <c r="A92" s="1"/>
      <c r="B92" s="1">
        <v>810869</v>
      </c>
      <c r="C92" s="1" t="s">
        <v>336</v>
      </c>
      <c r="D92" s="1" t="s">
        <v>337</v>
      </c>
      <c r="E92" s="2" t="s">
        <v>338</v>
      </c>
      <c r="F92" s="2" t="s">
        <v>339</v>
      </c>
      <c r="G92" s="2" t="s">
        <v>25</v>
      </c>
      <c r="H92" s="2" t="s">
        <v>25</v>
      </c>
      <c r="I92" s="1">
        <v>0</v>
      </c>
      <c r="J92" s="3" t="s">
        <v>16</v>
      </c>
      <c r="K92" s="2" t="str">
        <f>J92*419.00</f>
        <v>0</v>
      </c>
      <c r="L92" s="5"/>
    </row>
    <row r="93" spans="1:12" customHeight="1" ht="105" outlineLevel="4">
      <c r="A93" s="1"/>
      <c r="B93" s="1">
        <v>810870</v>
      </c>
      <c r="C93" s="1" t="s">
        <v>340</v>
      </c>
      <c r="D93" s="1" t="s">
        <v>341</v>
      </c>
      <c r="E93" s="2" t="s">
        <v>342</v>
      </c>
      <c r="F93" s="2" t="s">
        <v>343</v>
      </c>
      <c r="G93" s="2" t="s">
        <v>25</v>
      </c>
      <c r="H93" s="2" t="s">
        <v>25</v>
      </c>
      <c r="I93" s="1">
        <v>0</v>
      </c>
      <c r="J93" s="3" t="s">
        <v>16</v>
      </c>
      <c r="K93" s="2" t="str">
        <f>J93*455.00</f>
        <v>0</v>
      </c>
      <c r="L93" s="5"/>
    </row>
    <row r="94" spans="1:12" customHeight="1" ht="105" outlineLevel="4">
      <c r="A94" s="1"/>
      <c r="B94" s="1">
        <v>810871</v>
      </c>
      <c r="C94" s="1" t="s">
        <v>344</v>
      </c>
      <c r="D94" s="1" t="s">
        <v>345</v>
      </c>
      <c r="E94" s="2" t="s">
        <v>346</v>
      </c>
      <c r="F94" s="2" t="s">
        <v>347</v>
      </c>
      <c r="G94" s="2">
        <v>7</v>
      </c>
      <c r="H94" s="2" t="s">
        <v>123</v>
      </c>
      <c r="I94" s="1">
        <v>0</v>
      </c>
      <c r="J94" s="3" t="s">
        <v>16</v>
      </c>
      <c r="K94" s="2" t="str">
        <f>J94*635.00</f>
        <v>0</v>
      </c>
      <c r="L94" s="5"/>
    </row>
    <row r="95" spans="1:12" customHeight="1" ht="105" outlineLevel="4">
      <c r="A95" s="1"/>
      <c r="B95" s="1">
        <v>810872</v>
      </c>
      <c r="C95" s="1" t="s">
        <v>348</v>
      </c>
      <c r="D95" s="1" t="s">
        <v>349</v>
      </c>
      <c r="E95" s="2" t="s">
        <v>350</v>
      </c>
      <c r="F95" s="2" t="s">
        <v>351</v>
      </c>
      <c r="G95" s="2" t="s">
        <v>48</v>
      </c>
      <c r="H95" s="2" t="s">
        <v>25</v>
      </c>
      <c r="I95" s="1">
        <v>0</v>
      </c>
      <c r="J95" s="3" t="s">
        <v>16</v>
      </c>
      <c r="K95" s="2" t="str">
        <f>J95*945.00</f>
        <v>0</v>
      </c>
      <c r="L95" s="5"/>
    </row>
    <row r="96" spans="1:12" customHeight="1" ht="105" outlineLevel="4">
      <c r="A96" s="1"/>
      <c r="B96" s="1">
        <v>810873</v>
      </c>
      <c r="C96" s="1" t="s">
        <v>352</v>
      </c>
      <c r="D96" s="1" t="s">
        <v>353</v>
      </c>
      <c r="E96" s="2" t="s">
        <v>354</v>
      </c>
      <c r="F96" s="2" t="s">
        <v>355</v>
      </c>
      <c r="G96" s="2" t="s">
        <v>62</v>
      </c>
      <c r="H96" s="2" t="s">
        <v>43</v>
      </c>
      <c r="I96" s="1">
        <v>0</v>
      </c>
      <c r="J96" s="3" t="s">
        <v>16</v>
      </c>
      <c r="K96" s="2" t="str">
        <f>J96*731.00</f>
        <v>0</v>
      </c>
      <c r="L96" s="5"/>
    </row>
    <row r="97" spans="1:12" customHeight="1" ht="105" outlineLevel="4">
      <c r="A97" s="1"/>
      <c r="B97" s="1">
        <v>810874</v>
      </c>
      <c r="C97" s="1" t="s">
        <v>356</v>
      </c>
      <c r="D97" s="1" t="s">
        <v>357</v>
      </c>
      <c r="E97" s="2" t="s">
        <v>358</v>
      </c>
      <c r="F97" s="2" t="s">
        <v>359</v>
      </c>
      <c r="G97" s="2">
        <v>0</v>
      </c>
      <c r="H97" s="2" t="s">
        <v>62</v>
      </c>
      <c r="I97" s="1">
        <v>0</v>
      </c>
      <c r="J97" s="3" t="s">
        <v>16</v>
      </c>
      <c r="K97" s="2" t="str">
        <f>J97*1072.00</f>
        <v>0</v>
      </c>
      <c r="L97" s="5"/>
    </row>
    <row r="98" spans="1:12" customHeight="1" ht="105" outlineLevel="4">
      <c r="A98" s="1"/>
      <c r="B98" s="1">
        <v>810875</v>
      </c>
      <c r="C98" s="1" t="s">
        <v>360</v>
      </c>
      <c r="D98" s="1" t="s">
        <v>361</v>
      </c>
      <c r="E98" s="2" t="s">
        <v>362</v>
      </c>
      <c r="F98" s="2" t="s">
        <v>363</v>
      </c>
      <c r="G98" s="2">
        <v>4</v>
      </c>
      <c r="H98" s="2" t="s">
        <v>25</v>
      </c>
      <c r="I98" s="1">
        <v>0</v>
      </c>
      <c r="J98" s="3" t="s">
        <v>16</v>
      </c>
      <c r="K98" s="2" t="str">
        <f>J98*1597.00</f>
        <v>0</v>
      </c>
      <c r="L98" s="5"/>
    </row>
    <row r="99" spans="1:12" customHeight="1" ht="105" outlineLevel="4">
      <c r="A99" s="1"/>
      <c r="B99" s="1">
        <v>810876</v>
      </c>
      <c r="C99" s="1" t="s">
        <v>364</v>
      </c>
      <c r="D99" s="1" t="s">
        <v>365</v>
      </c>
      <c r="E99" s="2" t="s">
        <v>366</v>
      </c>
      <c r="F99" s="2" t="s">
        <v>367</v>
      </c>
      <c r="G99" s="2">
        <v>3</v>
      </c>
      <c r="H99" s="2" t="s">
        <v>62</v>
      </c>
      <c r="I99" s="1">
        <v>0</v>
      </c>
      <c r="J99" s="3" t="s">
        <v>16</v>
      </c>
      <c r="K99" s="2" t="str">
        <f>J99*990.00</f>
        <v>0</v>
      </c>
      <c r="L99" s="5"/>
    </row>
    <row r="100" spans="1:12" customHeight="1" ht="105" outlineLevel="4">
      <c r="A100" s="1"/>
      <c r="B100" s="1">
        <v>810877</v>
      </c>
      <c r="C100" s="1" t="s">
        <v>368</v>
      </c>
      <c r="D100" s="1" t="s">
        <v>369</v>
      </c>
      <c r="E100" s="2" t="s">
        <v>370</v>
      </c>
      <c r="F100" s="2" t="s">
        <v>371</v>
      </c>
      <c r="G100" s="2">
        <v>1</v>
      </c>
      <c r="H100" s="2" t="s">
        <v>33</v>
      </c>
      <c r="I100" s="1">
        <v>0</v>
      </c>
      <c r="J100" s="3" t="s">
        <v>16</v>
      </c>
      <c r="K100" s="2" t="str">
        <f>J100*715.00</f>
        <v>0</v>
      </c>
      <c r="L100" s="5"/>
    </row>
    <row r="101" spans="1:12" customHeight="1" ht="105" outlineLevel="4">
      <c r="A101" s="1"/>
      <c r="B101" s="1">
        <v>810878</v>
      </c>
      <c r="C101" s="1" t="s">
        <v>372</v>
      </c>
      <c r="D101" s="1" t="s">
        <v>373</v>
      </c>
      <c r="E101" s="2" t="s">
        <v>374</v>
      </c>
      <c r="F101" s="2" t="s">
        <v>375</v>
      </c>
      <c r="G101" s="2">
        <v>0</v>
      </c>
      <c r="H101" s="2">
        <v>0</v>
      </c>
      <c r="I101" s="1">
        <v>0</v>
      </c>
      <c r="J101" s="3" t="s">
        <v>16</v>
      </c>
      <c r="K101" s="2" t="str">
        <f>J101*948.00</f>
        <v>0</v>
      </c>
      <c r="L101" s="5"/>
    </row>
    <row r="102" spans="1:12" customHeight="1" ht="105" outlineLevel="4">
      <c r="A102" s="1"/>
      <c r="B102" s="1">
        <v>810879</v>
      </c>
      <c r="C102" s="1" t="s">
        <v>376</v>
      </c>
      <c r="D102" s="1" t="s">
        <v>377</v>
      </c>
      <c r="E102" s="2" t="s">
        <v>378</v>
      </c>
      <c r="F102" s="2" t="s">
        <v>379</v>
      </c>
      <c r="G102" s="2">
        <v>0</v>
      </c>
      <c r="H102" s="2" t="s">
        <v>33</v>
      </c>
      <c r="I102" s="1">
        <v>0</v>
      </c>
      <c r="J102" s="3" t="s">
        <v>16</v>
      </c>
      <c r="K102" s="2" t="str">
        <f>J102*697.00</f>
        <v>0</v>
      </c>
      <c r="L102" s="5"/>
    </row>
    <row r="103" spans="1:12" customHeight="1" ht="105" outlineLevel="4">
      <c r="A103" s="1"/>
      <c r="B103" s="1">
        <v>810880</v>
      </c>
      <c r="C103" s="1" t="s">
        <v>380</v>
      </c>
      <c r="D103" s="1" t="s">
        <v>381</v>
      </c>
      <c r="E103" s="2" t="s">
        <v>382</v>
      </c>
      <c r="F103" s="2" t="s">
        <v>383</v>
      </c>
      <c r="G103" s="2">
        <v>0</v>
      </c>
      <c r="H103" s="2" t="s">
        <v>62</v>
      </c>
      <c r="I103" s="1">
        <v>0</v>
      </c>
      <c r="J103" s="3" t="s">
        <v>16</v>
      </c>
      <c r="K103" s="2" t="str">
        <f>J103*877.00</f>
        <v>0</v>
      </c>
      <c r="L103" s="5"/>
    </row>
    <row r="104" spans="1:12" customHeight="1" ht="105" outlineLevel="4">
      <c r="A104" s="1"/>
      <c r="B104" s="1">
        <v>810881</v>
      </c>
      <c r="C104" s="1" t="s">
        <v>384</v>
      </c>
      <c r="D104" s="1" t="s">
        <v>385</v>
      </c>
      <c r="E104" s="2" t="s">
        <v>386</v>
      </c>
      <c r="F104" s="2" t="s">
        <v>387</v>
      </c>
      <c r="G104" s="2">
        <v>0</v>
      </c>
      <c r="H104" s="2" t="s">
        <v>25</v>
      </c>
      <c r="I104" s="1">
        <v>0</v>
      </c>
      <c r="J104" s="3" t="s">
        <v>16</v>
      </c>
      <c r="K104" s="2" t="str">
        <f>J104*680.00</f>
        <v>0</v>
      </c>
      <c r="L104" s="5"/>
    </row>
    <row r="105" spans="1:12" customHeight="1" ht="105" outlineLevel="4">
      <c r="A105" s="1"/>
      <c r="B105" s="1">
        <v>810882</v>
      </c>
      <c r="C105" s="1" t="s">
        <v>388</v>
      </c>
      <c r="D105" s="1" t="s">
        <v>389</v>
      </c>
      <c r="E105" s="2" t="s">
        <v>390</v>
      </c>
      <c r="F105" s="2" t="s">
        <v>391</v>
      </c>
      <c r="G105" s="2">
        <v>0</v>
      </c>
      <c r="H105" s="2" t="s">
        <v>25</v>
      </c>
      <c r="I105" s="1">
        <v>0</v>
      </c>
      <c r="J105" s="3" t="s">
        <v>16</v>
      </c>
      <c r="K105" s="2" t="str">
        <f>J105*934.00</f>
        <v>0</v>
      </c>
      <c r="L105" s="5"/>
    </row>
    <row r="106" spans="1:12" customHeight="1" ht="105" outlineLevel="4">
      <c r="A106" s="1"/>
      <c r="B106" s="1">
        <v>810883</v>
      </c>
      <c r="C106" s="1" t="s">
        <v>392</v>
      </c>
      <c r="D106" s="1" t="s">
        <v>393</v>
      </c>
      <c r="E106" s="2" t="s">
        <v>394</v>
      </c>
      <c r="F106" s="2" t="s">
        <v>395</v>
      </c>
      <c r="G106" s="2">
        <v>0</v>
      </c>
      <c r="H106" s="2" t="s">
        <v>33</v>
      </c>
      <c r="I106" s="1">
        <v>0</v>
      </c>
      <c r="J106" s="3" t="s">
        <v>16</v>
      </c>
      <c r="K106" s="2" t="str">
        <f>J106*1582.00</f>
        <v>0</v>
      </c>
      <c r="L106" s="5"/>
    </row>
    <row r="107" spans="1:12" customHeight="1" ht="105" outlineLevel="4">
      <c r="A107" s="1"/>
      <c r="B107" s="1">
        <v>810884</v>
      </c>
      <c r="C107" s="1" t="s">
        <v>396</v>
      </c>
      <c r="D107" s="1" t="s">
        <v>397</v>
      </c>
      <c r="E107" s="2" t="s">
        <v>398</v>
      </c>
      <c r="F107" s="2" t="s">
        <v>232</v>
      </c>
      <c r="G107" s="2">
        <v>0</v>
      </c>
      <c r="H107" s="2" t="s">
        <v>25</v>
      </c>
      <c r="I107" s="1">
        <v>0</v>
      </c>
      <c r="J107" s="3" t="s">
        <v>16</v>
      </c>
      <c r="K107" s="2" t="str">
        <f>J107*658.00</f>
        <v>0</v>
      </c>
      <c r="L107" s="5"/>
    </row>
    <row r="108" spans="1:12" customHeight="1" ht="105" outlineLevel="4">
      <c r="A108" s="1"/>
      <c r="B108" s="1">
        <v>810885</v>
      </c>
      <c r="C108" s="1" t="s">
        <v>399</v>
      </c>
      <c r="D108" s="1" t="s">
        <v>400</v>
      </c>
      <c r="E108" s="2" t="s">
        <v>401</v>
      </c>
      <c r="F108" s="2" t="s">
        <v>402</v>
      </c>
      <c r="G108" s="2">
        <v>0</v>
      </c>
      <c r="H108" s="2" t="s">
        <v>33</v>
      </c>
      <c r="I108" s="1">
        <v>0</v>
      </c>
      <c r="J108" s="3" t="s">
        <v>16</v>
      </c>
      <c r="K108" s="2" t="str">
        <f>J108*710.00</f>
        <v>0</v>
      </c>
      <c r="L108" s="5"/>
    </row>
    <row r="109" spans="1:12" customHeight="1" ht="105" outlineLevel="4">
      <c r="A109" s="1"/>
      <c r="B109" s="1">
        <v>810886</v>
      </c>
      <c r="C109" s="1" t="s">
        <v>403</v>
      </c>
      <c r="D109" s="1" t="s">
        <v>404</v>
      </c>
      <c r="E109" s="2" t="s">
        <v>405</v>
      </c>
      <c r="F109" s="2" t="s">
        <v>406</v>
      </c>
      <c r="G109" s="2">
        <v>0</v>
      </c>
      <c r="H109" s="2" t="s">
        <v>25</v>
      </c>
      <c r="I109" s="1">
        <v>0</v>
      </c>
      <c r="J109" s="3" t="s">
        <v>16</v>
      </c>
      <c r="K109" s="2" t="str">
        <f>J109*963.00</f>
        <v>0</v>
      </c>
      <c r="L109" s="5"/>
    </row>
    <row r="110" spans="1:12" customHeight="1" ht="105" outlineLevel="4">
      <c r="A110" s="1"/>
      <c r="B110" s="1">
        <v>810887</v>
      </c>
      <c r="C110" s="1" t="s">
        <v>407</v>
      </c>
      <c r="D110" s="1" t="s">
        <v>408</v>
      </c>
      <c r="E110" s="2" t="s">
        <v>409</v>
      </c>
      <c r="F110" s="2" t="s">
        <v>410</v>
      </c>
      <c r="G110" s="2">
        <v>0</v>
      </c>
      <c r="H110" s="2" t="s">
        <v>25</v>
      </c>
      <c r="I110" s="1">
        <v>0</v>
      </c>
      <c r="J110" s="3" t="s">
        <v>16</v>
      </c>
      <c r="K110" s="2" t="str">
        <f>J110*1629.00</f>
        <v>0</v>
      </c>
      <c r="L110" s="5"/>
    </row>
    <row r="111" spans="1:12" customHeight="1" ht="105" outlineLevel="4">
      <c r="A111" s="1"/>
      <c r="B111" s="1">
        <v>810888</v>
      </c>
      <c r="C111" s="1" t="s">
        <v>411</v>
      </c>
      <c r="D111" s="1" t="s">
        <v>412</v>
      </c>
      <c r="E111" s="2" t="s">
        <v>413</v>
      </c>
      <c r="F111" s="2" t="s">
        <v>256</v>
      </c>
      <c r="G111" s="2" t="s">
        <v>48</v>
      </c>
      <c r="H111" s="2" t="s">
        <v>25</v>
      </c>
      <c r="I111" s="1">
        <v>0</v>
      </c>
      <c r="J111" s="3" t="s">
        <v>16</v>
      </c>
      <c r="K111" s="2" t="str">
        <f>J111*830.00</f>
        <v>0</v>
      </c>
      <c r="L111" s="5"/>
    </row>
    <row r="112" spans="1:12" customHeight="1" ht="105" outlineLevel="4">
      <c r="A112" s="1"/>
      <c r="B112" s="1">
        <v>810889</v>
      </c>
      <c r="C112" s="1" t="s">
        <v>414</v>
      </c>
      <c r="D112" s="1" t="s">
        <v>415</v>
      </c>
      <c r="E112" s="2" t="s">
        <v>416</v>
      </c>
      <c r="F112" s="2" t="s">
        <v>417</v>
      </c>
      <c r="G112" s="2">
        <v>7</v>
      </c>
      <c r="H112" s="2" t="s">
        <v>25</v>
      </c>
      <c r="I112" s="1">
        <v>0</v>
      </c>
      <c r="J112" s="3" t="s">
        <v>16</v>
      </c>
      <c r="K112" s="2" t="str">
        <f>J112*1473.00</f>
        <v>0</v>
      </c>
      <c r="L112" s="5"/>
    </row>
    <row r="113" spans="1:12" customHeight="1" ht="105" outlineLevel="4">
      <c r="A113" s="1"/>
      <c r="B113" s="1">
        <v>810890</v>
      </c>
      <c r="C113" s="1" t="s">
        <v>418</v>
      </c>
      <c r="D113" s="1" t="s">
        <v>419</v>
      </c>
      <c r="E113" s="2" t="s">
        <v>420</v>
      </c>
      <c r="F113" s="2" t="s">
        <v>421</v>
      </c>
      <c r="G113" s="2" t="s">
        <v>62</v>
      </c>
      <c r="H113" s="2" t="s">
        <v>123</v>
      </c>
      <c r="I113" s="1">
        <v>0</v>
      </c>
      <c r="J113" s="3" t="s">
        <v>16</v>
      </c>
      <c r="K113" s="2" t="str">
        <f>J113*761.00</f>
        <v>0</v>
      </c>
      <c r="L113" s="5"/>
    </row>
    <row r="114" spans="1:12" customHeight="1" ht="105" outlineLevel="4">
      <c r="A114" s="1"/>
      <c r="B114" s="1">
        <v>810891</v>
      </c>
      <c r="C114" s="1" t="s">
        <v>422</v>
      </c>
      <c r="D114" s="1" t="s">
        <v>423</v>
      </c>
      <c r="E114" s="2" t="s">
        <v>424</v>
      </c>
      <c r="F114" s="2" t="s">
        <v>425</v>
      </c>
      <c r="G114" s="2">
        <v>7</v>
      </c>
      <c r="H114" s="2" t="s">
        <v>62</v>
      </c>
      <c r="I114" s="1">
        <v>0</v>
      </c>
      <c r="J114" s="3" t="s">
        <v>16</v>
      </c>
      <c r="K114" s="2" t="str">
        <f>J114*1081.00</f>
        <v>0</v>
      </c>
      <c r="L114" s="5"/>
    </row>
    <row r="115" spans="1:12" customHeight="1" ht="105" outlineLevel="4">
      <c r="A115" s="1"/>
      <c r="B115" s="1">
        <v>810892</v>
      </c>
      <c r="C115" s="1" t="s">
        <v>426</v>
      </c>
      <c r="D115" s="1" t="s">
        <v>427</v>
      </c>
      <c r="E115" s="2" t="s">
        <v>428</v>
      </c>
      <c r="F115" s="2" t="s">
        <v>429</v>
      </c>
      <c r="G115" s="2">
        <v>0</v>
      </c>
      <c r="H115" s="2" t="s">
        <v>48</v>
      </c>
      <c r="I115" s="1">
        <v>0</v>
      </c>
      <c r="J115" s="3" t="s">
        <v>16</v>
      </c>
      <c r="K115" s="2" t="str">
        <f>J115*1959.00</f>
        <v>0</v>
      </c>
      <c r="L115" s="5"/>
    </row>
    <row r="116" spans="1:12" customHeight="1" ht="105" outlineLevel="4">
      <c r="A116" s="1"/>
      <c r="B116" s="1">
        <v>810893</v>
      </c>
      <c r="C116" s="1" t="s">
        <v>430</v>
      </c>
      <c r="D116" s="1" t="s">
        <v>431</v>
      </c>
      <c r="E116" s="2" t="s">
        <v>432</v>
      </c>
      <c r="F116" s="2" t="s">
        <v>433</v>
      </c>
      <c r="G116" s="2">
        <v>2</v>
      </c>
      <c r="H116" s="2">
        <v>0</v>
      </c>
      <c r="I116" s="1">
        <v>0</v>
      </c>
      <c r="J116" s="3" t="s">
        <v>16</v>
      </c>
      <c r="K116" s="2" t="str">
        <f>J116*1937.00</f>
        <v>0</v>
      </c>
      <c r="L116" s="5"/>
    </row>
    <row r="117" spans="1:12" customHeight="1" ht="105" outlineLevel="4">
      <c r="A117" s="1"/>
      <c r="B117" s="1">
        <v>810894</v>
      </c>
      <c r="C117" s="1" t="s">
        <v>434</v>
      </c>
      <c r="D117" s="1" t="s">
        <v>435</v>
      </c>
      <c r="E117" s="2" t="s">
        <v>436</v>
      </c>
      <c r="F117" s="2" t="s">
        <v>433</v>
      </c>
      <c r="G117" s="2">
        <v>1</v>
      </c>
      <c r="H117" s="2">
        <v>0</v>
      </c>
      <c r="I117" s="1">
        <v>0</v>
      </c>
      <c r="J117" s="3" t="s">
        <v>16</v>
      </c>
      <c r="K117" s="2" t="str">
        <f>J117*1937.00</f>
        <v>0</v>
      </c>
      <c r="L117" s="5"/>
    </row>
    <row r="118" spans="1:12" customHeight="1" ht="105" outlineLevel="4">
      <c r="A118" s="1"/>
      <c r="B118" s="1">
        <v>810895</v>
      </c>
      <c r="C118" s="1" t="s">
        <v>437</v>
      </c>
      <c r="D118" s="1" t="s">
        <v>438</v>
      </c>
      <c r="E118" s="2" t="s">
        <v>439</v>
      </c>
      <c r="F118" s="2" t="s">
        <v>440</v>
      </c>
      <c r="G118" s="2" t="s">
        <v>48</v>
      </c>
      <c r="H118" s="2" t="s">
        <v>25</v>
      </c>
      <c r="I118" s="1">
        <v>0</v>
      </c>
      <c r="J118" s="3" t="s">
        <v>16</v>
      </c>
      <c r="K118" s="2" t="str">
        <f>J118*460.00</f>
        <v>0</v>
      </c>
      <c r="L118" s="5"/>
    </row>
    <row r="119" spans="1:12" customHeight="1" ht="105" outlineLevel="4">
      <c r="A119" s="1"/>
      <c r="B119" s="1">
        <v>810896</v>
      </c>
      <c r="C119" s="1" t="s">
        <v>441</v>
      </c>
      <c r="D119" s="1" t="s">
        <v>442</v>
      </c>
      <c r="E119" s="2" t="s">
        <v>443</v>
      </c>
      <c r="F119" s="2" t="s">
        <v>444</v>
      </c>
      <c r="G119" s="2" t="s">
        <v>25</v>
      </c>
      <c r="H119" s="2" t="s">
        <v>43</v>
      </c>
      <c r="I119" s="1">
        <v>0</v>
      </c>
      <c r="J119" s="3" t="s">
        <v>16</v>
      </c>
      <c r="K119" s="2" t="str">
        <f>J119*412.00</f>
        <v>0</v>
      </c>
      <c r="L119" s="5"/>
    </row>
    <row r="120" spans="1:12" customHeight="1" ht="105" outlineLevel="4">
      <c r="A120" s="1"/>
      <c r="B120" s="1">
        <v>810897</v>
      </c>
      <c r="C120" s="1" t="s">
        <v>445</v>
      </c>
      <c r="D120" s="1" t="s">
        <v>446</v>
      </c>
      <c r="E120" s="2" t="s">
        <v>447</v>
      </c>
      <c r="F120" s="2" t="s">
        <v>448</v>
      </c>
      <c r="G120" s="2">
        <v>0</v>
      </c>
      <c r="H120" s="2" t="s">
        <v>123</v>
      </c>
      <c r="I120" s="1">
        <v>0</v>
      </c>
      <c r="J120" s="3" t="s">
        <v>16</v>
      </c>
      <c r="K120" s="2" t="str">
        <f>J120*1099.00</f>
        <v>0</v>
      </c>
      <c r="L120" s="5"/>
    </row>
    <row r="121" spans="1:12" customHeight="1" ht="105" outlineLevel="4">
      <c r="A121" s="1"/>
      <c r="B121" s="1">
        <v>810898</v>
      </c>
      <c r="C121" s="1" t="s">
        <v>449</v>
      </c>
      <c r="D121" s="1" t="s">
        <v>450</v>
      </c>
      <c r="E121" s="2" t="s">
        <v>451</v>
      </c>
      <c r="F121" s="2" t="s">
        <v>452</v>
      </c>
      <c r="G121" s="2">
        <v>7</v>
      </c>
      <c r="H121" s="2" t="s">
        <v>25</v>
      </c>
      <c r="I121" s="1">
        <v>0</v>
      </c>
      <c r="J121" s="3" t="s">
        <v>16</v>
      </c>
      <c r="K121" s="2" t="str">
        <f>J121*1920.00</f>
        <v>0</v>
      </c>
      <c r="L121" s="5"/>
    </row>
    <row r="122" spans="1:12" customHeight="1" ht="105" outlineLevel="4">
      <c r="A122" s="1"/>
      <c r="B122" s="1">
        <v>810899</v>
      </c>
      <c r="C122" s="1" t="s">
        <v>453</v>
      </c>
      <c r="D122" s="1" t="s">
        <v>454</v>
      </c>
      <c r="E122" s="2" t="s">
        <v>455</v>
      </c>
      <c r="F122" s="2" t="s">
        <v>456</v>
      </c>
      <c r="G122" s="2" t="s">
        <v>48</v>
      </c>
      <c r="H122" s="2" t="s">
        <v>25</v>
      </c>
      <c r="I122" s="1">
        <v>0</v>
      </c>
      <c r="J122" s="3" t="s">
        <v>16</v>
      </c>
      <c r="K122" s="2" t="str">
        <f>J122*1096.00</f>
        <v>0</v>
      </c>
      <c r="L122" s="5"/>
    </row>
    <row r="123" spans="1:12" customHeight="1" ht="105" outlineLevel="4">
      <c r="A123" s="1"/>
      <c r="B123" s="1">
        <v>810900</v>
      </c>
      <c r="C123" s="1" t="s">
        <v>457</v>
      </c>
      <c r="D123" s="1" t="s">
        <v>458</v>
      </c>
      <c r="E123" s="2" t="s">
        <v>459</v>
      </c>
      <c r="F123" s="2" t="s">
        <v>460</v>
      </c>
      <c r="G123" s="2">
        <v>1</v>
      </c>
      <c r="H123" s="2" t="s">
        <v>33</v>
      </c>
      <c r="I123" s="1">
        <v>0</v>
      </c>
      <c r="J123" s="3" t="s">
        <v>16</v>
      </c>
      <c r="K123" s="2" t="str">
        <f>J123*1886.00</f>
        <v>0</v>
      </c>
      <c r="L123" s="5"/>
    </row>
    <row r="124" spans="1:12" customHeight="1" ht="105" outlineLevel="4">
      <c r="A124" s="1"/>
      <c r="B124" s="1">
        <v>810901</v>
      </c>
      <c r="C124" s="1" t="s">
        <v>461</v>
      </c>
      <c r="D124" s="1" t="s">
        <v>462</v>
      </c>
      <c r="E124" s="2" t="s">
        <v>463</v>
      </c>
      <c r="F124" s="2" t="s">
        <v>464</v>
      </c>
      <c r="G124" s="2">
        <v>0</v>
      </c>
      <c r="H124" s="2">
        <v>0</v>
      </c>
      <c r="I124" s="1">
        <v>0</v>
      </c>
      <c r="J124" s="3" t="s">
        <v>16</v>
      </c>
      <c r="K124" s="2" t="str">
        <f>J124*1119.00</f>
        <v>0</v>
      </c>
      <c r="L124" s="5"/>
    </row>
    <row r="125" spans="1:12" customHeight="1" ht="105" outlineLevel="4">
      <c r="A125" s="1"/>
      <c r="B125" s="1">
        <v>810902</v>
      </c>
      <c r="C125" s="1" t="s">
        <v>465</v>
      </c>
      <c r="D125" s="1" t="s">
        <v>466</v>
      </c>
      <c r="E125" s="2" t="s">
        <v>467</v>
      </c>
      <c r="F125" s="2" t="s">
        <v>468</v>
      </c>
      <c r="G125" s="2">
        <v>0</v>
      </c>
      <c r="H125" s="2">
        <v>0</v>
      </c>
      <c r="I125" s="1">
        <v>0</v>
      </c>
      <c r="J125" s="3" t="s">
        <v>16</v>
      </c>
      <c r="K125" s="2" t="str">
        <f>J125*760.00</f>
        <v>0</v>
      </c>
      <c r="L125" s="5"/>
    </row>
    <row r="126" spans="1:12" customHeight="1" ht="105" outlineLevel="4">
      <c r="A126" s="1"/>
      <c r="B126" s="1">
        <v>810903</v>
      </c>
      <c r="C126" s="1" t="s">
        <v>469</v>
      </c>
      <c r="D126" s="1" t="s">
        <v>470</v>
      </c>
      <c r="E126" s="2" t="s">
        <v>471</v>
      </c>
      <c r="F126" s="2" t="s">
        <v>472</v>
      </c>
      <c r="G126" s="2" t="s">
        <v>48</v>
      </c>
      <c r="H126" s="2" t="s">
        <v>43</v>
      </c>
      <c r="I126" s="1">
        <v>0</v>
      </c>
      <c r="J126" s="3" t="s">
        <v>16</v>
      </c>
      <c r="K126" s="2" t="str">
        <f>J126*429.00</f>
        <v>0</v>
      </c>
      <c r="L126" s="5"/>
    </row>
    <row r="127" spans="1:12" customHeight="1" ht="105" outlineLevel="4">
      <c r="A127" s="1"/>
      <c r="B127" s="1">
        <v>810904</v>
      </c>
      <c r="C127" s="1" t="s">
        <v>473</v>
      </c>
      <c r="D127" s="1" t="s">
        <v>474</v>
      </c>
      <c r="E127" s="2" t="s">
        <v>475</v>
      </c>
      <c r="F127" s="2" t="s">
        <v>476</v>
      </c>
      <c r="G127" s="2">
        <v>8</v>
      </c>
      <c r="H127" s="2" t="s">
        <v>25</v>
      </c>
      <c r="I127" s="1">
        <v>0</v>
      </c>
      <c r="J127" s="3" t="s">
        <v>16</v>
      </c>
      <c r="K127" s="2" t="str">
        <f>J127*374.00</f>
        <v>0</v>
      </c>
      <c r="L127" s="5"/>
    </row>
    <row r="128" spans="1:12" customHeight="1" ht="105" outlineLevel="4">
      <c r="A128" s="1"/>
      <c r="B128" s="1">
        <v>810905</v>
      </c>
      <c r="C128" s="1" t="s">
        <v>477</v>
      </c>
      <c r="D128" s="1" t="s">
        <v>478</v>
      </c>
      <c r="E128" s="2" t="s">
        <v>479</v>
      </c>
      <c r="F128" s="2" t="s">
        <v>480</v>
      </c>
      <c r="G128" s="2">
        <v>3</v>
      </c>
      <c r="H128" s="2" t="s">
        <v>62</v>
      </c>
      <c r="I128" s="1">
        <v>0</v>
      </c>
      <c r="J128" s="3" t="s">
        <v>16</v>
      </c>
      <c r="K128" s="2" t="str">
        <f>J128*1863.00</f>
        <v>0</v>
      </c>
      <c r="L128" s="5"/>
    </row>
    <row r="129" spans="1:12" customHeight="1" ht="105" outlineLevel="4">
      <c r="A129" s="1"/>
      <c r="B129" s="1">
        <v>824485</v>
      </c>
      <c r="C129" s="1" t="s">
        <v>481</v>
      </c>
      <c r="D129" s="1" t="s">
        <v>482</v>
      </c>
      <c r="E129" s="2" t="s">
        <v>483</v>
      </c>
      <c r="F129" s="2" t="s">
        <v>484</v>
      </c>
      <c r="G129" s="2">
        <v>0</v>
      </c>
      <c r="H129" s="2">
        <v>0</v>
      </c>
      <c r="I129" s="1">
        <v>0</v>
      </c>
      <c r="J129" s="3" t="s">
        <v>16</v>
      </c>
      <c r="K129" s="2" t="str">
        <f>J129*2623.00</f>
        <v>0</v>
      </c>
      <c r="L129" s="5"/>
    </row>
    <row r="130" spans="1:12" customHeight="1" ht="105" outlineLevel="4">
      <c r="A130" s="1"/>
      <c r="B130" s="1">
        <v>836169</v>
      </c>
      <c r="C130" s="1" t="s">
        <v>485</v>
      </c>
      <c r="D130" s="1" t="s">
        <v>486</v>
      </c>
      <c r="E130" s="2" t="s">
        <v>487</v>
      </c>
      <c r="F130" s="2" t="s">
        <v>488</v>
      </c>
      <c r="G130" s="2">
        <v>0</v>
      </c>
      <c r="H130" s="2">
        <v>0</v>
      </c>
      <c r="I130" s="1">
        <v>0</v>
      </c>
      <c r="J130" s="3" t="s">
        <v>16</v>
      </c>
      <c r="K130" s="2" t="str">
        <f>J130*664.00</f>
        <v>0</v>
      </c>
      <c r="L130" s="5"/>
    </row>
    <row r="131" spans="1:12" customHeight="1" ht="105" outlineLevel="4">
      <c r="A131" s="1"/>
      <c r="B131" s="1">
        <v>834701</v>
      </c>
      <c r="C131" s="1" t="s">
        <v>489</v>
      </c>
      <c r="D131" s="1" t="s">
        <v>490</v>
      </c>
      <c r="E131" s="2" t="s">
        <v>491</v>
      </c>
      <c r="F131" s="2" t="s">
        <v>492</v>
      </c>
      <c r="G131" s="2">
        <v>0</v>
      </c>
      <c r="H131" s="2" t="s">
        <v>25</v>
      </c>
      <c r="I131" s="1">
        <v>0</v>
      </c>
      <c r="J131" s="3" t="s">
        <v>16</v>
      </c>
      <c r="K131" s="2" t="str">
        <f>J131*541.00</f>
        <v>0</v>
      </c>
      <c r="L131" s="5"/>
    </row>
    <row r="132" spans="1:12" customHeight="1" ht="105" outlineLevel="4">
      <c r="A132" s="1"/>
      <c r="B132" s="1">
        <v>834702</v>
      </c>
      <c r="C132" s="1" t="s">
        <v>493</v>
      </c>
      <c r="D132" s="1" t="s">
        <v>494</v>
      </c>
      <c r="E132" s="2" t="s">
        <v>495</v>
      </c>
      <c r="F132" s="2" t="s">
        <v>496</v>
      </c>
      <c r="G132" s="2">
        <v>0</v>
      </c>
      <c r="H132" s="2">
        <v>6</v>
      </c>
      <c r="I132" s="1">
        <v>0</v>
      </c>
      <c r="J132" s="3" t="s">
        <v>16</v>
      </c>
      <c r="K132" s="2" t="str">
        <f>J132*634.00</f>
        <v>0</v>
      </c>
      <c r="L132" s="5"/>
    </row>
    <row r="133" spans="1:12" customHeight="1" ht="105" outlineLevel="4">
      <c r="A133" s="1"/>
      <c r="B133" s="1">
        <v>834703</v>
      </c>
      <c r="C133" s="1" t="s">
        <v>497</v>
      </c>
      <c r="D133" s="1" t="s">
        <v>498</v>
      </c>
      <c r="E133" s="2" t="s">
        <v>499</v>
      </c>
      <c r="F133" s="2" t="s">
        <v>500</v>
      </c>
      <c r="G133" s="2">
        <v>0</v>
      </c>
      <c r="H133" s="2">
        <v>0</v>
      </c>
      <c r="I133" s="1">
        <v>0</v>
      </c>
      <c r="J133" s="3" t="s">
        <v>16</v>
      </c>
      <c r="K133" s="2" t="str">
        <f>J133*941.00</f>
        <v>0</v>
      </c>
      <c r="L133" s="5"/>
    </row>
    <row r="134" spans="1:12" customHeight="1" ht="105" outlineLevel="4">
      <c r="A134" s="1"/>
      <c r="B134" s="1">
        <v>834704</v>
      </c>
      <c r="C134" s="1" t="s">
        <v>501</v>
      </c>
      <c r="D134" s="1" t="s">
        <v>502</v>
      </c>
      <c r="E134" s="2" t="s">
        <v>503</v>
      </c>
      <c r="F134" s="2" t="s">
        <v>504</v>
      </c>
      <c r="G134" s="2">
        <v>0</v>
      </c>
      <c r="H134" s="2">
        <v>0</v>
      </c>
      <c r="I134" s="1">
        <v>0</v>
      </c>
      <c r="J134" s="3" t="s">
        <v>16</v>
      </c>
      <c r="K134" s="2" t="str">
        <f>J134*644.00</f>
        <v>0</v>
      </c>
      <c r="L134" s="5"/>
    </row>
    <row r="135" spans="1:12" customHeight="1" ht="105" outlineLevel="4">
      <c r="A135" s="1"/>
      <c r="B135" s="1">
        <v>834705</v>
      </c>
      <c r="C135" s="1" t="s">
        <v>505</v>
      </c>
      <c r="D135" s="1" t="s">
        <v>506</v>
      </c>
      <c r="E135" s="2" t="s">
        <v>507</v>
      </c>
      <c r="F135" s="2" t="s">
        <v>508</v>
      </c>
      <c r="G135" s="2">
        <v>0</v>
      </c>
      <c r="H135" s="2">
        <v>0</v>
      </c>
      <c r="I135" s="1">
        <v>0</v>
      </c>
      <c r="J135" s="3" t="s">
        <v>16</v>
      </c>
      <c r="K135" s="2" t="str">
        <f>J135*965.00</f>
        <v>0</v>
      </c>
      <c r="L135" s="5"/>
    </row>
    <row r="136" spans="1:12" outlineLevel="2">
      <c r="A136" s="8" t="s">
        <v>509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5"/>
    </row>
    <row r="137" spans="1:12" customHeight="1" ht="105" outlineLevel="4">
      <c r="A137" s="1"/>
      <c r="B137" s="1">
        <v>810917</v>
      </c>
      <c r="C137" s="1" t="s">
        <v>510</v>
      </c>
      <c r="D137" s="1" t="s">
        <v>511</v>
      </c>
      <c r="E137" s="2" t="s">
        <v>512</v>
      </c>
      <c r="F137" s="2" t="s">
        <v>513</v>
      </c>
      <c r="G137" s="2" t="s">
        <v>62</v>
      </c>
      <c r="H137" s="2" t="s">
        <v>25</v>
      </c>
      <c r="I137" s="1">
        <v>0</v>
      </c>
      <c r="J137" s="3" t="s">
        <v>16</v>
      </c>
      <c r="K137" s="2" t="str">
        <f>J137*373.00</f>
        <v>0</v>
      </c>
      <c r="L137" s="5"/>
    </row>
    <row r="138" spans="1:12" customHeight="1" ht="105" outlineLevel="4">
      <c r="A138" s="1"/>
      <c r="B138" s="1">
        <v>810918</v>
      </c>
      <c r="C138" s="1" t="s">
        <v>514</v>
      </c>
      <c r="D138" s="1" t="s">
        <v>515</v>
      </c>
      <c r="E138" s="2" t="s">
        <v>516</v>
      </c>
      <c r="F138" s="2" t="s">
        <v>517</v>
      </c>
      <c r="G138" s="2">
        <v>0</v>
      </c>
      <c r="H138" s="2" t="s">
        <v>25</v>
      </c>
      <c r="I138" s="1">
        <v>0</v>
      </c>
      <c r="J138" s="3" t="s">
        <v>16</v>
      </c>
      <c r="K138" s="2" t="str">
        <f>J138*549.00</f>
        <v>0</v>
      </c>
      <c r="L138" s="5"/>
    </row>
    <row r="139" spans="1:12" customHeight="1" ht="105" outlineLevel="4">
      <c r="A139" s="1"/>
      <c r="B139" s="1">
        <v>810919</v>
      </c>
      <c r="C139" s="1" t="s">
        <v>518</v>
      </c>
      <c r="D139" s="1" t="s">
        <v>519</v>
      </c>
      <c r="E139" s="2" t="s">
        <v>520</v>
      </c>
      <c r="F139" s="2" t="s">
        <v>521</v>
      </c>
      <c r="G139" s="2" t="s">
        <v>33</v>
      </c>
      <c r="H139" s="2" t="s">
        <v>25</v>
      </c>
      <c r="I139" s="1">
        <v>0</v>
      </c>
      <c r="J139" s="3" t="s">
        <v>16</v>
      </c>
      <c r="K139" s="2" t="str">
        <f>J139*350.00</f>
        <v>0</v>
      </c>
      <c r="L139" s="5"/>
    </row>
    <row r="140" spans="1:12" customHeight="1" ht="105" outlineLevel="4">
      <c r="A140" s="1"/>
      <c r="B140" s="1">
        <v>810920</v>
      </c>
      <c r="C140" s="1" t="s">
        <v>522</v>
      </c>
      <c r="D140" s="1" t="s">
        <v>523</v>
      </c>
      <c r="E140" s="2" t="s">
        <v>524</v>
      </c>
      <c r="F140" s="2" t="s">
        <v>147</v>
      </c>
      <c r="G140" s="2">
        <v>8</v>
      </c>
      <c r="H140" s="2" t="s">
        <v>33</v>
      </c>
      <c r="I140" s="1">
        <v>0</v>
      </c>
      <c r="J140" s="3" t="s">
        <v>16</v>
      </c>
      <c r="K140" s="2" t="str">
        <f>J140*504.00</f>
        <v>0</v>
      </c>
      <c r="L140" s="5"/>
    </row>
    <row r="141" spans="1:12" customHeight="1" ht="105" outlineLevel="4">
      <c r="A141" s="1"/>
      <c r="B141" s="1">
        <v>810921</v>
      </c>
      <c r="C141" s="1" t="s">
        <v>525</v>
      </c>
      <c r="D141" s="1" t="s">
        <v>526</v>
      </c>
      <c r="E141" s="2" t="s">
        <v>527</v>
      </c>
      <c r="F141" s="2" t="s">
        <v>528</v>
      </c>
      <c r="G141" s="2">
        <v>0</v>
      </c>
      <c r="H141" s="2">
        <v>0</v>
      </c>
      <c r="I141" s="1">
        <v>0</v>
      </c>
      <c r="J141" s="3" t="s">
        <v>16</v>
      </c>
      <c r="K141" s="2" t="str">
        <f>J141*307.00</f>
        <v>0</v>
      </c>
      <c r="L141" s="5"/>
    </row>
    <row r="142" spans="1:12" customHeight="1" ht="105" outlineLevel="4">
      <c r="A142" s="1"/>
      <c r="B142" s="1">
        <v>810922</v>
      </c>
      <c r="C142" s="1" t="s">
        <v>529</v>
      </c>
      <c r="D142" s="1" t="s">
        <v>530</v>
      </c>
      <c r="E142" s="2" t="s">
        <v>531</v>
      </c>
      <c r="F142" s="2" t="s">
        <v>532</v>
      </c>
      <c r="G142" s="2" t="s">
        <v>48</v>
      </c>
      <c r="H142" s="2" t="s">
        <v>25</v>
      </c>
      <c r="I142" s="1">
        <v>0</v>
      </c>
      <c r="J142" s="3" t="s">
        <v>16</v>
      </c>
      <c r="K142" s="2" t="str">
        <f>J142*588.00</f>
        <v>0</v>
      </c>
      <c r="L142" s="5"/>
    </row>
    <row r="143" spans="1:12" outlineLevel="2">
      <c r="A143" s="8" t="s">
        <v>533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5"/>
    </row>
    <row r="144" spans="1:12" customHeight="1" ht="105" outlineLevel="4">
      <c r="A144" s="1"/>
      <c r="B144" s="1">
        <v>810923</v>
      </c>
      <c r="C144" s="1" t="s">
        <v>534</v>
      </c>
      <c r="D144" s="1" t="s">
        <v>535</v>
      </c>
      <c r="E144" s="2" t="s">
        <v>536</v>
      </c>
      <c r="F144" s="2" t="s">
        <v>537</v>
      </c>
      <c r="G144" s="2">
        <v>0</v>
      </c>
      <c r="H144" s="2">
        <v>0</v>
      </c>
      <c r="I144" s="1">
        <v>0</v>
      </c>
      <c r="J144" s="3" t="s">
        <v>16</v>
      </c>
      <c r="K144" s="2" t="str">
        <f>J144*829.00</f>
        <v>0</v>
      </c>
      <c r="L144" s="5"/>
    </row>
    <row r="145" spans="1:12" customHeight="1" ht="105" outlineLevel="4">
      <c r="A145" s="1"/>
      <c r="B145" s="1">
        <v>810924</v>
      </c>
      <c r="C145" s="1" t="s">
        <v>538</v>
      </c>
      <c r="D145" s="1" t="s">
        <v>539</v>
      </c>
      <c r="E145" s="2" t="s">
        <v>540</v>
      </c>
      <c r="F145" s="2" t="s">
        <v>541</v>
      </c>
      <c r="G145" s="2">
        <v>0</v>
      </c>
      <c r="H145" s="2">
        <v>0</v>
      </c>
      <c r="I145" s="1">
        <v>0</v>
      </c>
      <c r="J145" s="3" t="s">
        <v>16</v>
      </c>
      <c r="K145" s="2" t="str">
        <f>J145*1522.00</f>
        <v>0</v>
      </c>
      <c r="L145" s="5"/>
    </row>
    <row r="146" spans="1:12" customHeight="1" ht="105" outlineLevel="4">
      <c r="A146" s="1"/>
      <c r="B146" s="1">
        <v>810925</v>
      </c>
      <c r="C146" s="1" t="s">
        <v>542</v>
      </c>
      <c r="D146" s="1" t="s">
        <v>543</v>
      </c>
      <c r="E146" s="2" t="s">
        <v>544</v>
      </c>
      <c r="F146" s="2" t="s">
        <v>545</v>
      </c>
      <c r="G146" s="2">
        <v>0</v>
      </c>
      <c r="H146" s="2">
        <v>0</v>
      </c>
      <c r="I146" s="1">
        <v>0</v>
      </c>
      <c r="J146" s="3" t="s">
        <v>16</v>
      </c>
      <c r="K146" s="2" t="str">
        <f>J146*2696.00</f>
        <v>0</v>
      </c>
      <c r="L146" s="5"/>
    </row>
    <row r="147" spans="1:12" customHeight="1" ht="105" outlineLevel="4">
      <c r="A147" s="1"/>
      <c r="B147" s="1">
        <v>810926</v>
      </c>
      <c r="C147" s="1" t="s">
        <v>546</v>
      </c>
      <c r="D147" s="1" t="s">
        <v>547</v>
      </c>
      <c r="E147" s="2" t="s">
        <v>548</v>
      </c>
      <c r="F147" s="2" t="s">
        <v>549</v>
      </c>
      <c r="G147" s="2">
        <v>0</v>
      </c>
      <c r="H147" s="2">
        <v>0</v>
      </c>
      <c r="I147" s="1">
        <v>0</v>
      </c>
      <c r="J147" s="3" t="s">
        <v>16</v>
      </c>
      <c r="K147" s="2" t="str">
        <f>J147*3585.00</f>
        <v>0</v>
      </c>
      <c r="L147" s="5"/>
    </row>
    <row r="148" spans="1:12" customHeight="1" ht="105" outlineLevel="4">
      <c r="A148" s="1"/>
      <c r="B148" s="1">
        <v>810927</v>
      </c>
      <c r="C148" s="1" t="s">
        <v>550</v>
      </c>
      <c r="D148" s="1" t="s">
        <v>551</v>
      </c>
      <c r="E148" s="2" t="s">
        <v>552</v>
      </c>
      <c r="F148" s="2" t="s">
        <v>553</v>
      </c>
      <c r="G148" s="2">
        <v>0</v>
      </c>
      <c r="H148" s="2">
        <v>0</v>
      </c>
      <c r="I148" s="1">
        <v>0</v>
      </c>
      <c r="J148" s="3" t="s">
        <v>16</v>
      </c>
      <c r="K148" s="2" t="str">
        <f>J148*5934.00</f>
        <v>0</v>
      </c>
      <c r="L148" s="5"/>
    </row>
    <row r="149" spans="1:12" customHeight="1" ht="105" outlineLevel="4">
      <c r="A149" s="1"/>
      <c r="B149" s="1">
        <v>810928</v>
      </c>
      <c r="C149" s="1" t="s">
        <v>554</v>
      </c>
      <c r="D149" s="1" t="s">
        <v>555</v>
      </c>
      <c r="E149" s="2" t="s">
        <v>556</v>
      </c>
      <c r="F149" s="2" t="s">
        <v>557</v>
      </c>
      <c r="G149" s="2">
        <v>0</v>
      </c>
      <c r="H149" s="2">
        <v>0</v>
      </c>
      <c r="I149" s="1">
        <v>0</v>
      </c>
      <c r="J149" s="3" t="s">
        <v>16</v>
      </c>
      <c r="K149" s="2" t="str">
        <f>J149*8060.00</f>
        <v>0</v>
      </c>
      <c r="L149" s="5"/>
    </row>
    <row r="150" spans="1:12" customHeight="1" ht="105" outlineLevel="4">
      <c r="A150" s="1"/>
      <c r="B150" s="1">
        <v>810929</v>
      </c>
      <c r="C150" s="1" t="s">
        <v>558</v>
      </c>
      <c r="D150" s="1" t="s">
        <v>559</v>
      </c>
      <c r="E150" s="2" t="s">
        <v>560</v>
      </c>
      <c r="F150" s="2" t="s">
        <v>561</v>
      </c>
      <c r="G150" s="2">
        <v>8</v>
      </c>
      <c r="H150" s="2">
        <v>0</v>
      </c>
      <c r="I150" s="1">
        <v>0</v>
      </c>
      <c r="J150" s="3" t="s">
        <v>16</v>
      </c>
      <c r="K150" s="2" t="str">
        <f>J150*891.00</f>
        <v>0</v>
      </c>
      <c r="L150" s="5"/>
    </row>
    <row r="151" spans="1:12" customHeight="1" ht="105" outlineLevel="4">
      <c r="A151" s="1"/>
      <c r="B151" s="1">
        <v>810930</v>
      </c>
      <c r="C151" s="1" t="s">
        <v>562</v>
      </c>
      <c r="D151" s="1" t="s">
        <v>563</v>
      </c>
      <c r="E151" s="2" t="s">
        <v>564</v>
      </c>
      <c r="F151" s="2" t="s">
        <v>565</v>
      </c>
      <c r="G151" s="2">
        <v>0</v>
      </c>
      <c r="H151" s="2">
        <v>0</v>
      </c>
      <c r="I151" s="1">
        <v>0</v>
      </c>
      <c r="J151" s="3" t="s">
        <v>16</v>
      </c>
      <c r="K151" s="2" t="str">
        <f>J151*1509.00</f>
        <v>0</v>
      </c>
      <c r="L151" s="5"/>
    </row>
    <row r="152" spans="1:12" customHeight="1" ht="105" outlineLevel="4">
      <c r="A152" s="1"/>
      <c r="B152" s="1">
        <v>810931</v>
      </c>
      <c r="C152" s="1" t="s">
        <v>566</v>
      </c>
      <c r="D152" s="1" t="s">
        <v>567</v>
      </c>
      <c r="E152" s="2" t="s">
        <v>568</v>
      </c>
      <c r="F152" s="2" t="s">
        <v>569</v>
      </c>
      <c r="G152" s="2">
        <v>0</v>
      </c>
      <c r="H152" s="2" t="s">
        <v>62</v>
      </c>
      <c r="I152" s="1">
        <v>0</v>
      </c>
      <c r="J152" s="3" t="s">
        <v>16</v>
      </c>
      <c r="K152" s="2" t="str">
        <f>J152*2463.00</f>
        <v>0</v>
      </c>
      <c r="L152" s="5"/>
    </row>
    <row r="153" spans="1:12" customHeight="1" ht="105" outlineLevel="4">
      <c r="A153" s="1"/>
      <c r="B153" s="1">
        <v>810932</v>
      </c>
      <c r="C153" s="1" t="s">
        <v>570</v>
      </c>
      <c r="D153" s="1" t="s">
        <v>571</v>
      </c>
      <c r="E153" s="2" t="s">
        <v>572</v>
      </c>
      <c r="F153" s="2" t="s">
        <v>573</v>
      </c>
      <c r="G153" s="2">
        <v>0</v>
      </c>
      <c r="H153" s="2" t="s">
        <v>33</v>
      </c>
      <c r="I153" s="1">
        <v>0</v>
      </c>
      <c r="J153" s="3" t="s">
        <v>16</v>
      </c>
      <c r="K153" s="2" t="str">
        <f>J153*3983.00</f>
        <v>0</v>
      </c>
      <c r="L153" s="5"/>
    </row>
    <row r="154" spans="1:12" customHeight="1" ht="105" outlineLevel="4">
      <c r="A154" s="1"/>
      <c r="B154" s="1">
        <v>810933</v>
      </c>
      <c r="C154" s="1" t="s">
        <v>574</v>
      </c>
      <c r="D154" s="1" t="s">
        <v>575</v>
      </c>
      <c r="E154" s="2" t="s">
        <v>576</v>
      </c>
      <c r="F154" s="2" t="s">
        <v>577</v>
      </c>
      <c r="G154" s="2">
        <v>0</v>
      </c>
      <c r="H154" s="2">
        <v>0</v>
      </c>
      <c r="I154" s="1">
        <v>0</v>
      </c>
      <c r="J154" s="3" t="s">
        <v>16</v>
      </c>
      <c r="K154" s="2" t="str">
        <f>J154*818.00</f>
        <v>0</v>
      </c>
      <c r="L154" s="5"/>
    </row>
    <row r="155" spans="1:12" customHeight="1" ht="105" outlineLevel="4">
      <c r="A155" s="1"/>
      <c r="B155" s="1">
        <v>810934</v>
      </c>
      <c r="C155" s="1" t="s">
        <v>578</v>
      </c>
      <c r="D155" s="1" t="s">
        <v>579</v>
      </c>
      <c r="E155" s="2" t="s">
        <v>580</v>
      </c>
      <c r="F155" s="2" t="s">
        <v>581</v>
      </c>
      <c r="G155" s="2">
        <v>0</v>
      </c>
      <c r="H155" s="2">
        <v>4</v>
      </c>
      <c r="I155" s="1">
        <v>0</v>
      </c>
      <c r="J155" s="3" t="s">
        <v>16</v>
      </c>
      <c r="K155" s="2" t="str">
        <f>J155*1467.00</f>
        <v>0</v>
      </c>
      <c r="L155" s="5"/>
    </row>
    <row r="156" spans="1:12" customHeight="1" ht="105" outlineLevel="4">
      <c r="A156" s="1"/>
      <c r="B156" s="1">
        <v>810935</v>
      </c>
      <c r="C156" s="1" t="s">
        <v>582</v>
      </c>
      <c r="D156" s="1" t="s">
        <v>583</v>
      </c>
      <c r="E156" s="2" t="s">
        <v>584</v>
      </c>
      <c r="F156" s="2" t="s">
        <v>585</v>
      </c>
      <c r="G156" s="2">
        <v>0</v>
      </c>
      <c r="H156" s="2">
        <v>0</v>
      </c>
      <c r="I156" s="1">
        <v>0</v>
      </c>
      <c r="J156" s="3" t="s">
        <v>16</v>
      </c>
      <c r="K156" s="2" t="str">
        <f>J156*2605.00</f>
        <v>0</v>
      </c>
      <c r="L156" s="5"/>
    </row>
    <row r="157" spans="1:12" customHeight="1" ht="105" outlineLevel="4">
      <c r="A157" s="1"/>
      <c r="B157" s="1">
        <v>810936</v>
      </c>
      <c r="C157" s="1" t="s">
        <v>586</v>
      </c>
      <c r="D157" s="1" t="s">
        <v>587</v>
      </c>
      <c r="E157" s="2" t="s">
        <v>588</v>
      </c>
      <c r="F157" s="2" t="s">
        <v>589</v>
      </c>
      <c r="G157" s="2">
        <v>0</v>
      </c>
      <c r="H157" s="2">
        <v>0</v>
      </c>
      <c r="I157" s="1">
        <v>0</v>
      </c>
      <c r="J157" s="3" t="s">
        <v>16</v>
      </c>
      <c r="K157" s="2" t="str">
        <f>J157*855.00</f>
        <v>0</v>
      </c>
      <c r="L157" s="5"/>
    </row>
    <row r="158" spans="1:12" customHeight="1" ht="105" outlineLevel="4">
      <c r="A158" s="1"/>
      <c r="B158" s="1">
        <v>810937</v>
      </c>
      <c r="C158" s="1" t="s">
        <v>590</v>
      </c>
      <c r="D158" s="1" t="s">
        <v>591</v>
      </c>
      <c r="E158" s="2" t="s">
        <v>592</v>
      </c>
      <c r="F158" s="2" t="s">
        <v>593</v>
      </c>
      <c r="G158" s="2">
        <v>0</v>
      </c>
      <c r="H158" s="2">
        <v>0</v>
      </c>
      <c r="I158" s="1">
        <v>0</v>
      </c>
      <c r="J158" s="3" t="s">
        <v>16</v>
      </c>
      <c r="K158" s="2" t="str">
        <f>J158*1488.00</f>
        <v>0</v>
      </c>
      <c r="L158" s="5"/>
    </row>
    <row r="159" spans="1:12" customHeight="1" ht="105" outlineLevel="4">
      <c r="A159" s="1"/>
      <c r="B159" s="1">
        <v>810938</v>
      </c>
      <c r="C159" s="1" t="s">
        <v>594</v>
      </c>
      <c r="D159" s="1" t="s">
        <v>595</v>
      </c>
      <c r="E159" s="2" t="s">
        <v>596</v>
      </c>
      <c r="F159" s="2" t="s">
        <v>597</v>
      </c>
      <c r="G159" s="2">
        <v>0</v>
      </c>
      <c r="H159" s="2">
        <v>0</v>
      </c>
      <c r="I159" s="1">
        <v>0</v>
      </c>
      <c r="J159" s="3" t="s">
        <v>16</v>
      </c>
      <c r="K159" s="2" t="str">
        <f>J159*2694.00</f>
        <v>0</v>
      </c>
      <c r="L159" s="5"/>
    </row>
    <row r="160" spans="1:12" customHeight="1" ht="105" outlineLevel="4">
      <c r="A160" s="1"/>
      <c r="B160" s="1">
        <v>810939</v>
      </c>
      <c r="C160" s="1" t="s">
        <v>598</v>
      </c>
      <c r="D160" s="1" t="s">
        <v>599</v>
      </c>
      <c r="E160" s="2" t="s">
        <v>600</v>
      </c>
      <c r="F160" s="2" t="s">
        <v>601</v>
      </c>
      <c r="G160" s="2">
        <v>0</v>
      </c>
      <c r="H160" s="2">
        <v>0</v>
      </c>
      <c r="I160" s="1">
        <v>0</v>
      </c>
      <c r="J160" s="3" t="s">
        <v>16</v>
      </c>
      <c r="K160" s="2" t="str">
        <f>J160*974.00</f>
        <v>0</v>
      </c>
      <c r="L160" s="5"/>
    </row>
    <row r="161" spans="1:12" customHeight="1" ht="105" outlineLevel="4">
      <c r="A161" s="1"/>
      <c r="B161" s="1">
        <v>810940</v>
      </c>
      <c r="C161" s="1" t="s">
        <v>602</v>
      </c>
      <c r="D161" s="1" t="s">
        <v>603</v>
      </c>
      <c r="E161" s="2" t="s">
        <v>604</v>
      </c>
      <c r="F161" s="2" t="s">
        <v>605</v>
      </c>
      <c r="G161" s="2">
        <v>0</v>
      </c>
      <c r="H161" s="2">
        <v>0</v>
      </c>
      <c r="I161" s="1">
        <v>0</v>
      </c>
      <c r="J161" s="3" t="s">
        <v>16</v>
      </c>
      <c r="K161" s="2" t="str">
        <f>J161*1841.00</f>
        <v>0</v>
      </c>
      <c r="L161" s="5"/>
    </row>
    <row r="162" spans="1:12" customHeight="1" ht="105" outlineLevel="4">
      <c r="A162" s="1"/>
      <c r="B162" s="1">
        <v>810941</v>
      </c>
      <c r="C162" s="1" t="s">
        <v>606</v>
      </c>
      <c r="D162" s="1" t="s">
        <v>607</v>
      </c>
      <c r="E162" s="2" t="s">
        <v>608</v>
      </c>
      <c r="F162" s="2" t="s">
        <v>609</v>
      </c>
      <c r="G162" s="2">
        <v>1</v>
      </c>
      <c r="H162" s="2">
        <v>1</v>
      </c>
      <c r="I162" s="1">
        <v>0</v>
      </c>
      <c r="J162" s="3" t="s">
        <v>16</v>
      </c>
      <c r="K162" s="2" t="str">
        <f>J162*3201.00</f>
        <v>0</v>
      </c>
      <c r="L162" s="5"/>
    </row>
    <row r="163" spans="1:12" customHeight="1" ht="105" outlineLevel="4">
      <c r="A163" s="1"/>
      <c r="B163" s="1">
        <v>810942</v>
      </c>
      <c r="C163" s="1" t="s">
        <v>610</v>
      </c>
      <c r="D163" s="1" t="s">
        <v>611</v>
      </c>
      <c r="E163" s="2" t="s">
        <v>612</v>
      </c>
      <c r="F163" s="2" t="s">
        <v>613</v>
      </c>
      <c r="G163" s="2">
        <v>0</v>
      </c>
      <c r="H163" s="2">
        <v>3</v>
      </c>
      <c r="I163" s="1">
        <v>0</v>
      </c>
      <c r="J163" s="3" t="s">
        <v>16</v>
      </c>
      <c r="K163" s="2" t="str">
        <f>J163*1134.00</f>
        <v>0</v>
      </c>
      <c r="L163" s="5"/>
    </row>
    <row r="164" spans="1:12" customHeight="1" ht="105" outlineLevel="4">
      <c r="A164" s="1"/>
      <c r="B164" s="1">
        <v>810943</v>
      </c>
      <c r="C164" s="1" t="s">
        <v>614</v>
      </c>
      <c r="D164" s="1" t="s">
        <v>615</v>
      </c>
      <c r="E164" s="2" t="s">
        <v>616</v>
      </c>
      <c r="F164" s="2" t="s">
        <v>617</v>
      </c>
      <c r="G164" s="2">
        <v>1</v>
      </c>
      <c r="H164" s="2">
        <v>0</v>
      </c>
      <c r="I164" s="1">
        <v>0</v>
      </c>
      <c r="J164" s="3" t="s">
        <v>16</v>
      </c>
      <c r="K164" s="2" t="str">
        <f>J164*1975.00</f>
        <v>0</v>
      </c>
      <c r="L164" s="5"/>
    </row>
    <row r="165" spans="1:12" outlineLevel="2">
      <c r="A165" s="8" t="s">
        <v>618</v>
      </c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5"/>
    </row>
    <row r="166" spans="1:12" customHeight="1" ht="105" outlineLevel="4">
      <c r="A166" s="1"/>
      <c r="B166" s="1">
        <v>837260</v>
      </c>
      <c r="C166" s="1" t="s">
        <v>619</v>
      </c>
      <c r="D166" s="1" t="s">
        <v>620</v>
      </c>
      <c r="E166" s="2" t="s">
        <v>621</v>
      </c>
      <c r="F166" s="2" t="s">
        <v>622</v>
      </c>
      <c r="G166" s="2">
        <v>0</v>
      </c>
      <c r="H166" s="2">
        <v>0</v>
      </c>
      <c r="I166" s="1">
        <v>0</v>
      </c>
      <c r="J166" s="3" t="s">
        <v>16</v>
      </c>
      <c r="K166" s="2" t="str">
        <f>J166*240.00</f>
        <v>0</v>
      </c>
      <c r="L166" s="5"/>
    </row>
    <row r="167" spans="1:12" customHeight="1" ht="105" outlineLevel="4">
      <c r="A167" s="1"/>
      <c r="B167" s="1">
        <v>837261</v>
      </c>
      <c r="C167" s="1" t="s">
        <v>623</v>
      </c>
      <c r="D167" s="1" t="s">
        <v>624</v>
      </c>
      <c r="E167" s="2" t="s">
        <v>625</v>
      </c>
      <c r="F167" s="2" t="s">
        <v>626</v>
      </c>
      <c r="G167" s="2">
        <v>0</v>
      </c>
      <c r="H167" s="2">
        <v>0</v>
      </c>
      <c r="I167" s="1">
        <v>0</v>
      </c>
      <c r="J167" s="3" t="s">
        <v>16</v>
      </c>
      <c r="K167" s="2" t="str">
        <f>J167*339.00</f>
        <v>0</v>
      </c>
      <c r="L167" s="5"/>
    </row>
    <row r="168" spans="1:12" customHeight="1" ht="105" outlineLevel="4">
      <c r="A168" s="1"/>
      <c r="B168" s="1">
        <v>837262</v>
      </c>
      <c r="C168" s="1" t="s">
        <v>627</v>
      </c>
      <c r="D168" s="1" t="s">
        <v>628</v>
      </c>
      <c r="E168" s="2" t="s">
        <v>629</v>
      </c>
      <c r="F168" s="2" t="s">
        <v>630</v>
      </c>
      <c r="G168" s="2">
        <v>0</v>
      </c>
      <c r="H168" s="2">
        <v>0</v>
      </c>
      <c r="I168" s="1">
        <v>0</v>
      </c>
      <c r="J168" s="3" t="s">
        <v>16</v>
      </c>
      <c r="K168" s="2" t="str">
        <f>J168*267.00</f>
        <v>0</v>
      </c>
      <c r="L168" s="5"/>
    </row>
    <row r="169" spans="1:12" customHeight="1" ht="105" outlineLevel="4">
      <c r="A169" s="1"/>
      <c r="B169" s="1">
        <v>837263</v>
      </c>
      <c r="C169" s="1" t="s">
        <v>631</v>
      </c>
      <c r="D169" s="1" t="s">
        <v>632</v>
      </c>
      <c r="E169" s="2" t="s">
        <v>633</v>
      </c>
      <c r="F169" s="2" t="s">
        <v>634</v>
      </c>
      <c r="G169" s="2">
        <v>0</v>
      </c>
      <c r="H169" s="2" t="s">
        <v>43</v>
      </c>
      <c r="I169" s="1">
        <v>0</v>
      </c>
      <c r="J169" s="3" t="s">
        <v>16</v>
      </c>
      <c r="K169" s="2" t="str">
        <f>J169*383.00</f>
        <v>0</v>
      </c>
      <c r="L169" s="5"/>
    </row>
    <row r="170" spans="1:12" customHeight="1" ht="105" outlineLevel="4">
      <c r="A170" s="1"/>
      <c r="B170" s="1">
        <v>837264</v>
      </c>
      <c r="C170" s="1" t="s">
        <v>635</v>
      </c>
      <c r="D170" s="1" t="s">
        <v>636</v>
      </c>
      <c r="E170" s="2" t="s">
        <v>637</v>
      </c>
      <c r="F170" s="2" t="s">
        <v>638</v>
      </c>
      <c r="G170" s="2">
        <v>1</v>
      </c>
      <c r="H170" s="2" t="s">
        <v>123</v>
      </c>
      <c r="I170" s="1">
        <v>0</v>
      </c>
      <c r="J170" s="3" t="s">
        <v>16</v>
      </c>
      <c r="K170" s="2" t="str">
        <f>J170*681.00</f>
        <v>0</v>
      </c>
      <c r="L170" s="5"/>
    </row>
    <row r="171" spans="1:12" customHeight="1" ht="105" outlineLevel="4">
      <c r="A171" s="1"/>
      <c r="B171" s="1">
        <v>837265</v>
      </c>
      <c r="C171" s="1" t="s">
        <v>639</v>
      </c>
      <c r="D171" s="1" t="s">
        <v>640</v>
      </c>
      <c r="E171" s="2" t="s">
        <v>641</v>
      </c>
      <c r="F171" s="2" t="s">
        <v>642</v>
      </c>
      <c r="G171" s="2">
        <v>0</v>
      </c>
      <c r="H171" s="2">
        <v>0</v>
      </c>
      <c r="I171" s="1">
        <v>0</v>
      </c>
      <c r="J171" s="3" t="s">
        <v>16</v>
      </c>
      <c r="K171" s="2" t="str">
        <f>J171*300.00</f>
        <v>0</v>
      </c>
      <c r="L171" s="5"/>
    </row>
    <row r="172" spans="1:12" customHeight="1" ht="105" outlineLevel="4">
      <c r="A172" s="1"/>
      <c r="B172" s="1">
        <v>837266</v>
      </c>
      <c r="C172" s="1" t="s">
        <v>643</v>
      </c>
      <c r="D172" s="1" t="s">
        <v>644</v>
      </c>
      <c r="E172" s="2" t="s">
        <v>645</v>
      </c>
      <c r="F172" s="2" t="s">
        <v>646</v>
      </c>
      <c r="G172" s="2">
        <v>0</v>
      </c>
      <c r="H172" s="2">
        <v>0</v>
      </c>
      <c r="I172" s="1">
        <v>0</v>
      </c>
      <c r="J172" s="3" t="s">
        <v>16</v>
      </c>
      <c r="K172" s="2" t="str">
        <f>J172*436.00</f>
        <v>0</v>
      </c>
      <c r="L172" s="5"/>
    </row>
    <row r="173" spans="1:12" customHeight="1" ht="105" outlineLevel="4">
      <c r="A173" s="1"/>
      <c r="B173" s="1">
        <v>837267</v>
      </c>
      <c r="C173" s="1" t="s">
        <v>647</v>
      </c>
      <c r="D173" s="1" t="s">
        <v>648</v>
      </c>
      <c r="E173" s="2" t="s">
        <v>649</v>
      </c>
      <c r="F173" s="2" t="s">
        <v>650</v>
      </c>
      <c r="G173" s="2">
        <v>0</v>
      </c>
      <c r="H173" s="2">
        <v>0</v>
      </c>
      <c r="I173" s="1">
        <v>0</v>
      </c>
      <c r="J173" s="3" t="s">
        <v>16</v>
      </c>
      <c r="K173" s="2" t="str">
        <f>J173*324.00</f>
        <v>0</v>
      </c>
      <c r="L173" s="5"/>
    </row>
    <row r="174" spans="1:12" customHeight="1" ht="105" outlineLevel="4">
      <c r="A174" s="1"/>
      <c r="B174" s="1">
        <v>837268</v>
      </c>
      <c r="C174" s="1" t="s">
        <v>651</v>
      </c>
      <c r="D174" s="1" t="s">
        <v>652</v>
      </c>
      <c r="E174" s="2" t="s">
        <v>653</v>
      </c>
      <c r="F174" s="2" t="s">
        <v>654</v>
      </c>
      <c r="G174" s="2">
        <v>0</v>
      </c>
      <c r="H174" s="2" t="s">
        <v>48</v>
      </c>
      <c r="I174" s="1">
        <v>0</v>
      </c>
      <c r="J174" s="3" t="s">
        <v>16</v>
      </c>
      <c r="K174" s="2" t="str">
        <f>J174*473.00</f>
        <v>0</v>
      </c>
      <c r="L174" s="5"/>
    </row>
    <row r="175" spans="1:12" customHeight="1" ht="105" outlineLevel="4">
      <c r="A175" s="1"/>
      <c r="B175" s="1">
        <v>837882</v>
      </c>
      <c r="C175" s="1" t="s">
        <v>655</v>
      </c>
      <c r="D175" s="1" t="s">
        <v>656</v>
      </c>
      <c r="E175" s="2" t="s">
        <v>657</v>
      </c>
      <c r="F175" s="2" t="s">
        <v>658</v>
      </c>
      <c r="G175" s="2">
        <v>0</v>
      </c>
      <c r="H175" s="2" t="s">
        <v>43</v>
      </c>
      <c r="I175" s="1">
        <v>0</v>
      </c>
      <c r="J175" s="3" t="s">
        <v>16</v>
      </c>
      <c r="K175" s="2" t="str">
        <f>J175*607.00</f>
        <v>0</v>
      </c>
      <c r="L175" s="5"/>
    </row>
    <row r="176" spans="1:12" customHeight="1" ht="105" outlineLevel="4">
      <c r="A176" s="1"/>
      <c r="B176" s="1">
        <v>837883</v>
      </c>
      <c r="C176" s="1" t="s">
        <v>659</v>
      </c>
      <c r="D176" s="1" t="s">
        <v>660</v>
      </c>
      <c r="E176" s="2" t="s">
        <v>661</v>
      </c>
      <c r="F176" s="2" t="s">
        <v>662</v>
      </c>
      <c r="G176" s="2">
        <v>-10</v>
      </c>
      <c r="H176" s="2" t="s">
        <v>43</v>
      </c>
      <c r="I176" s="1">
        <v>0</v>
      </c>
      <c r="J176" s="3" t="s">
        <v>16</v>
      </c>
      <c r="K176" s="2" t="str">
        <f>J176*294.00</f>
        <v>0</v>
      </c>
      <c r="L176" s="5"/>
    </row>
    <row r="177" spans="1:12" customHeight="1" ht="105" outlineLevel="4">
      <c r="A177" s="1"/>
      <c r="B177" s="1">
        <v>837884</v>
      </c>
      <c r="C177" s="1" t="s">
        <v>663</v>
      </c>
      <c r="D177" s="1" t="s">
        <v>664</v>
      </c>
      <c r="E177" s="2" t="s">
        <v>665</v>
      </c>
      <c r="F177" s="2" t="s">
        <v>666</v>
      </c>
      <c r="G177" s="2">
        <v>0</v>
      </c>
      <c r="H177" s="2">
        <v>0</v>
      </c>
      <c r="I177" s="1">
        <v>0</v>
      </c>
      <c r="J177" s="3" t="s">
        <v>16</v>
      </c>
      <c r="K177" s="2" t="str">
        <f>J177*582.00</f>
        <v>0</v>
      </c>
      <c r="L177" s="5"/>
    </row>
    <row r="178" spans="1:12" customHeight="1" ht="105" outlineLevel="4">
      <c r="A178" s="1"/>
      <c r="B178" s="1">
        <v>837885</v>
      </c>
      <c r="C178" s="1" t="s">
        <v>667</v>
      </c>
      <c r="D178" s="1" t="s">
        <v>668</v>
      </c>
      <c r="E178" s="2" t="s">
        <v>669</v>
      </c>
      <c r="F178" s="2" t="s">
        <v>670</v>
      </c>
      <c r="G178" s="2">
        <v>0</v>
      </c>
      <c r="H178" s="2">
        <v>0</v>
      </c>
      <c r="I178" s="1">
        <v>0</v>
      </c>
      <c r="J178" s="3" t="s">
        <v>16</v>
      </c>
      <c r="K178" s="2" t="str">
        <f>J178*335.00</f>
        <v>0</v>
      </c>
      <c r="L178" s="5"/>
    </row>
    <row r="179" spans="1:12" outlineLevel="2">
      <c r="A179" s="8" t="s">
        <v>671</v>
      </c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5"/>
    </row>
    <row r="180" spans="1:12" customHeight="1" ht="105" outlineLevel="4">
      <c r="A180" s="1"/>
      <c r="B180" s="1">
        <v>819423</v>
      </c>
      <c r="C180" s="1" t="s">
        <v>672</v>
      </c>
      <c r="D180" s="1" t="s">
        <v>673</v>
      </c>
      <c r="E180" s="2" t="s">
        <v>674</v>
      </c>
      <c r="F180" s="2" t="s">
        <v>675</v>
      </c>
      <c r="G180" s="2" t="s">
        <v>62</v>
      </c>
      <c r="H180" s="2">
        <v>0</v>
      </c>
      <c r="I180" s="1">
        <v>0</v>
      </c>
      <c r="J180" s="3" t="s">
        <v>16</v>
      </c>
      <c r="K180" s="2" t="str">
        <f>J180*374.85</f>
        <v>0</v>
      </c>
      <c r="L180" s="5"/>
    </row>
    <row r="181" spans="1:12" customHeight="1" ht="105" outlineLevel="4">
      <c r="A181" s="1"/>
      <c r="B181" s="1">
        <v>837303</v>
      </c>
      <c r="C181" s="1" t="s">
        <v>676</v>
      </c>
      <c r="D181" s="1" t="s">
        <v>677</v>
      </c>
      <c r="E181" s="2" t="s">
        <v>678</v>
      </c>
      <c r="F181" s="2" t="s">
        <v>679</v>
      </c>
      <c r="G181" s="2">
        <v>8</v>
      </c>
      <c r="H181" s="2">
        <v>0</v>
      </c>
      <c r="I181" s="1">
        <v>0</v>
      </c>
      <c r="J181" s="3" t="s">
        <v>16</v>
      </c>
      <c r="K181" s="2" t="str">
        <f>J181*587.56</f>
        <v>0</v>
      </c>
      <c r="L181" s="5"/>
    </row>
    <row r="182" spans="1:12" customHeight="1" ht="105" outlineLevel="4">
      <c r="A182" s="1"/>
      <c r="B182" s="1">
        <v>839784</v>
      </c>
      <c r="C182" s="1" t="s">
        <v>680</v>
      </c>
      <c r="D182" s="1" t="s">
        <v>681</v>
      </c>
      <c r="E182" s="2" t="s">
        <v>682</v>
      </c>
      <c r="F182" s="2" t="s">
        <v>683</v>
      </c>
      <c r="G182" s="2">
        <v>4</v>
      </c>
      <c r="H182" s="2">
        <v>0</v>
      </c>
      <c r="I182" s="1">
        <v>0</v>
      </c>
      <c r="J182" s="3" t="s">
        <v>16</v>
      </c>
      <c r="K182" s="2" t="str">
        <f>J182*7375.03</f>
        <v>0</v>
      </c>
      <c r="L182" s="5"/>
    </row>
    <row r="183" spans="1:12" customHeight="1" ht="105" outlineLevel="4">
      <c r="A183" s="1"/>
      <c r="B183" s="1">
        <v>839785</v>
      </c>
      <c r="C183" s="1" t="s">
        <v>684</v>
      </c>
      <c r="D183" s="1" t="s">
        <v>685</v>
      </c>
      <c r="E183" s="2" t="s">
        <v>686</v>
      </c>
      <c r="F183" s="2" t="s">
        <v>687</v>
      </c>
      <c r="G183" s="2">
        <v>5</v>
      </c>
      <c r="H183" s="2">
        <v>0</v>
      </c>
      <c r="I183" s="1">
        <v>0</v>
      </c>
      <c r="J183" s="3" t="s">
        <v>16</v>
      </c>
      <c r="K183" s="2" t="str">
        <f>J183*10425.89</f>
        <v>0</v>
      </c>
      <c r="L183" s="5"/>
    </row>
    <row r="184" spans="1:12" customHeight="1" ht="105" outlineLevel="4">
      <c r="A184" s="1"/>
      <c r="B184" s="1">
        <v>839786</v>
      </c>
      <c r="C184" s="1" t="s">
        <v>688</v>
      </c>
      <c r="D184" s="1" t="s">
        <v>689</v>
      </c>
      <c r="E184" s="2" t="s">
        <v>690</v>
      </c>
      <c r="F184" s="2" t="s">
        <v>691</v>
      </c>
      <c r="G184" s="2">
        <v>2</v>
      </c>
      <c r="H184" s="2">
        <v>0</v>
      </c>
      <c r="I184" s="1">
        <v>0</v>
      </c>
      <c r="J184" s="3" t="s">
        <v>16</v>
      </c>
      <c r="K184" s="2" t="str">
        <f>J184*15365.88</f>
        <v>0</v>
      </c>
      <c r="L184" s="5"/>
    </row>
    <row r="185" spans="1:12" customHeight="1" ht="105" outlineLevel="4">
      <c r="A185" s="1"/>
      <c r="B185" s="1">
        <v>810992</v>
      </c>
      <c r="C185" s="1" t="s">
        <v>692</v>
      </c>
      <c r="D185" s="1" t="s">
        <v>693</v>
      </c>
      <c r="E185" s="2" t="s">
        <v>694</v>
      </c>
      <c r="F185" s="2" t="s">
        <v>695</v>
      </c>
      <c r="G185" s="2" t="s">
        <v>33</v>
      </c>
      <c r="H185" s="2">
        <v>0</v>
      </c>
      <c r="I185" s="1">
        <v>0</v>
      </c>
      <c r="J185" s="3" t="s">
        <v>16</v>
      </c>
      <c r="K185" s="2" t="str">
        <f>J185*377.83</f>
        <v>0</v>
      </c>
      <c r="L185" s="5"/>
    </row>
    <row r="186" spans="1:12" customHeight="1" ht="105" outlineLevel="4">
      <c r="A186" s="1"/>
      <c r="B186" s="1">
        <v>810993</v>
      </c>
      <c r="C186" s="1" t="s">
        <v>696</v>
      </c>
      <c r="D186" s="1" t="s">
        <v>697</v>
      </c>
      <c r="E186" s="2" t="s">
        <v>698</v>
      </c>
      <c r="F186" s="2" t="s">
        <v>699</v>
      </c>
      <c r="G186" s="2" t="s">
        <v>62</v>
      </c>
      <c r="H186" s="2">
        <v>0</v>
      </c>
      <c r="I186" s="1">
        <v>0</v>
      </c>
      <c r="J186" s="3" t="s">
        <v>16</v>
      </c>
      <c r="K186" s="2" t="str">
        <f>J186*554.84</f>
        <v>0</v>
      </c>
      <c r="L186" s="5"/>
    </row>
    <row r="187" spans="1:12" customHeight="1" ht="105" outlineLevel="4">
      <c r="A187" s="1"/>
      <c r="B187" s="1">
        <v>810994</v>
      </c>
      <c r="C187" s="1" t="s">
        <v>700</v>
      </c>
      <c r="D187" s="1" t="s">
        <v>701</v>
      </c>
      <c r="E187" s="2" t="s">
        <v>702</v>
      </c>
      <c r="F187" s="2" t="s">
        <v>703</v>
      </c>
      <c r="G187" s="2">
        <v>0</v>
      </c>
      <c r="H187" s="2">
        <v>0</v>
      </c>
      <c r="I187" s="1">
        <v>0</v>
      </c>
      <c r="J187" s="3" t="s">
        <v>16</v>
      </c>
      <c r="K187" s="2" t="str">
        <f>J187*880.60</f>
        <v>0</v>
      </c>
      <c r="L187" s="5"/>
    </row>
    <row r="188" spans="1:12" customHeight="1" ht="105" outlineLevel="4">
      <c r="A188" s="1"/>
      <c r="B188" s="1">
        <v>810995</v>
      </c>
      <c r="C188" s="1" t="s">
        <v>704</v>
      </c>
      <c r="D188" s="1" t="s">
        <v>705</v>
      </c>
      <c r="E188" s="2" t="s">
        <v>706</v>
      </c>
      <c r="F188" s="2" t="s">
        <v>707</v>
      </c>
      <c r="G188" s="2">
        <v>8</v>
      </c>
      <c r="H188" s="2">
        <v>0</v>
      </c>
      <c r="I188" s="1">
        <v>0</v>
      </c>
      <c r="J188" s="3" t="s">
        <v>16</v>
      </c>
      <c r="K188" s="2" t="str">
        <f>J188*1436.93</f>
        <v>0</v>
      </c>
      <c r="L188" s="5"/>
    </row>
    <row r="189" spans="1:12" customHeight="1" ht="105" outlineLevel="4">
      <c r="A189" s="1"/>
      <c r="B189" s="1">
        <v>810996</v>
      </c>
      <c r="C189" s="1" t="s">
        <v>708</v>
      </c>
      <c r="D189" s="1" t="s">
        <v>709</v>
      </c>
      <c r="E189" s="2" t="s">
        <v>710</v>
      </c>
      <c r="F189" s="2" t="s">
        <v>711</v>
      </c>
      <c r="G189" s="2">
        <v>6</v>
      </c>
      <c r="H189" s="2">
        <v>0</v>
      </c>
      <c r="I189" s="1">
        <v>0</v>
      </c>
      <c r="J189" s="3" t="s">
        <v>16</v>
      </c>
      <c r="K189" s="2" t="str">
        <f>J189*2327.94</f>
        <v>0</v>
      </c>
      <c r="L189" s="5"/>
    </row>
    <row r="190" spans="1:12" customHeight="1" ht="105" outlineLevel="4">
      <c r="A190" s="1"/>
      <c r="B190" s="1">
        <v>810997</v>
      </c>
      <c r="C190" s="1" t="s">
        <v>712</v>
      </c>
      <c r="D190" s="1" t="s">
        <v>713</v>
      </c>
      <c r="E190" s="2" t="s">
        <v>714</v>
      </c>
      <c r="F190" s="2" t="s">
        <v>715</v>
      </c>
      <c r="G190" s="2">
        <v>6</v>
      </c>
      <c r="H190" s="2">
        <v>0</v>
      </c>
      <c r="I190" s="1">
        <v>0</v>
      </c>
      <c r="J190" s="3" t="s">
        <v>16</v>
      </c>
      <c r="K190" s="2" t="str">
        <f>J190*3546.20</f>
        <v>0</v>
      </c>
      <c r="L190" s="5"/>
    </row>
    <row r="191" spans="1:12" customHeight="1" ht="105" outlineLevel="4">
      <c r="A191" s="1"/>
      <c r="B191" s="1">
        <v>810998</v>
      </c>
      <c r="C191" s="1" t="s">
        <v>716</v>
      </c>
      <c r="D191" s="1" t="s">
        <v>717</v>
      </c>
      <c r="E191" s="2" t="s">
        <v>718</v>
      </c>
      <c r="F191" s="2" t="s">
        <v>61</v>
      </c>
      <c r="G191" s="2" t="s">
        <v>33</v>
      </c>
      <c r="H191" s="2">
        <v>0</v>
      </c>
      <c r="I191" s="1">
        <v>0</v>
      </c>
      <c r="J191" s="3" t="s">
        <v>16</v>
      </c>
      <c r="K191" s="2" t="str">
        <f>J191*397.16</f>
        <v>0</v>
      </c>
      <c r="L191" s="5"/>
    </row>
    <row r="192" spans="1:12" customHeight="1" ht="105" outlineLevel="4">
      <c r="A192" s="1"/>
      <c r="B192" s="1">
        <v>810999</v>
      </c>
      <c r="C192" s="1" t="s">
        <v>719</v>
      </c>
      <c r="D192" s="1" t="s">
        <v>720</v>
      </c>
      <c r="E192" s="2" t="s">
        <v>721</v>
      </c>
      <c r="F192" s="2" t="s">
        <v>722</v>
      </c>
      <c r="G192" s="2" t="s">
        <v>33</v>
      </c>
      <c r="H192" s="2">
        <v>0</v>
      </c>
      <c r="I192" s="1">
        <v>0</v>
      </c>
      <c r="J192" s="3" t="s">
        <v>16</v>
      </c>
      <c r="K192" s="2" t="str">
        <f>J192*596.49</f>
        <v>0</v>
      </c>
      <c r="L192" s="5"/>
    </row>
    <row r="193" spans="1:12" customHeight="1" ht="105" outlineLevel="4">
      <c r="A193" s="1"/>
      <c r="B193" s="1">
        <v>811000</v>
      </c>
      <c r="C193" s="1" t="s">
        <v>723</v>
      </c>
      <c r="D193" s="1" t="s">
        <v>724</v>
      </c>
      <c r="E193" s="2" t="s">
        <v>725</v>
      </c>
      <c r="F193" s="2" t="s">
        <v>726</v>
      </c>
      <c r="G193" s="2" t="s">
        <v>48</v>
      </c>
      <c r="H193" s="2">
        <v>0</v>
      </c>
      <c r="I193" s="1">
        <v>0</v>
      </c>
      <c r="J193" s="3" t="s">
        <v>16</v>
      </c>
      <c r="K193" s="2" t="str">
        <f>J193*952.00</f>
        <v>0</v>
      </c>
      <c r="L193" s="5"/>
    </row>
    <row r="194" spans="1:12" customHeight="1" ht="105" outlineLevel="4">
      <c r="A194" s="1"/>
      <c r="B194" s="1">
        <v>811001</v>
      </c>
      <c r="C194" s="1" t="s">
        <v>727</v>
      </c>
      <c r="D194" s="1" t="s">
        <v>728</v>
      </c>
      <c r="E194" s="2" t="s">
        <v>729</v>
      </c>
      <c r="F194" s="2" t="s">
        <v>730</v>
      </c>
      <c r="G194" s="2">
        <v>0</v>
      </c>
      <c r="H194" s="2">
        <v>0</v>
      </c>
      <c r="I194" s="1">
        <v>0</v>
      </c>
      <c r="J194" s="3" t="s">
        <v>16</v>
      </c>
      <c r="K194" s="2" t="str">
        <f>J194*1502.38</f>
        <v>0</v>
      </c>
      <c r="L194" s="5"/>
    </row>
    <row r="195" spans="1:12" customHeight="1" ht="105" outlineLevel="4">
      <c r="A195" s="1"/>
      <c r="B195" s="1">
        <v>811002</v>
      </c>
      <c r="C195" s="1" t="s">
        <v>731</v>
      </c>
      <c r="D195" s="1" t="s">
        <v>732</v>
      </c>
      <c r="E195" s="2" t="s">
        <v>733</v>
      </c>
      <c r="F195" s="2" t="s">
        <v>734</v>
      </c>
      <c r="G195" s="2">
        <v>4</v>
      </c>
      <c r="H195" s="2">
        <v>0</v>
      </c>
      <c r="I195" s="1">
        <v>0</v>
      </c>
      <c r="J195" s="3" t="s">
        <v>16</v>
      </c>
      <c r="K195" s="2" t="str">
        <f>J195*2408.26</f>
        <v>0</v>
      </c>
      <c r="L195" s="5"/>
    </row>
    <row r="196" spans="1:12" customHeight="1" ht="105" outlineLevel="4">
      <c r="A196" s="1"/>
      <c r="B196" s="1">
        <v>811003</v>
      </c>
      <c r="C196" s="1" t="s">
        <v>735</v>
      </c>
      <c r="D196" s="1" t="s">
        <v>736</v>
      </c>
      <c r="E196" s="2" t="s">
        <v>737</v>
      </c>
      <c r="F196" s="2" t="s">
        <v>738</v>
      </c>
      <c r="G196" s="2">
        <v>3</v>
      </c>
      <c r="H196" s="2">
        <v>0</v>
      </c>
      <c r="I196" s="1">
        <v>0</v>
      </c>
      <c r="J196" s="3" t="s">
        <v>16</v>
      </c>
      <c r="K196" s="2" t="str">
        <f>J196*3760.40</f>
        <v>0</v>
      </c>
      <c r="L196" s="5"/>
    </row>
    <row r="197" spans="1:12" customHeight="1" ht="105" outlineLevel="4">
      <c r="A197" s="1"/>
      <c r="B197" s="1">
        <v>811004</v>
      </c>
      <c r="C197" s="1" t="s">
        <v>739</v>
      </c>
      <c r="D197" s="1" t="s">
        <v>740</v>
      </c>
      <c r="E197" s="2" t="s">
        <v>741</v>
      </c>
      <c r="F197" s="2" t="s">
        <v>742</v>
      </c>
      <c r="G197" s="2" t="s">
        <v>25</v>
      </c>
      <c r="H197" s="2">
        <v>0</v>
      </c>
      <c r="I197" s="1">
        <v>0</v>
      </c>
      <c r="J197" s="3" t="s">
        <v>16</v>
      </c>
      <c r="K197" s="2" t="str">
        <f>J197*368.90</f>
        <v>0</v>
      </c>
      <c r="L197" s="5"/>
    </row>
    <row r="198" spans="1:12" customHeight="1" ht="105" outlineLevel="4">
      <c r="A198" s="1"/>
      <c r="B198" s="1">
        <v>811005</v>
      </c>
      <c r="C198" s="1" t="s">
        <v>743</v>
      </c>
      <c r="D198" s="1" t="s">
        <v>744</v>
      </c>
      <c r="E198" s="2" t="s">
        <v>745</v>
      </c>
      <c r="F198" s="2" t="s">
        <v>679</v>
      </c>
      <c r="G198" s="2" t="s">
        <v>25</v>
      </c>
      <c r="H198" s="2">
        <v>0</v>
      </c>
      <c r="I198" s="1">
        <v>0</v>
      </c>
      <c r="J198" s="3" t="s">
        <v>16</v>
      </c>
      <c r="K198" s="2" t="str">
        <f>J198*587.56</f>
        <v>0</v>
      </c>
      <c r="L198" s="5"/>
    </row>
    <row r="199" spans="1:12" customHeight="1" ht="105" outlineLevel="4">
      <c r="A199" s="1"/>
      <c r="B199" s="1">
        <v>811006</v>
      </c>
      <c r="C199" s="1" t="s">
        <v>746</v>
      </c>
      <c r="D199" s="1" t="s">
        <v>747</v>
      </c>
      <c r="E199" s="2" t="s">
        <v>748</v>
      </c>
      <c r="F199" s="2" t="s">
        <v>749</v>
      </c>
      <c r="G199" s="2" t="s">
        <v>62</v>
      </c>
      <c r="H199" s="2">
        <v>0</v>
      </c>
      <c r="I199" s="1">
        <v>0</v>
      </c>
      <c r="J199" s="3" t="s">
        <v>16</v>
      </c>
      <c r="K199" s="2" t="str">
        <f>J199*893.99</f>
        <v>0</v>
      </c>
      <c r="L199" s="5"/>
    </row>
    <row r="200" spans="1:12" customHeight="1" ht="105" outlineLevel="4">
      <c r="A200" s="1"/>
      <c r="B200" s="1">
        <v>811007</v>
      </c>
      <c r="C200" s="1" t="s">
        <v>750</v>
      </c>
      <c r="D200" s="1" t="s">
        <v>751</v>
      </c>
      <c r="E200" s="2" t="s">
        <v>752</v>
      </c>
      <c r="F200" s="2" t="s">
        <v>753</v>
      </c>
      <c r="G200" s="2" t="s">
        <v>25</v>
      </c>
      <c r="H200" s="2">
        <v>0</v>
      </c>
      <c r="I200" s="1">
        <v>0</v>
      </c>
      <c r="J200" s="3" t="s">
        <v>16</v>
      </c>
      <c r="K200" s="2" t="str">
        <f>J200*404.60</f>
        <v>0</v>
      </c>
      <c r="L200" s="5"/>
    </row>
    <row r="201" spans="1:12" customHeight="1" ht="105" outlineLevel="4">
      <c r="A201" s="1"/>
      <c r="B201" s="1">
        <v>811008</v>
      </c>
      <c r="C201" s="1" t="s">
        <v>754</v>
      </c>
      <c r="D201" s="1" t="s">
        <v>755</v>
      </c>
      <c r="E201" s="2" t="s">
        <v>756</v>
      </c>
      <c r="F201" s="2" t="s">
        <v>757</v>
      </c>
      <c r="G201" s="2" t="s">
        <v>25</v>
      </c>
      <c r="H201" s="2">
        <v>0</v>
      </c>
      <c r="I201" s="1">
        <v>0</v>
      </c>
      <c r="J201" s="3" t="s">
        <v>16</v>
      </c>
      <c r="K201" s="2" t="str">
        <f>J201*611.36</f>
        <v>0</v>
      </c>
      <c r="L201" s="5"/>
    </row>
    <row r="202" spans="1:12" customHeight="1" ht="105" outlineLevel="4">
      <c r="A202" s="1"/>
      <c r="B202" s="1">
        <v>811009</v>
      </c>
      <c r="C202" s="1" t="s">
        <v>758</v>
      </c>
      <c r="D202" s="1" t="s">
        <v>759</v>
      </c>
      <c r="E202" s="2" t="s">
        <v>760</v>
      </c>
      <c r="F202" s="2" t="s">
        <v>761</v>
      </c>
      <c r="G202" s="2" t="s">
        <v>33</v>
      </c>
      <c r="H202" s="2">
        <v>0</v>
      </c>
      <c r="I202" s="1">
        <v>0</v>
      </c>
      <c r="J202" s="3" t="s">
        <v>16</v>
      </c>
      <c r="K202" s="2" t="str">
        <f>J202*956.46</f>
        <v>0</v>
      </c>
      <c r="L202" s="5"/>
    </row>
    <row r="203" spans="1:12" customHeight="1" ht="105" outlineLevel="4">
      <c r="A203" s="1"/>
      <c r="B203" s="1">
        <v>811010</v>
      </c>
      <c r="C203" s="1" t="s">
        <v>762</v>
      </c>
      <c r="D203" s="1" t="s">
        <v>763</v>
      </c>
      <c r="E203" s="2" t="s">
        <v>764</v>
      </c>
      <c r="F203" s="2" t="s">
        <v>765</v>
      </c>
      <c r="G203" s="2">
        <v>2</v>
      </c>
      <c r="H203" s="2">
        <v>0</v>
      </c>
      <c r="I203" s="1">
        <v>0</v>
      </c>
      <c r="J203" s="3" t="s">
        <v>16</v>
      </c>
      <c r="K203" s="2" t="str">
        <f>J203*413.53</f>
        <v>0</v>
      </c>
      <c r="L203" s="5"/>
    </row>
    <row r="204" spans="1:12" customHeight="1" ht="105" outlineLevel="4">
      <c r="A204" s="1"/>
      <c r="B204" s="1">
        <v>811011</v>
      </c>
      <c r="C204" s="1" t="s">
        <v>766</v>
      </c>
      <c r="D204" s="1" t="s">
        <v>767</v>
      </c>
      <c r="E204" s="2" t="s">
        <v>768</v>
      </c>
      <c r="F204" s="2" t="s">
        <v>769</v>
      </c>
      <c r="G204" s="2">
        <v>5</v>
      </c>
      <c r="H204" s="2">
        <v>0</v>
      </c>
      <c r="I204" s="1">
        <v>0</v>
      </c>
      <c r="J204" s="3" t="s">
        <v>16</v>
      </c>
      <c r="K204" s="2" t="str">
        <f>J204*599.46</f>
        <v>0</v>
      </c>
      <c r="L204" s="5"/>
    </row>
    <row r="205" spans="1:12" customHeight="1" ht="105" outlineLevel="4">
      <c r="A205" s="1"/>
      <c r="B205" s="1">
        <v>811012</v>
      </c>
      <c r="C205" s="1" t="s">
        <v>770</v>
      </c>
      <c r="D205" s="1" t="s">
        <v>771</v>
      </c>
      <c r="E205" s="2" t="s">
        <v>772</v>
      </c>
      <c r="F205" s="2" t="s">
        <v>773</v>
      </c>
      <c r="G205" s="2" t="s">
        <v>25</v>
      </c>
      <c r="H205" s="2">
        <v>0</v>
      </c>
      <c r="I205" s="1">
        <v>0</v>
      </c>
      <c r="J205" s="3" t="s">
        <v>16</v>
      </c>
      <c r="K205" s="2" t="str">
        <f>J205*501.29</f>
        <v>0</v>
      </c>
      <c r="L205" s="5"/>
    </row>
    <row r="206" spans="1:12" customHeight="1" ht="105" outlineLevel="4">
      <c r="A206" s="1"/>
      <c r="B206" s="1">
        <v>811013</v>
      </c>
      <c r="C206" s="1" t="s">
        <v>774</v>
      </c>
      <c r="D206" s="1" t="s">
        <v>775</v>
      </c>
      <c r="E206" s="2" t="s">
        <v>776</v>
      </c>
      <c r="F206" s="2" t="s">
        <v>777</v>
      </c>
      <c r="G206" s="2">
        <v>0</v>
      </c>
      <c r="H206" s="2">
        <v>0</v>
      </c>
      <c r="I206" s="1">
        <v>0</v>
      </c>
      <c r="J206" s="3" t="s">
        <v>16</v>
      </c>
      <c r="K206" s="2" t="str">
        <f>J206*761.60</f>
        <v>0</v>
      </c>
      <c r="L206" s="5"/>
    </row>
    <row r="207" spans="1:12" customHeight="1" ht="105" outlineLevel="4">
      <c r="A207" s="1"/>
      <c r="B207" s="1">
        <v>811014</v>
      </c>
      <c r="C207" s="1" t="s">
        <v>778</v>
      </c>
      <c r="D207" s="1" t="s">
        <v>779</v>
      </c>
      <c r="E207" s="2" t="s">
        <v>780</v>
      </c>
      <c r="F207" s="2" t="s">
        <v>781</v>
      </c>
      <c r="G207" s="2">
        <v>0</v>
      </c>
      <c r="H207" s="2">
        <v>0</v>
      </c>
      <c r="I207" s="1">
        <v>0</v>
      </c>
      <c r="J207" s="3" t="s">
        <v>16</v>
      </c>
      <c r="K207" s="2" t="str">
        <f>J207*1228.68</f>
        <v>0</v>
      </c>
      <c r="L207" s="5"/>
    </row>
    <row r="208" spans="1:12" customHeight="1" ht="105" outlineLevel="4">
      <c r="A208" s="1"/>
      <c r="B208" s="1">
        <v>811015</v>
      </c>
      <c r="C208" s="1" t="s">
        <v>782</v>
      </c>
      <c r="D208" s="1" t="s">
        <v>783</v>
      </c>
      <c r="E208" s="2" t="s">
        <v>784</v>
      </c>
      <c r="F208" s="2" t="s">
        <v>785</v>
      </c>
      <c r="G208" s="2" t="s">
        <v>62</v>
      </c>
      <c r="H208" s="2">
        <v>0</v>
      </c>
      <c r="I208" s="1">
        <v>0</v>
      </c>
      <c r="J208" s="3" t="s">
        <v>16</v>
      </c>
      <c r="K208" s="2" t="str">
        <f>J208*2033.41</f>
        <v>0</v>
      </c>
      <c r="L208" s="5"/>
    </row>
    <row r="209" spans="1:12" customHeight="1" ht="105" outlineLevel="4">
      <c r="A209" s="1"/>
      <c r="B209" s="1">
        <v>811016</v>
      </c>
      <c r="C209" s="1" t="s">
        <v>786</v>
      </c>
      <c r="D209" s="1" t="s">
        <v>787</v>
      </c>
      <c r="E209" s="2" t="s">
        <v>788</v>
      </c>
      <c r="F209" s="2" t="s">
        <v>773</v>
      </c>
      <c r="G209" s="2" t="s">
        <v>48</v>
      </c>
      <c r="H209" s="2">
        <v>0</v>
      </c>
      <c r="I209" s="1">
        <v>0</v>
      </c>
      <c r="J209" s="3" t="s">
        <v>16</v>
      </c>
      <c r="K209" s="2" t="str">
        <f>J209*501.29</f>
        <v>0</v>
      </c>
      <c r="L209" s="5"/>
    </row>
    <row r="210" spans="1:12" customHeight="1" ht="105" outlineLevel="4">
      <c r="A210" s="1"/>
      <c r="B210" s="1">
        <v>811017</v>
      </c>
      <c r="C210" s="1" t="s">
        <v>789</v>
      </c>
      <c r="D210" s="1" t="s">
        <v>790</v>
      </c>
      <c r="E210" s="2" t="s">
        <v>791</v>
      </c>
      <c r="F210" s="2" t="s">
        <v>792</v>
      </c>
      <c r="G210" s="2" t="s">
        <v>48</v>
      </c>
      <c r="H210" s="2">
        <v>0</v>
      </c>
      <c r="I210" s="1">
        <v>0</v>
      </c>
      <c r="J210" s="3" t="s">
        <v>16</v>
      </c>
      <c r="K210" s="2" t="str">
        <f>J210*835.98</f>
        <v>0</v>
      </c>
      <c r="L210" s="5"/>
    </row>
    <row r="211" spans="1:12" customHeight="1" ht="105" outlineLevel="4">
      <c r="A211" s="1"/>
      <c r="B211" s="1">
        <v>828532</v>
      </c>
      <c r="C211" s="1" t="s">
        <v>793</v>
      </c>
      <c r="D211" s="1" t="s">
        <v>794</v>
      </c>
      <c r="E211" s="2" t="s">
        <v>795</v>
      </c>
      <c r="F211" s="2" t="s">
        <v>796</v>
      </c>
      <c r="G211" s="2">
        <v>0</v>
      </c>
      <c r="H211" s="2">
        <v>0</v>
      </c>
      <c r="I211" s="1">
        <v>0</v>
      </c>
      <c r="J211" s="3" t="s">
        <v>16</v>
      </c>
      <c r="K211" s="2" t="str">
        <f>J211*1359.58</f>
        <v>0</v>
      </c>
      <c r="L211" s="5"/>
    </row>
    <row r="212" spans="1:12" customHeight="1" ht="105" outlineLevel="4">
      <c r="A212" s="1"/>
      <c r="B212" s="1">
        <v>823083</v>
      </c>
      <c r="C212" s="1" t="s">
        <v>797</v>
      </c>
      <c r="D212" s="1" t="s">
        <v>798</v>
      </c>
      <c r="E212" s="2" t="s">
        <v>799</v>
      </c>
      <c r="F212" s="2" t="s">
        <v>800</v>
      </c>
      <c r="G212" s="2">
        <v>0</v>
      </c>
      <c r="H212" s="2">
        <v>0</v>
      </c>
      <c r="I212" s="1">
        <v>0</v>
      </c>
      <c r="J212" s="3" t="s">
        <v>16</v>
      </c>
      <c r="K212" s="2" t="str">
        <f>J212*534.01</f>
        <v>0</v>
      </c>
      <c r="L212" s="5"/>
    </row>
    <row r="213" spans="1:12" customHeight="1" ht="105" outlineLevel="4">
      <c r="A213" s="1"/>
      <c r="B213" s="1">
        <v>823116</v>
      </c>
      <c r="C213" s="1" t="s">
        <v>801</v>
      </c>
      <c r="D213" s="1" t="s">
        <v>802</v>
      </c>
      <c r="E213" s="2" t="s">
        <v>803</v>
      </c>
      <c r="F213" s="2" t="s">
        <v>804</v>
      </c>
      <c r="G213" s="2" t="s">
        <v>33</v>
      </c>
      <c r="H213" s="2">
        <v>0</v>
      </c>
      <c r="I213" s="1">
        <v>0</v>
      </c>
      <c r="J213" s="3" t="s">
        <v>16</v>
      </c>
      <c r="K213" s="2" t="str">
        <f>J213*801.76</f>
        <v>0</v>
      </c>
      <c r="L213" s="5"/>
    </row>
    <row r="214" spans="1:12" customHeight="1" ht="105" outlineLevel="4">
      <c r="A214" s="1"/>
      <c r="B214" s="1">
        <v>823089</v>
      </c>
      <c r="C214" s="1" t="s">
        <v>805</v>
      </c>
      <c r="D214" s="1" t="s">
        <v>806</v>
      </c>
      <c r="E214" s="2" t="s">
        <v>807</v>
      </c>
      <c r="F214" s="2" t="s">
        <v>808</v>
      </c>
      <c r="G214" s="2" t="s">
        <v>48</v>
      </c>
      <c r="H214" s="2">
        <v>0</v>
      </c>
      <c r="I214" s="1">
        <v>0</v>
      </c>
      <c r="J214" s="3" t="s">
        <v>16</v>
      </c>
      <c r="K214" s="2" t="str">
        <f>J214*1288.18</f>
        <v>0</v>
      </c>
      <c r="L214" s="5"/>
    </row>
    <row r="215" spans="1:12" customHeight="1" ht="105" outlineLevel="4">
      <c r="A215" s="1"/>
      <c r="B215" s="1">
        <v>823084</v>
      </c>
      <c r="C215" s="1" t="s">
        <v>809</v>
      </c>
      <c r="D215" s="1" t="s">
        <v>810</v>
      </c>
      <c r="E215" s="2" t="s">
        <v>811</v>
      </c>
      <c r="F215" s="2" t="s">
        <v>773</v>
      </c>
      <c r="G215" s="2" t="s">
        <v>33</v>
      </c>
      <c r="H215" s="2">
        <v>0</v>
      </c>
      <c r="I215" s="1">
        <v>0</v>
      </c>
      <c r="J215" s="3" t="s">
        <v>16</v>
      </c>
      <c r="K215" s="2" t="str">
        <f>J215*501.29</f>
        <v>0</v>
      </c>
      <c r="L215" s="5"/>
    </row>
    <row r="216" spans="1:12" customHeight="1" ht="105" outlineLevel="4">
      <c r="A216" s="1"/>
      <c r="B216" s="1">
        <v>823090</v>
      </c>
      <c r="C216" s="1" t="s">
        <v>812</v>
      </c>
      <c r="D216" s="1" t="s">
        <v>813</v>
      </c>
      <c r="E216" s="2" t="s">
        <v>814</v>
      </c>
      <c r="F216" s="2" t="s">
        <v>777</v>
      </c>
      <c r="G216" s="2" t="s">
        <v>25</v>
      </c>
      <c r="H216" s="2">
        <v>0</v>
      </c>
      <c r="I216" s="1">
        <v>0</v>
      </c>
      <c r="J216" s="3" t="s">
        <v>16</v>
      </c>
      <c r="K216" s="2" t="str">
        <f>J216*761.60</f>
        <v>0</v>
      </c>
      <c r="L216" s="5"/>
    </row>
    <row r="217" spans="1:12" customHeight="1" ht="105" outlineLevel="4">
      <c r="A217" s="1"/>
      <c r="B217" s="1">
        <v>823117</v>
      </c>
      <c r="C217" s="1" t="s">
        <v>815</v>
      </c>
      <c r="D217" s="1" t="s">
        <v>816</v>
      </c>
      <c r="E217" s="2" t="s">
        <v>817</v>
      </c>
      <c r="F217" s="2" t="s">
        <v>781</v>
      </c>
      <c r="G217" s="2" t="s">
        <v>62</v>
      </c>
      <c r="H217" s="2">
        <v>0</v>
      </c>
      <c r="I217" s="1">
        <v>0</v>
      </c>
      <c r="J217" s="3" t="s">
        <v>16</v>
      </c>
      <c r="K217" s="2" t="str">
        <f>J217*1228.68</f>
        <v>0</v>
      </c>
      <c r="L217" s="5"/>
    </row>
    <row r="218" spans="1:12" customHeight="1" ht="105" outlineLevel="4">
      <c r="A218" s="1"/>
      <c r="B218" s="1">
        <v>824567</v>
      </c>
      <c r="C218" s="1" t="s">
        <v>818</v>
      </c>
      <c r="D218" s="1" t="s">
        <v>819</v>
      </c>
      <c r="E218" s="2" t="s">
        <v>820</v>
      </c>
      <c r="F218" s="2" t="s">
        <v>773</v>
      </c>
      <c r="G218" s="2" t="s">
        <v>48</v>
      </c>
      <c r="H218" s="2">
        <v>0</v>
      </c>
      <c r="I218" s="1">
        <v>0</v>
      </c>
      <c r="J218" s="3" t="s">
        <v>16</v>
      </c>
      <c r="K218" s="2" t="str">
        <f>J218*501.29</f>
        <v>0</v>
      </c>
      <c r="L218" s="5"/>
    </row>
    <row r="219" spans="1:12" customHeight="1" ht="105" outlineLevel="4">
      <c r="A219" s="1"/>
      <c r="B219" s="1">
        <v>824568</v>
      </c>
      <c r="C219" s="1" t="s">
        <v>821</v>
      </c>
      <c r="D219" s="1" t="s">
        <v>822</v>
      </c>
      <c r="E219" s="2" t="s">
        <v>823</v>
      </c>
      <c r="F219" s="2" t="s">
        <v>824</v>
      </c>
      <c r="G219" s="2" t="s">
        <v>62</v>
      </c>
      <c r="H219" s="2">
        <v>0</v>
      </c>
      <c r="I219" s="1">
        <v>0</v>
      </c>
      <c r="J219" s="3" t="s">
        <v>16</v>
      </c>
      <c r="K219" s="2" t="str">
        <f>J219*743.75</f>
        <v>0</v>
      </c>
      <c r="L219" s="5"/>
    </row>
    <row r="220" spans="1:12" customHeight="1" ht="105" outlineLevel="4">
      <c r="A220" s="1"/>
      <c r="B220" s="1">
        <v>824569</v>
      </c>
      <c r="C220" s="1" t="s">
        <v>825</v>
      </c>
      <c r="D220" s="1" t="s">
        <v>826</v>
      </c>
      <c r="E220" s="2" t="s">
        <v>827</v>
      </c>
      <c r="F220" s="2" t="s">
        <v>828</v>
      </c>
      <c r="G220" s="2" t="s">
        <v>33</v>
      </c>
      <c r="H220" s="2">
        <v>0</v>
      </c>
      <c r="I220" s="1">
        <v>0</v>
      </c>
      <c r="J220" s="3" t="s">
        <v>16</v>
      </c>
      <c r="K220" s="2" t="str">
        <f>J220*489.39</f>
        <v>0</v>
      </c>
      <c r="L220" s="5"/>
    </row>
    <row r="221" spans="1:12" customHeight="1" ht="105" outlineLevel="4">
      <c r="A221" s="1"/>
      <c r="B221" s="1">
        <v>824570</v>
      </c>
      <c r="C221" s="1" t="s">
        <v>829</v>
      </c>
      <c r="D221" s="1" t="s">
        <v>830</v>
      </c>
      <c r="E221" s="2" t="s">
        <v>831</v>
      </c>
      <c r="F221" s="2" t="s">
        <v>832</v>
      </c>
      <c r="G221" s="2" t="s">
        <v>62</v>
      </c>
      <c r="H221" s="2">
        <v>0</v>
      </c>
      <c r="I221" s="1">
        <v>0</v>
      </c>
      <c r="J221" s="3" t="s">
        <v>16</v>
      </c>
      <c r="K221" s="2" t="str">
        <f>J221*727.39</f>
        <v>0</v>
      </c>
      <c r="L221" s="5"/>
    </row>
    <row r="222" spans="1:12" customHeight="1" ht="105" outlineLevel="4">
      <c r="A222" s="1"/>
      <c r="B222" s="1">
        <v>824571</v>
      </c>
      <c r="C222" s="1" t="s">
        <v>833</v>
      </c>
      <c r="D222" s="1" t="s">
        <v>834</v>
      </c>
      <c r="E222" s="2" t="s">
        <v>835</v>
      </c>
      <c r="F222" s="2" t="s">
        <v>836</v>
      </c>
      <c r="G222" s="2">
        <v>0</v>
      </c>
      <c r="H222" s="2">
        <v>0</v>
      </c>
      <c r="I222" s="1">
        <v>0</v>
      </c>
      <c r="J222" s="3" t="s">
        <v>16</v>
      </c>
      <c r="K222" s="2" t="str">
        <f>J222*620.29</f>
        <v>0</v>
      </c>
      <c r="L222" s="5"/>
    </row>
    <row r="223" spans="1:12" customHeight="1" ht="105" outlineLevel="4">
      <c r="A223" s="1"/>
      <c r="B223" s="1">
        <v>824572</v>
      </c>
      <c r="C223" s="1" t="s">
        <v>837</v>
      </c>
      <c r="D223" s="1" t="s">
        <v>838</v>
      </c>
      <c r="E223" s="2" t="s">
        <v>839</v>
      </c>
      <c r="F223" s="2" t="s">
        <v>840</v>
      </c>
      <c r="G223" s="2">
        <v>0</v>
      </c>
      <c r="H223" s="2">
        <v>0</v>
      </c>
      <c r="I223" s="1">
        <v>0</v>
      </c>
      <c r="J223" s="3" t="s">
        <v>16</v>
      </c>
      <c r="K223" s="2" t="str">
        <f>J223*830.03</f>
        <v>0</v>
      </c>
      <c r="L223" s="5"/>
    </row>
    <row r="224" spans="1:12" customHeight="1" ht="105" outlineLevel="4">
      <c r="A224" s="1"/>
      <c r="B224" s="1">
        <v>824573</v>
      </c>
      <c r="C224" s="1" t="s">
        <v>841</v>
      </c>
      <c r="D224" s="1" t="s">
        <v>842</v>
      </c>
      <c r="E224" s="2" t="s">
        <v>843</v>
      </c>
      <c r="F224" s="2" t="s">
        <v>844</v>
      </c>
      <c r="G224" s="2">
        <v>0</v>
      </c>
      <c r="H224" s="2">
        <v>0</v>
      </c>
      <c r="I224" s="1">
        <v>0</v>
      </c>
      <c r="J224" s="3" t="s">
        <v>16</v>
      </c>
      <c r="K224" s="2" t="str">
        <f>J224*1316.44</f>
        <v>0</v>
      </c>
      <c r="L224" s="5"/>
    </row>
    <row r="225" spans="1:12" customHeight="1" ht="105" outlineLevel="4">
      <c r="A225" s="1"/>
      <c r="B225" s="1">
        <v>826540</v>
      </c>
      <c r="C225" s="1" t="s">
        <v>845</v>
      </c>
      <c r="D225" s="1" t="s">
        <v>846</v>
      </c>
      <c r="E225" s="2" t="s">
        <v>847</v>
      </c>
      <c r="F225" s="2" t="s">
        <v>848</v>
      </c>
      <c r="G225" s="2">
        <v>0</v>
      </c>
      <c r="H225" s="2">
        <v>0</v>
      </c>
      <c r="I225" s="1">
        <v>0</v>
      </c>
      <c r="J225" s="3" t="s">
        <v>16</v>
      </c>
      <c r="K225" s="2" t="str">
        <f>J225*562.28</f>
        <v>0</v>
      </c>
      <c r="L225" s="5"/>
    </row>
    <row r="226" spans="1:12" customHeight="1" ht="105" outlineLevel="4">
      <c r="A226" s="1"/>
      <c r="B226" s="1">
        <v>826541</v>
      </c>
      <c r="C226" s="1" t="s">
        <v>849</v>
      </c>
      <c r="D226" s="1" t="s">
        <v>850</v>
      </c>
      <c r="E226" s="2" t="s">
        <v>851</v>
      </c>
      <c r="F226" s="2" t="s">
        <v>852</v>
      </c>
      <c r="G226" s="2">
        <v>1</v>
      </c>
      <c r="H226" s="2">
        <v>0</v>
      </c>
      <c r="I226" s="1">
        <v>0</v>
      </c>
      <c r="J226" s="3" t="s">
        <v>16</v>
      </c>
      <c r="K226" s="2" t="str">
        <f>J226*1402.71</f>
        <v>0</v>
      </c>
      <c r="L226" s="5"/>
    </row>
    <row r="227" spans="1:12" customHeight="1" ht="105" outlineLevel="4">
      <c r="A227" s="1"/>
      <c r="B227" s="1">
        <v>826542</v>
      </c>
      <c r="C227" s="1" t="s">
        <v>853</v>
      </c>
      <c r="D227" s="1" t="s">
        <v>854</v>
      </c>
      <c r="E227" s="2" t="s">
        <v>855</v>
      </c>
      <c r="F227" s="2" t="s">
        <v>856</v>
      </c>
      <c r="G227" s="2">
        <v>0</v>
      </c>
      <c r="H227" s="2">
        <v>0</v>
      </c>
      <c r="I227" s="1">
        <v>0</v>
      </c>
      <c r="J227" s="3" t="s">
        <v>16</v>
      </c>
      <c r="K227" s="2" t="str">
        <f>J227*520.63</f>
        <v>0</v>
      </c>
      <c r="L227" s="5"/>
    </row>
    <row r="228" spans="1:12" customHeight="1" ht="105" outlineLevel="4">
      <c r="A228" s="1"/>
      <c r="B228" s="1">
        <v>826543</v>
      </c>
      <c r="C228" s="1" t="s">
        <v>857</v>
      </c>
      <c r="D228" s="1" t="s">
        <v>858</v>
      </c>
      <c r="E228" s="2" t="s">
        <v>859</v>
      </c>
      <c r="F228" s="2" t="s">
        <v>796</v>
      </c>
      <c r="G228" s="2">
        <v>0</v>
      </c>
      <c r="H228" s="2">
        <v>0</v>
      </c>
      <c r="I228" s="1">
        <v>0</v>
      </c>
      <c r="J228" s="3" t="s">
        <v>16</v>
      </c>
      <c r="K228" s="2" t="str">
        <f>J228*1359.58</f>
        <v>0</v>
      </c>
      <c r="L228" s="5"/>
    </row>
    <row r="229" spans="1:12" customHeight="1" ht="105" outlineLevel="4">
      <c r="A229" s="1"/>
      <c r="B229" s="1">
        <v>826544</v>
      </c>
      <c r="C229" s="1" t="s">
        <v>860</v>
      </c>
      <c r="D229" s="1" t="s">
        <v>861</v>
      </c>
      <c r="E229" s="2" t="s">
        <v>862</v>
      </c>
      <c r="F229" s="2" t="s">
        <v>863</v>
      </c>
      <c r="G229" s="2" t="s">
        <v>62</v>
      </c>
      <c r="H229" s="2">
        <v>0</v>
      </c>
      <c r="I229" s="1">
        <v>0</v>
      </c>
      <c r="J229" s="3" t="s">
        <v>16</v>
      </c>
      <c r="K229" s="2" t="str">
        <f>J229*1131.99</f>
        <v>0</v>
      </c>
      <c r="L229" s="5"/>
    </row>
    <row r="230" spans="1:12" outlineLevel="2">
      <c r="A230" s="8" t="s">
        <v>864</v>
      </c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5"/>
    </row>
    <row r="231" spans="1:12" customHeight="1" ht="105" outlineLevel="4">
      <c r="A231" s="1"/>
      <c r="B231" s="1">
        <v>833140</v>
      </c>
      <c r="C231" s="1" t="s">
        <v>865</v>
      </c>
      <c r="D231" s="1" t="s">
        <v>866</v>
      </c>
      <c r="E231" s="2" t="s">
        <v>867</v>
      </c>
      <c r="F231" s="2" t="s">
        <v>868</v>
      </c>
      <c r="G231" s="2" t="s">
        <v>48</v>
      </c>
      <c r="H231" s="2">
        <v>0</v>
      </c>
      <c r="I231" s="1" t="s">
        <v>25</v>
      </c>
      <c r="J231" s="3" t="s">
        <v>16</v>
      </c>
      <c r="K231" s="2" t="str">
        <f>J231*365.91</f>
        <v>0</v>
      </c>
      <c r="L231" s="5"/>
    </row>
    <row r="232" spans="1:12" customHeight="1" ht="105" outlineLevel="4">
      <c r="A232" s="1"/>
      <c r="B232" s="1">
        <v>833141</v>
      </c>
      <c r="C232" s="1" t="s">
        <v>869</v>
      </c>
      <c r="D232" s="1" t="s">
        <v>870</v>
      </c>
      <c r="E232" s="2" t="s">
        <v>871</v>
      </c>
      <c r="F232" s="2" t="s">
        <v>872</v>
      </c>
      <c r="G232" s="2">
        <v>0</v>
      </c>
      <c r="H232" s="2">
        <v>0</v>
      </c>
      <c r="I232" s="1" t="s">
        <v>62</v>
      </c>
      <c r="J232" s="3" t="s">
        <v>16</v>
      </c>
      <c r="K232" s="2" t="str">
        <f>J232*539.31</f>
        <v>0</v>
      </c>
      <c r="L232" s="5"/>
    </row>
    <row r="233" spans="1:12" customHeight="1" ht="105" outlineLevel="4">
      <c r="A233" s="1"/>
      <c r="B233" s="1">
        <v>833142</v>
      </c>
      <c r="C233" s="1" t="s">
        <v>873</v>
      </c>
      <c r="D233" s="1" t="s">
        <v>874</v>
      </c>
      <c r="E233" s="2" t="s">
        <v>875</v>
      </c>
      <c r="F233" s="2" t="s">
        <v>876</v>
      </c>
      <c r="G233" s="2">
        <v>0</v>
      </c>
      <c r="H233" s="2">
        <v>0</v>
      </c>
      <c r="I233" s="1">
        <v>0</v>
      </c>
      <c r="J233" s="3" t="s">
        <v>16</v>
      </c>
      <c r="K233" s="2" t="str">
        <f>J233*717.49</f>
        <v>0</v>
      </c>
      <c r="L233" s="5"/>
    </row>
    <row r="234" spans="1:12" customHeight="1" ht="105" outlineLevel="4">
      <c r="A234" s="1"/>
      <c r="B234" s="1">
        <v>833143</v>
      </c>
      <c r="C234" s="1" t="s">
        <v>877</v>
      </c>
      <c r="D234" s="1" t="s">
        <v>878</v>
      </c>
      <c r="E234" s="2" t="s">
        <v>879</v>
      </c>
      <c r="F234" s="2" t="s">
        <v>880</v>
      </c>
      <c r="G234" s="2" t="s">
        <v>62</v>
      </c>
      <c r="H234" s="2">
        <v>0</v>
      </c>
      <c r="I234" s="1" t="s">
        <v>25</v>
      </c>
      <c r="J234" s="3" t="s">
        <v>16</v>
      </c>
      <c r="K234" s="2" t="str">
        <f>J234*386.82</f>
        <v>0</v>
      </c>
      <c r="L234" s="5"/>
    </row>
    <row r="235" spans="1:12" customHeight="1" ht="105" outlineLevel="4">
      <c r="A235" s="1"/>
      <c r="B235" s="1">
        <v>833144</v>
      </c>
      <c r="C235" s="1" t="s">
        <v>881</v>
      </c>
      <c r="D235" s="1" t="s">
        <v>882</v>
      </c>
      <c r="E235" s="2" t="s">
        <v>883</v>
      </c>
      <c r="F235" s="2" t="s">
        <v>884</v>
      </c>
      <c r="G235" s="2">
        <v>0</v>
      </c>
      <c r="H235" s="2">
        <v>0</v>
      </c>
      <c r="I235" s="1">
        <v>0</v>
      </c>
      <c r="J235" s="3" t="s">
        <v>16</v>
      </c>
      <c r="K235" s="2" t="str">
        <f>J235*560.46</f>
        <v>0</v>
      </c>
      <c r="L235" s="5"/>
    </row>
    <row r="236" spans="1:12" customHeight="1" ht="105" outlineLevel="4">
      <c r="A236" s="1"/>
      <c r="B236" s="1">
        <v>833145</v>
      </c>
      <c r="C236" s="1" t="s">
        <v>885</v>
      </c>
      <c r="D236" s="1" t="s">
        <v>886</v>
      </c>
      <c r="E236" s="2" t="s">
        <v>887</v>
      </c>
      <c r="F236" s="2" t="s">
        <v>888</v>
      </c>
      <c r="G236" s="2">
        <v>10</v>
      </c>
      <c r="H236" s="2">
        <v>0</v>
      </c>
      <c r="I236" s="1">
        <v>0</v>
      </c>
      <c r="J236" s="3" t="s">
        <v>16</v>
      </c>
      <c r="K236" s="2" t="str">
        <f>J236*842.49</f>
        <v>0</v>
      </c>
      <c r="L236" s="5"/>
    </row>
    <row r="237" spans="1:12" customHeight="1" ht="105" outlineLevel="4">
      <c r="A237" s="1"/>
      <c r="B237" s="1">
        <v>833146</v>
      </c>
      <c r="C237" s="1" t="s">
        <v>889</v>
      </c>
      <c r="D237" s="1" t="s">
        <v>890</v>
      </c>
      <c r="E237" s="2" t="s">
        <v>891</v>
      </c>
      <c r="F237" s="2" t="s">
        <v>892</v>
      </c>
      <c r="G237" s="2">
        <v>0</v>
      </c>
      <c r="H237" s="2">
        <v>0</v>
      </c>
      <c r="I237" s="1">
        <v>0</v>
      </c>
      <c r="J237" s="3" t="s">
        <v>16</v>
      </c>
      <c r="K237" s="2" t="str">
        <f>J237*372.84</f>
        <v>0</v>
      </c>
      <c r="L237" s="5"/>
    </row>
    <row r="238" spans="1:12" customHeight="1" ht="105" outlineLevel="4">
      <c r="A238" s="1"/>
      <c r="B238" s="1">
        <v>833147</v>
      </c>
      <c r="C238" s="1" t="s">
        <v>893</v>
      </c>
      <c r="D238" s="1" t="s">
        <v>894</v>
      </c>
      <c r="E238" s="2" t="s">
        <v>895</v>
      </c>
      <c r="F238" s="2" t="s">
        <v>896</v>
      </c>
      <c r="G238" s="2">
        <v>0</v>
      </c>
      <c r="H238" s="2">
        <v>0</v>
      </c>
      <c r="I238" s="1">
        <v>8</v>
      </c>
      <c r="J238" s="3" t="s">
        <v>16</v>
      </c>
      <c r="K238" s="2" t="str">
        <f>J238*400.64</f>
        <v>0</v>
      </c>
      <c r="L238" s="5"/>
    </row>
    <row r="239" spans="1:12" customHeight="1" ht="105" outlineLevel="4">
      <c r="A239" s="1"/>
      <c r="B239" s="1">
        <v>833148</v>
      </c>
      <c r="C239" s="1" t="s">
        <v>897</v>
      </c>
      <c r="D239" s="1" t="s">
        <v>898</v>
      </c>
      <c r="E239" s="2" t="s">
        <v>899</v>
      </c>
      <c r="F239" s="2" t="s">
        <v>900</v>
      </c>
      <c r="G239" s="2">
        <v>0</v>
      </c>
      <c r="H239" s="2">
        <v>0</v>
      </c>
      <c r="I239" s="1">
        <v>0</v>
      </c>
      <c r="J239" s="3" t="s">
        <v>16</v>
      </c>
      <c r="K239" s="2" t="str">
        <f>J239*570.94</f>
        <v>0</v>
      </c>
      <c r="L239" s="5"/>
    </row>
    <row r="240" spans="1:12" customHeight="1" ht="105" outlineLevel="4">
      <c r="A240" s="1"/>
      <c r="B240" s="1">
        <v>833149</v>
      </c>
      <c r="C240" s="1" t="s">
        <v>901</v>
      </c>
      <c r="D240" s="1" t="s">
        <v>902</v>
      </c>
      <c r="E240" s="2" t="s">
        <v>903</v>
      </c>
      <c r="F240" s="2" t="s">
        <v>904</v>
      </c>
      <c r="G240" s="2">
        <v>0</v>
      </c>
      <c r="H240" s="2">
        <v>0</v>
      </c>
      <c r="I240" s="1">
        <v>0</v>
      </c>
      <c r="J240" s="3" t="s">
        <v>16</v>
      </c>
      <c r="K240" s="2" t="str">
        <f>J240*848.04</f>
        <v>0</v>
      </c>
      <c r="L240" s="5"/>
    </row>
    <row r="241" spans="1:12" customHeight="1" ht="105" outlineLevel="4">
      <c r="A241" s="1"/>
      <c r="B241" s="1">
        <v>833150</v>
      </c>
      <c r="C241" s="1" t="s">
        <v>905</v>
      </c>
      <c r="D241" s="1" t="s">
        <v>906</v>
      </c>
      <c r="E241" s="2" t="s">
        <v>907</v>
      </c>
      <c r="F241" s="2" t="s">
        <v>908</v>
      </c>
      <c r="G241" s="2">
        <v>0</v>
      </c>
      <c r="H241" s="2">
        <v>0</v>
      </c>
      <c r="I241" s="1" t="s">
        <v>48</v>
      </c>
      <c r="J241" s="3" t="s">
        <v>16</v>
      </c>
      <c r="K241" s="2" t="str">
        <f>J241*1167.12</f>
        <v>0</v>
      </c>
      <c r="L241" s="5"/>
    </row>
    <row r="242" spans="1:12" customHeight="1" ht="105" outlineLevel="4">
      <c r="A242" s="1"/>
      <c r="B242" s="1">
        <v>833151</v>
      </c>
      <c r="C242" s="1" t="s">
        <v>909</v>
      </c>
      <c r="D242" s="1" t="s">
        <v>910</v>
      </c>
      <c r="E242" s="2" t="s">
        <v>911</v>
      </c>
      <c r="F242" s="2" t="s">
        <v>912</v>
      </c>
      <c r="G242" s="2">
        <v>0</v>
      </c>
      <c r="H242" s="2">
        <v>0</v>
      </c>
      <c r="I242" s="1" t="s">
        <v>48</v>
      </c>
      <c r="J242" s="3" t="s">
        <v>16</v>
      </c>
      <c r="K242" s="2" t="str">
        <f>J242*1901.32</f>
        <v>0</v>
      </c>
      <c r="L242" s="5"/>
    </row>
    <row r="243" spans="1:12" customHeight="1" ht="105" outlineLevel="4">
      <c r="A243" s="1"/>
      <c r="B243" s="1">
        <v>833152</v>
      </c>
      <c r="C243" s="1" t="s">
        <v>913</v>
      </c>
      <c r="D243" s="1" t="s">
        <v>914</v>
      </c>
      <c r="E243" s="2" t="s">
        <v>915</v>
      </c>
      <c r="F243" s="2" t="s">
        <v>916</v>
      </c>
      <c r="G243" s="2">
        <v>0</v>
      </c>
      <c r="H243" s="2">
        <v>0</v>
      </c>
      <c r="I243" s="1">
        <v>6</v>
      </c>
      <c r="J243" s="3" t="s">
        <v>16</v>
      </c>
      <c r="K243" s="2" t="str">
        <f>J243*3104.98</f>
        <v>0</v>
      </c>
      <c r="L243" s="5"/>
    </row>
    <row r="244" spans="1:12" customHeight="1" ht="105" outlineLevel="4">
      <c r="A244" s="1"/>
      <c r="B244" s="1">
        <v>833153</v>
      </c>
      <c r="C244" s="1" t="s">
        <v>917</v>
      </c>
      <c r="D244" s="1" t="s">
        <v>918</v>
      </c>
      <c r="E244" s="2" t="s">
        <v>919</v>
      </c>
      <c r="F244" s="2" t="s">
        <v>920</v>
      </c>
      <c r="G244" s="2" t="s">
        <v>62</v>
      </c>
      <c r="H244" s="2">
        <v>0</v>
      </c>
      <c r="I244" s="1">
        <v>0</v>
      </c>
      <c r="J244" s="3" t="s">
        <v>16</v>
      </c>
      <c r="K244" s="2" t="str">
        <f>J244*339.23</f>
        <v>0</v>
      </c>
      <c r="L244" s="5"/>
    </row>
    <row r="245" spans="1:12" customHeight="1" ht="105" outlineLevel="4">
      <c r="A245" s="1"/>
      <c r="B245" s="1">
        <v>833154</v>
      </c>
      <c r="C245" s="1" t="s">
        <v>921</v>
      </c>
      <c r="D245" s="1" t="s">
        <v>922</v>
      </c>
      <c r="E245" s="2" t="s">
        <v>923</v>
      </c>
      <c r="F245" s="2" t="s">
        <v>924</v>
      </c>
      <c r="G245" s="2" t="s">
        <v>48</v>
      </c>
      <c r="H245" s="2">
        <v>0</v>
      </c>
      <c r="I245" s="1">
        <v>0</v>
      </c>
      <c r="J245" s="3" t="s">
        <v>16</v>
      </c>
      <c r="K245" s="2" t="str">
        <f>J245*559.66</f>
        <v>0</v>
      </c>
      <c r="L245" s="5"/>
    </row>
    <row r="246" spans="1:12" customHeight="1" ht="105" outlineLevel="4">
      <c r="A246" s="1"/>
      <c r="B246" s="1">
        <v>833155</v>
      </c>
      <c r="C246" s="1" t="s">
        <v>925</v>
      </c>
      <c r="D246" s="1" t="s">
        <v>926</v>
      </c>
      <c r="E246" s="2" t="s">
        <v>927</v>
      </c>
      <c r="F246" s="2" t="s">
        <v>928</v>
      </c>
      <c r="G246" s="2" t="s">
        <v>48</v>
      </c>
      <c r="H246" s="2">
        <v>0</v>
      </c>
      <c r="I246" s="1">
        <v>0</v>
      </c>
      <c r="J246" s="3" t="s">
        <v>16</v>
      </c>
      <c r="K246" s="2" t="str">
        <f>J246*919.99</f>
        <v>0</v>
      </c>
      <c r="L246" s="5"/>
    </row>
    <row r="247" spans="1:12" customHeight="1" ht="105" outlineLevel="4">
      <c r="A247" s="1"/>
      <c r="B247" s="1">
        <v>833156</v>
      </c>
      <c r="C247" s="1" t="s">
        <v>929</v>
      </c>
      <c r="D247" s="1" t="s">
        <v>930</v>
      </c>
      <c r="E247" s="2" t="s">
        <v>931</v>
      </c>
      <c r="F247" s="2" t="s">
        <v>932</v>
      </c>
      <c r="G247" s="2" t="s">
        <v>48</v>
      </c>
      <c r="H247" s="2">
        <v>0</v>
      </c>
      <c r="I247" s="1">
        <v>0</v>
      </c>
      <c r="J247" s="3" t="s">
        <v>16</v>
      </c>
      <c r="K247" s="2" t="str">
        <f>J247*1379.99</f>
        <v>0</v>
      </c>
      <c r="L247" s="5"/>
    </row>
    <row r="248" spans="1:12" customHeight="1" ht="105" outlineLevel="4">
      <c r="A248" s="1"/>
      <c r="B248" s="1">
        <v>833157</v>
      </c>
      <c r="C248" s="1" t="s">
        <v>933</v>
      </c>
      <c r="D248" s="1" t="s">
        <v>934</v>
      </c>
      <c r="E248" s="2" t="s">
        <v>935</v>
      </c>
      <c r="F248" s="2" t="s">
        <v>936</v>
      </c>
      <c r="G248" s="2" t="s">
        <v>33</v>
      </c>
      <c r="H248" s="2">
        <v>0</v>
      </c>
      <c r="I248" s="1">
        <v>0</v>
      </c>
      <c r="J248" s="3" t="s">
        <v>16</v>
      </c>
      <c r="K248" s="2" t="str">
        <f>J248*2156.23</f>
        <v>0</v>
      </c>
      <c r="L248" s="5"/>
    </row>
    <row r="249" spans="1:12" customHeight="1" ht="105" outlineLevel="4">
      <c r="A249" s="1"/>
      <c r="B249" s="1">
        <v>833158</v>
      </c>
      <c r="C249" s="1" t="s">
        <v>937</v>
      </c>
      <c r="D249" s="1" t="s">
        <v>938</v>
      </c>
      <c r="E249" s="2" t="s">
        <v>939</v>
      </c>
      <c r="F249" s="2" t="s">
        <v>940</v>
      </c>
      <c r="G249" s="2">
        <v>1</v>
      </c>
      <c r="H249" s="2">
        <v>0</v>
      </c>
      <c r="I249" s="1" t="s">
        <v>48</v>
      </c>
      <c r="J249" s="3" t="s">
        <v>16</v>
      </c>
      <c r="K249" s="2" t="str">
        <f>J249*3436.44</f>
        <v>0</v>
      </c>
      <c r="L249" s="5"/>
    </row>
    <row r="250" spans="1:12" customHeight="1" ht="105" outlineLevel="4">
      <c r="A250" s="1"/>
      <c r="B250" s="1">
        <v>833159</v>
      </c>
      <c r="C250" s="1" t="s">
        <v>941</v>
      </c>
      <c r="D250" s="1" t="s">
        <v>942</v>
      </c>
      <c r="E250" s="2" t="s">
        <v>943</v>
      </c>
      <c r="F250" s="2" t="s">
        <v>944</v>
      </c>
      <c r="G250" s="2" t="s">
        <v>25</v>
      </c>
      <c r="H250" s="2">
        <v>0</v>
      </c>
      <c r="I250" s="1">
        <v>0</v>
      </c>
      <c r="J250" s="3" t="s">
        <v>16</v>
      </c>
      <c r="K250" s="2" t="str">
        <f>J250*512.27</f>
        <v>0</v>
      </c>
      <c r="L250" s="5"/>
    </row>
    <row r="251" spans="1:12" customHeight="1" ht="105" outlineLevel="4">
      <c r="A251" s="1"/>
      <c r="B251" s="1">
        <v>833160</v>
      </c>
      <c r="C251" s="1" t="s">
        <v>945</v>
      </c>
      <c r="D251" s="1" t="s">
        <v>946</v>
      </c>
      <c r="E251" s="2" t="s">
        <v>947</v>
      </c>
      <c r="F251" s="2" t="s">
        <v>948</v>
      </c>
      <c r="G251" s="2" t="s">
        <v>25</v>
      </c>
      <c r="H251" s="2">
        <v>0</v>
      </c>
      <c r="I251" s="1">
        <v>0</v>
      </c>
      <c r="J251" s="3" t="s">
        <v>16</v>
      </c>
      <c r="K251" s="2" t="str">
        <f>J251*744.88</f>
        <v>0</v>
      </c>
      <c r="L251" s="5"/>
    </row>
    <row r="252" spans="1:12" customHeight="1" ht="105" outlineLevel="4">
      <c r="A252" s="1"/>
      <c r="B252" s="1">
        <v>833161</v>
      </c>
      <c r="C252" s="1" t="s">
        <v>949</v>
      </c>
      <c r="D252" s="1" t="s">
        <v>950</v>
      </c>
      <c r="E252" s="2" t="s">
        <v>951</v>
      </c>
      <c r="F252" s="2" t="s">
        <v>952</v>
      </c>
      <c r="G252" s="2" t="s">
        <v>62</v>
      </c>
      <c r="H252" s="2">
        <v>0</v>
      </c>
      <c r="I252" s="1">
        <v>0</v>
      </c>
      <c r="J252" s="3" t="s">
        <v>16</v>
      </c>
      <c r="K252" s="2" t="str">
        <f>J252*1218.99</f>
        <v>0</v>
      </c>
      <c r="L252" s="5"/>
    </row>
    <row r="253" spans="1:12" customHeight="1" ht="105" outlineLevel="4">
      <c r="A253" s="1"/>
      <c r="B253" s="1">
        <v>833162</v>
      </c>
      <c r="C253" s="1" t="s">
        <v>953</v>
      </c>
      <c r="D253" s="1" t="s">
        <v>954</v>
      </c>
      <c r="E253" s="2" t="s">
        <v>955</v>
      </c>
      <c r="F253" s="2" t="s">
        <v>956</v>
      </c>
      <c r="G253" s="2">
        <v>0</v>
      </c>
      <c r="H253" s="2">
        <v>0</v>
      </c>
      <c r="I253" s="1" t="s">
        <v>62</v>
      </c>
      <c r="J253" s="3" t="s">
        <v>16</v>
      </c>
      <c r="K253" s="2" t="str">
        <f>J253*506.49</f>
        <v>0</v>
      </c>
      <c r="L253" s="5"/>
    </row>
    <row r="254" spans="1:12" customHeight="1" ht="105" outlineLevel="4">
      <c r="A254" s="1"/>
      <c r="B254" s="1">
        <v>833163</v>
      </c>
      <c r="C254" s="1" t="s">
        <v>957</v>
      </c>
      <c r="D254" s="1" t="s">
        <v>958</v>
      </c>
      <c r="E254" s="2" t="s">
        <v>959</v>
      </c>
      <c r="F254" s="2" t="s">
        <v>960</v>
      </c>
      <c r="G254" s="2" t="s">
        <v>48</v>
      </c>
      <c r="H254" s="2">
        <v>0</v>
      </c>
      <c r="I254" s="1">
        <v>0</v>
      </c>
      <c r="J254" s="3" t="s">
        <v>16</v>
      </c>
      <c r="K254" s="2" t="str">
        <f>J254*827.01</f>
        <v>0</v>
      </c>
      <c r="L254" s="5"/>
    </row>
    <row r="255" spans="1:12" customHeight="1" ht="105" outlineLevel="4">
      <c r="A255" s="1"/>
      <c r="B255" s="1">
        <v>833164</v>
      </c>
      <c r="C255" s="1" t="s">
        <v>961</v>
      </c>
      <c r="D255" s="1" t="s">
        <v>962</v>
      </c>
      <c r="E255" s="2" t="s">
        <v>963</v>
      </c>
      <c r="F255" s="2" t="s">
        <v>964</v>
      </c>
      <c r="G255" s="2" t="s">
        <v>62</v>
      </c>
      <c r="H255" s="2">
        <v>0</v>
      </c>
      <c r="I255" s="1">
        <v>0</v>
      </c>
      <c r="J255" s="3" t="s">
        <v>16</v>
      </c>
      <c r="K255" s="2" t="str">
        <f>J255*524.60</f>
        <v>0</v>
      </c>
      <c r="L255" s="5"/>
    </row>
    <row r="256" spans="1:12" customHeight="1" ht="105" outlineLevel="4">
      <c r="A256" s="1"/>
      <c r="B256" s="1">
        <v>833165</v>
      </c>
      <c r="C256" s="1" t="s">
        <v>965</v>
      </c>
      <c r="D256" s="1" t="s">
        <v>966</v>
      </c>
      <c r="E256" s="2" t="s">
        <v>967</v>
      </c>
      <c r="F256" s="2" t="s">
        <v>968</v>
      </c>
      <c r="G256" s="2" t="s">
        <v>62</v>
      </c>
      <c r="H256" s="2">
        <v>0</v>
      </c>
      <c r="I256" s="1">
        <v>0</v>
      </c>
      <c r="J256" s="3" t="s">
        <v>16</v>
      </c>
      <c r="K256" s="2" t="str">
        <f>J256*791.62</f>
        <v>0</v>
      </c>
      <c r="L256" s="5"/>
    </row>
    <row r="257" spans="1:12" customHeight="1" ht="105" outlineLevel="4">
      <c r="A257" s="1"/>
      <c r="B257" s="1">
        <v>833166</v>
      </c>
      <c r="C257" s="1" t="s">
        <v>969</v>
      </c>
      <c r="D257" s="1" t="s">
        <v>970</v>
      </c>
      <c r="E257" s="2" t="s">
        <v>971</v>
      </c>
      <c r="F257" s="2" t="s">
        <v>972</v>
      </c>
      <c r="G257" s="2" t="s">
        <v>48</v>
      </c>
      <c r="H257" s="2">
        <v>0</v>
      </c>
      <c r="I257" s="1">
        <v>0</v>
      </c>
      <c r="J257" s="3" t="s">
        <v>16</v>
      </c>
      <c r="K257" s="2" t="str">
        <f>J257*580.06</f>
        <v>0</v>
      </c>
      <c r="L257" s="5"/>
    </row>
    <row r="258" spans="1:12" customHeight="1" ht="105" outlineLevel="4">
      <c r="A258" s="1"/>
      <c r="B258" s="1">
        <v>833167</v>
      </c>
      <c r="C258" s="1" t="s">
        <v>973</v>
      </c>
      <c r="D258" s="1" t="s">
        <v>974</v>
      </c>
      <c r="E258" s="2" t="s">
        <v>975</v>
      </c>
      <c r="F258" s="2" t="s">
        <v>976</v>
      </c>
      <c r="G258" s="2" t="s">
        <v>48</v>
      </c>
      <c r="H258" s="2">
        <v>0</v>
      </c>
      <c r="I258" s="1">
        <v>0</v>
      </c>
      <c r="J258" s="3" t="s">
        <v>16</v>
      </c>
      <c r="K258" s="2" t="str">
        <f>J258*1063.40</f>
        <v>0</v>
      </c>
      <c r="L258" s="5"/>
    </row>
    <row r="259" spans="1:12" customHeight="1" ht="105" outlineLevel="4">
      <c r="A259" s="1"/>
      <c r="B259" s="1">
        <v>833170</v>
      </c>
      <c r="C259" s="1" t="s">
        <v>977</v>
      </c>
      <c r="D259" s="1" t="s">
        <v>978</v>
      </c>
      <c r="E259" s="2" t="s">
        <v>979</v>
      </c>
      <c r="F259" s="2" t="s">
        <v>980</v>
      </c>
      <c r="G259" s="2" t="s">
        <v>48</v>
      </c>
      <c r="H259" s="2">
        <v>0</v>
      </c>
      <c r="I259" s="1">
        <v>0</v>
      </c>
      <c r="J259" s="3" t="s">
        <v>16</v>
      </c>
      <c r="K259" s="2" t="str">
        <f>J259*321.99</f>
        <v>0</v>
      </c>
      <c r="L259" s="5"/>
    </row>
    <row r="260" spans="1:12" customHeight="1" ht="105" outlineLevel="4">
      <c r="A260" s="1"/>
      <c r="B260" s="1">
        <v>833171</v>
      </c>
      <c r="C260" s="1" t="s">
        <v>981</v>
      </c>
      <c r="D260" s="1" t="s">
        <v>982</v>
      </c>
      <c r="E260" s="2" t="s">
        <v>983</v>
      </c>
      <c r="F260" s="2" t="s">
        <v>984</v>
      </c>
      <c r="G260" s="2">
        <v>0</v>
      </c>
      <c r="H260" s="2">
        <v>0</v>
      </c>
      <c r="I260" s="1">
        <v>0</v>
      </c>
      <c r="J260" s="3" t="s">
        <v>16</v>
      </c>
      <c r="K260" s="2" t="str">
        <f>J260*531.26</f>
        <v>0</v>
      </c>
      <c r="L260" s="5"/>
    </row>
    <row r="261" spans="1:12" customHeight="1" ht="105" outlineLevel="4">
      <c r="A261" s="1"/>
      <c r="B261" s="1">
        <v>833172</v>
      </c>
      <c r="C261" s="1" t="s">
        <v>985</v>
      </c>
      <c r="D261" s="1" t="s">
        <v>986</v>
      </c>
      <c r="E261" s="2" t="s">
        <v>987</v>
      </c>
      <c r="F261" s="2" t="s">
        <v>988</v>
      </c>
      <c r="G261" s="2">
        <v>7</v>
      </c>
      <c r="H261" s="2">
        <v>0</v>
      </c>
      <c r="I261" s="1">
        <v>0</v>
      </c>
      <c r="J261" s="3" t="s">
        <v>16</v>
      </c>
      <c r="K261" s="2" t="str">
        <f>J261*807.61</f>
        <v>0</v>
      </c>
      <c r="L261" s="5"/>
    </row>
    <row r="262" spans="1:12" customHeight="1" ht="105" outlineLevel="4">
      <c r="A262" s="1"/>
      <c r="B262" s="1">
        <v>833173</v>
      </c>
      <c r="C262" s="1" t="s">
        <v>989</v>
      </c>
      <c r="D262" s="1" t="s">
        <v>990</v>
      </c>
      <c r="E262" s="2" t="s">
        <v>991</v>
      </c>
      <c r="F262" s="2" t="s">
        <v>992</v>
      </c>
      <c r="G262" s="2">
        <v>4</v>
      </c>
      <c r="H262" s="2">
        <v>0</v>
      </c>
      <c r="I262" s="1">
        <v>0</v>
      </c>
      <c r="J262" s="3" t="s">
        <v>16</v>
      </c>
      <c r="K262" s="2" t="str">
        <f>J262*1120.61</f>
        <v>0</v>
      </c>
      <c r="L262" s="5"/>
    </row>
    <row r="263" spans="1:12" customHeight="1" ht="105" outlineLevel="4">
      <c r="A263" s="1"/>
      <c r="B263" s="1">
        <v>833174</v>
      </c>
      <c r="C263" s="1" t="s">
        <v>993</v>
      </c>
      <c r="D263" s="1" t="s">
        <v>994</v>
      </c>
      <c r="E263" s="2" t="s">
        <v>995</v>
      </c>
      <c r="F263" s="2" t="s">
        <v>996</v>
      </c>
      <c r="G263" s="2">
        <v>0</v>
      </c>
      <c r="H263" s="2">
        <v>0</v>
      </c>
      <c r="I263" s="1">
        <v>0</v>
      </c>
      <c r="J263" s="3" t="s">
        <v>16</v>
      </c>
      <c r="K263" s="2" t="str">
        <f>J263*428.37</f>
        <v>0</v>
      </c>
      <c r="L263" s="5"/>
    </row>
    <row r="264" spans="1:12" customHeight="1" ht="105" outlineLevel="4">
      <c r="A264" s="1"/>
      <c r="B264" s="1">
        <v>833175</v>
      </c>
      <c r="C264" s="1" t="s">
        <v>997</v>
      </c>
      <c r="D264" s="1" t="s">
        <v>998</v>
      </c>
      <c r="E264" s="2" t="s">
        <v>999</v>
      </c>
      <c r="F264" s="2" t="s">
        <v>1000</v>
      </c>
      <c r="G264" s="2" t="s">
        <v>33</v>
      </c>
      <c r="H264" s="2">
        <v>0</v>
      </c>
      <c r="I264" s="1" t="s">
        <v>33</v>
      </c>
      <c r="J264" s="3" t="s">
        <v>16</v>
      </c>
      <c r="K264" s="2" t="str">
        <f>J264*595.12</f>
        <v>0</v>
      </c>
      <c r="L264" s="5"/>
    </row>
    <row r="265" spans="1:12" customHeight="1" ht="105" outlineLevel="4">
      <c r="A265" s="1"/>
      <c r="B265" s="1">
        <v>833176</v>
      </c>
      <c r="C265" s="1" t="s">
        <v>1001</v>
      </c>
      <c r="D265" s="1" t="s">
        <v>1002</v>
      </c>
      <c r="E265" s="2" t="s">
        <v>1003</v>
      </c>
      <c r="F265" s="2" t="s">
        <v>1004</v>
      </c>
      <c r="G265" s="2">
        <v>4</v>
      </c>
      <c r="H265" s="2">
        <v>0</v>
      </c>
      <c r="I265" s="1">
        <v>0</v>
      </c>
      <c r="J265" s="3" t="s">
        <v>16</v>
      </c>
      <c r="K265" s="2" t="str">
        <f>J265*400.47</f>
        <v>0</v>
      </c>
      <c r="L265" s="5"/>
    </row>
    <row r="266" spans="1:12" customHeight="1" ht="105" outlineLevel="4">
      <c r="A266" s="1"/>
      <c r="B266" s="1">
        <v>833177</v>
      </c>
      <c r="C266" s="1" t="s">
        <v>1005</v>
      </c>
      <c r="D266" s="1" t="s">
        <v>1006</v>
      </c>
      <c r="E266" s="2" t="s">
        <v>1007</v>
      </c>
      <c r="F266" s="2" t="s">
        <v>1008</v>
      </c>
      <c r="G266" s="2">
        <v>0</v>
      </c>
      <c r="H266" s="2">
        <v>0</v>
      </c>
      <c r="I266" s="1">
        <v>0</v>
      </c>
      <c r="J266" s="3" t="s">
        <v>16</v>
      </c>
      <c r="K266" s="2" t="str">
        <f>J266*554.70</f>
        <v>0</v>
      </c>
      <c r="L266" s="5"/>
    </row>
    <row r="267" spans="1:12" customHeight="1" ht="105" outlineLevel="4">
      <c r="A267" s="1"/>
      <c r="B267" s="1">
        <v>833178</v>
      </c>
      <c r="C267" s="1" t="s">
        <v>1009</v>
      </c>
      <c r="D267" s="1" t="s">
        <v>1010</v>
      </c>
      <c r="E267" s="2" t="s">
        <v>1011</v>
      </c>
      <c r="F267" s="2" t="s">
        <v>1012</v>
      </c>
      <c r="G267" s="2" t="s">
        <v>62</v>
      </c>
      <c r="H267" s="2">
        <v>0</v>
      </c>
      <c r="I267" s="1">
        <v>0</v>
      </c>
      <c r="J267" s="3" t="s">
        <v>16</v>
      </c>
      <c r="K267" s="2" t="str">
        <f>J267*492.47</f>
        <v>0</v>
      </c>
      <c r="L267" s="5"/>
    </row>
    <row r="268" spans="1:12" customHeight="1" ht="105" outlineLevel="4">
      <c r="A268" s="1"/>
      <c r="B268" s="1">
        <v>833179</v>
      </c>
      <c r="C268" s="1" t="s">
        <v>1013</v>
      </c>
      <c r="D268" s="1" t="s">
        <v>1014</v>
      </c>
      <c r="E268" s="2" t="s">
        <v>1015</v>
      </c>
      <c r="F268" s="2" t="s">
        <v>1016</v>
      </c>
      <c r="G268" s="2" t="s">
        <v>48</v>
      </c>
      <c r="H268" s="2">
        <v>0</v>
      </c>
      <c r="I268" s="1">
        <v>0</v>
      </c>
      <c r="J268" s="3" t="s">
        <v>16</v>
      </c>
      <c r="K268" s="2" t="str">
        <f>J268*679.17</f>
        <v>0</v>
      </c>
      <c r="L268" s="5"/>
    </row>
    <row r="269" spans="1:12" customHeight="1" ht="105" outlineLevel="4">
      <c r="A269" s="1"/>
      <c r="B269" s="1">
        <v>833180</v>
      </c>
      <c r="C269" s="1" t="s">
        <v>1017</v>
      </c>
      <c r="D269" s="1" t="s">
        <v>1018</v>
      </c>
      <c r="E269" s="2" t="s">
        <v>1019</v>
      </c>
      <c r="F269" s="2" t="s">
        <v>1020</v>
      </c>
      <c r="G269" s="2">
        <v>10</v>
      </c>
      <c r="H269" s="2">
        <v>0</v>
      </c>
      <c r="I269" s="1">
        <v>0</v>
      </c>
      <c r="J269" s="3" t="s">
        <v>16</v>
      </c>
      <c r="K269" s="2" t="str">
        <f>J269*374.36</f>
        <v>0</v>
      </c>
      <c r="L269" s="5"/>
    </row>
    <row r="270" spans="1:12" customHeight="1" ht="105" outlineLevel="4">
      <c r="A270" s="1"/>
      <c r="B270" s="1">
        <v>833181</v>
      </c>
      <c r="C270" s="1" t="s">
        <v>1021</v>
      </c>
      <c r="D270" s="1" t="s">
        <v>1022</v>
      </c>
      <c r="E270" s="2" t="s">
        <v>1023</v>
      </c>
      <c r="F270" s="2" t="s">
        <v>1024</v>
      </c>
      <c r="G270" s="2" t="s">
        <v>62</v>
      </c>
      <c r="H270" s="2">
        <v>0</v>
      </c>
      <c r="I270" s="1">
        <v>0</v>
      </c>
      <c r="J270" s="3" t="s">
        <v>16</v>
      </c>
      <c r="K270" s="2" t="str">
        <f>J270*526.06</f>
        <v>0</v>
      </c>
      <c r="L270" s="5"/>
    </row>
    <row r="271" spans="1:12" customHeight="1" ht="105" outlineLevel="4">
      <c r="A271" s="1"/>
      <c r="B271" s="1">
        <v>837290</v>
      </c>
      <c r="C271" s="1" t="s">
        <v>1025</v>
      </c>
      <c r="D271" s="1" t="s">
        <v>1026</v>
      </c>
      <c r="E271" s="2" t="s">
        <v>1027</v>
      </c>
      <c r="F271" s="2" t="s">
        <v>1028</v>
      </c>
      <c r="G271" s="2" t="s">
        <v>33</v>
      </c>
      <c r="H271" s="2">
        <v>0</v>
      </c>
      <c r="I271" s="1">
        <v>0</v>
      </c>
      <c r="J271" s="3" t="s">
        <v>16</v>
      </c>
      <c r="K271" s="2" t="str">
        <f>J271*565.00</f>
        <v>0</v>
      </c>
      <c r="L271" s="5"/>
    </row>
    <row r="272" spans="1:12" customHeight="1" ht="105" outlineLevel="4">
      <c r="A272" s="1"/>
      <c r="B272" s="1">
        <v>837294</v>
      </c>
      <c r="C272" s="1" t="s">
        <v>1029</v>
      </c>
      <c r="D272" s="1" t="s">
        <v>1030</v>
      </c>
      <c r="E272" s="2" t="s">
        <v>1031</v>
      </c>
      <c r="F272" s="2" t="s">
        <v>1032</v>
      </c>
      <c r="G272" s="2" t="s">
        <v>48</v>
      </c>
      <c r="H272" s="2">
        <v>0</v>
      </c>
      <c r="I272" s="1">
        <v>0</v>
      </c>
      <c r="J272" s="3" t="s">
        <v>16</v>
      </c>
      <c r="K272" s="2" t="str">
        <f>J272*966.82</f>
        <v>0</v>
      </c>
      <c r="L272" s="5"/>
    </row>
    <row r="273" spans="1:12" outlineLevel="2">
      <c r="A273" s="8" t="s">
        <v>1033</v>
      </c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5"/>
    </row>
    <row r="274" spans="1:12" customHeight="1" ht="105" outlineLevel="4">
      <c r="A274" s="1"/>
      <c r="B274" s="1">
        <v>811019</v>
      </c>
      <c r="C274" s="1" t="s">
        <v>1034</v>
      </c>
      <c r="D274" s="1" t="s">
        <v>1035</v>
      </c>
      <c r="E274" s="2" t="s">
        <v>1036</v>
      </c>
      <c r="F274" s="2" t="s">
        <v>1037</v>
      </c>
      <c r="G274" s="2" t="s">
        <v>25</v>
      </c>
      <c r="H274" s="2">
        <v>0</v>
      </c>
      <c r="I274" s="1">
        <v>0</v>
      </c>
      <c r="J274" s="3" t="s">
        <v>16</v>
      </c>
      <c r="K274" s="2" t="str">
        <f>J274*223.13</f>
        <v>0</v>
      </c>
      <c r="L274" s="5"/>
    </row>
    <row r="275" spans="1:12" customHeight="1" ht="105" outlineLevel="4">
      <c r="A275" s="1"/>
      <c r="B275" s="1">
        <v>811020</v>
      </c>
      <c r="C275" s="1" t="s">
        <v>1038</v>
      </c>
      <c r="D275" s="1" t="s">
        <v>1039</v>
      </c>
      <c r="E275" s="2" t="s">
        <v>1040</v>
      </c>
      <c r="F275" s="2" t="s">
        <v>1041</v>
      </c>
      <c r="G275" s="2" t="s">
        <v>62</v>
      </c>
      <c r="H275" s="2">
        <v>0</v>
      </c>
      <c r="I275" s="1">
        <v>0</v>
      </c>
      <c r="J275" s="3" t="s">
        <v>16</v>
      </c>
      <c r="K275" s="2" t="str">
        <f>J275*307.91</f>
        <v>0</v>
      </c>
      <c r="L275" s="5"/>
    </row>
    <row r="276" spans="1:12" customHeight="1" ht="105" outlineLevel="4">
      <c r="A276" s="1"/>
      <c r="B276" s="1">
        <v>811021</v>
      </c>
      <c r="C276" s="1" t="s">
        <v>1042</v>
      </c>
      <c r="D276" s="1" t="s">
        <v>1043</v>
      </c>
      <c r="E276" s="2" t="s">
        <v>1044</v>
      </c>
      <c r="F276" s="2" t="s">
        <v>1045</v>
      </c>
      <c r="G276" s="2" t="s">
        <v>62</v>
      </c>
      <c r="H276" s="2">
        <v>0</v>
      </c>
      <c r="I276" s="1">
        <v>0</v>
      </c>
      <c r="J276" s="3" t="s">
        <v>16</v>
      </c>
      <c r="K276" s="2" t="str">
        <f>J276*481.95</f>
        <v>0</v>
      </c>
      <c r="L276" s="5"/>
    </row>
    <row r="277" spans="1:12" customHeight="1" ht="105" outlineLevel="4">
      <c r="A277" s="1"/>
      <c r="B277" s="1">
        <v>811022</v>
      </c>
      <c r="C277" s="1" t="s">
        <v>1046</v>
      </c>
      <c r="D277" s="1" t="s">
        <v>1047</v>
      </c>
      <c r="E277" s="2" t="s">
        <v>1048</v>
      </c>
      <c r="F277" s="2" t="s">
        <v>1049</v>
      </c>
      <c r="G277" s="2" t="s">
        <v>25</v>
      </c>
      <c r="H277" s="2">
        <v>0</v>
      </c>
      <c r="I277" s="1">
        <v>0</v>
      </c>
      <c r="J277" s="3" t="s">
        <v>16</v>
      </c>
      <c r="K277" s="2" t="str">
        <f>J277*230.56</f>
        <v>0</v>
      </c>
      <c r="L277" s="5"/>
    </row>
    <row r="278" spans="1:12" customHeight="1" ht="105" outlineLevel="4">
      <c r="A278" s="1"/>
      <c r="B278" s="1">
        <v>811023</v>
      </c>
      <c r="C278" s="1" t="s">
        <v>1050</v>
      </c>
      <c r="D278" s="1" t="s">
        <v>1051</v>
      </c>
      <c r="E278" s="2" t="s">
        <v>1052</v>
      </c>
      <c r="F278" s="2" t="s">
        <v>1053</v>
      </c>
      <c r="G278" s="2" t="s">
        <v>62</v>
      </c>
      <c r="H278" s="2">
        <v>0</v>
      </c>
      <c r="I278" s="1">
        <v>0</v>
      </c>
      <c r="J278" s="3" t="s">
        <v>16</v>
      </c>
      <c r="K278" s="2" t="str">
        <f>J278*321.30</f>
        <v>0</v>
      </c>
      <c r="L278" s="5"/>
    </row>
    <row r="279" spans="1:12" customHeight="1" ht="105" outlineLevel="4">
      <c r="A279" s="1"/>
      <c r="B279" s="1">
        <v>811024</v>
      </c>
      <c r="C279" s="1" t="s">
        <v>1054</v>
      </c>
      <c r="D279" s="1" t="s">
        <v>1055</v>
      </c>
      <c r="E279" s="2" t="s">
        <v>1056</v>
      </c>
      <c r="F279" s="2" t="s">
        <v>1057</v>
      </c>
      <c r="G279" s="2">
        <v>8</v>
      </c>
      <c r="H279" s="2">
        <v>0</v>
      </c>
      <c r="I279" s="1">
        <v>0</v>
      </c>
      <c r="J279" s="3" t="s">
        <v>16</v>
      </c>
      <c r="K279" s="2" t="str">
        <f>J279*504.26</f>
        <v>0</v>
      </c>
      <c r="L279" s="5"/>
    </row>
    <row r="280" spans="1:12" customHeight="1" ht="105" outlineLevel="4">
      <c r="A280" s="1"/>
      <c r="B280" s="1">
        <v>823091</v>
      </c>
      <c r="C280" s="1" t="s">
        <v>1058</v>
      </c>
      <c r="D280" s="1" t="s">
        <v>1059</v>
      </c>
      <c r="E280" s="2" t="s">
        <v>1060</v>
      </c>
      <c r="F280" s="2" t="s">
        <v>1061</v>
      </c>
      <c r="G280" s="2" t="s">
        <v>33</v>
      </c>
      <c r="H280" s="2">
        <v>0</v>
      </c>
      <c r="I280" s="1">
        <v>0</v>
      </c>
      <c r="J280" s="3" t="s">
        <v>16</v>
      </c>
      <c r="K280" s="2" t="str">
        <f>J280*226.10</f>
        <v>0</v>
      </c>
      <c r="L280" s="5"/>
    </row>
    <row r="281" spans="1:12" customHeight="1" ht="105" outlineLevel="4">
      <c r="A281" s="1"/>
      <c r="B281" s="1">
        <v>823092</v>
      </c>
      <c r="C281" s="1" t="s">
        <v>1062</v>
      </c>
      <c r="D281" s="1" t="s">
        <v>1063</v>
      </c>
      <c r="E281" s="2" t="s">
        <v>1064</v>
      </c>
      <c r="F281" s="2" t="s">
        <v>1065</v>
      </c>
      <c r="G281" s="2" t="s">
        <v>48</v>
      </c>
      <c r="H281" s="2">
        <v>0</v>
      </c>
      <c r="I281" s="1">
        <v>0</v>
      </c>
      <c r="J281" s="3" t="s">
        <v>16</v>
      </c>
      <c r="K281" s="2" t="str">
        <f>J281*315.35</f>
        <v>0</v>
      </c>
      <c r="L281" s="5"/>
    </row>
    <row r="282" spans="1:12" customHeight="1" ht="105" outlineLevel="4">
      <c r="A282" s="1"/>
      <c r="B282" s="1">
        <v>823118</v>
      </c>
      <c r="C282" s="1" t="s">
        <v>1066</v>
      </c>
      <c r="D282" s="1" t="s">
        <v>1067</v>
      </c>
      <c r="E282" s="2" t="s">
        <v>1068</v>
      </c>
      <c r="F282" s="2" t="s">
        <v>1069</v>
      </c>
      <c r="G282" s="2" t="s">
        <v>48</v>
      </c>
      <c r="H282" s="2">
        <v>0</v>
      </c>
      <c r="I282" s="1">
        <v>0</v>
      </c>
      <c r="J282" s="3" t="s">
        <v>16</v>
      </c>
      <c r="K282" s="2" t="str">
        <f>J282*478.98</f>
        <v>0</v>
      </c>
      <c r="L282" s="5"/>
    </row>
    <row r="283" spans="1:12" customHeight="1" ht="105" outlineLevel="4">
      <c r="A283" s="1"/>
      <c r="B283" s="1">
        <v>823971</v>
      </c>
      <c r="C283" s="1" t="s">
        <v>1070</v>
      </c>
      <c r="D283" s="1" t="s">
        <v>1071</v>
      </c>
      <c r="E283" s="2" t="s">
        <v>1072</v>
      </c>
      <c r="F283" s="2" t="s">
        <v>1049</v>
      </c>
      <c r="G283" s="2" t="s">
        <v>62</v>
      </c>
      <c r="H283" s="2">
        <v>0</v>
      </c>
      <c r="I283" s="1">
        <v>0</v>
      </c>
      <c r="J283" s="3" t="s">
        <v>16</v>
      </c>
      <c r="K283" s="2" t="str">
        <f>J283*230.56</f>
        <v>0</v>
      </c>
      <c r="L283" s="5"/>
    </row>
    <row r="284" spans="1:12" customHeight="1" ht="105" outlineLevel="4">
      <c r="A284" s="1"/>
      <c r="B284" s="1">
        <v>823972</v>
      </c>
      <c r="C284" s="1" t="s">
        <v>1073</v>
      </c>
      <c r="D284" s="1" t="s">
        <v>1074</v>
      </c>
      <c r="E284" s="2" t="s">
        <v>1075</v>
      </c>
      <c r="F284" s="2" t="s">
        <v>1076</v>
      </c>
      <c r="G284" s="2" t="s">
        <v>48</v>
      </c>
      <c r="H284" s="2">
        <v>0</v>
      </c>
      <c r="I284" s="1">
        <v>0</v>
      </c>
      <c r="J284" s="3" t="s">
        <v>16</v>
      </c>
      <c r="K284" s="2" t="str">
        <f>J284*327.25</f>
        <v>0</v>
      </c>
      <c r="L284" s="5"/>
    </row>
    <row r="285" spans="1:12" customHeight="1" ht="105" outlineLevel="4">
      <c r="A285" s="1"/>
      <c r="B285" s="1">
        <v>823122</v>
      </c>
      <c r="C285" s="1" t="s">
        <v>1077</v>
      </c>
      <c r="D285" s="1" t="s">
        <v>1078</v>
      </c>
      <c r="E285" s="2" t="s">
        <v>1079</v>
      </c>
      <c r="F285" s="2" t="s">
        <v>1080</v>
      </c>
      <c r="G285" s="2">
        <v>8</v>
      </c>
      <c r="H285" s="2">
        <v>0</v>
      </c>
      <c r="I285" s="1">
        <v>0</v>
      </c>
      <c r="J285" s="3" t="s">
        <v>16</v>
      </c>
      <c r="K285" s="2" t="str">
        <f>J285*498.31</f>
        <v>0</v>
      </c>
      <c r="L285" s="5"/>
    </row>
    <row r="286" spans="1:12" outlineLevel="2">
      <c r="A286" s="8" t="s">
        <v>1081</v>
      </c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5"/>
    </row>
    <row r="287" spans="1:12" customHeight="1" ht="105" outlineLevel="4">
      <c r="A287" s="1"/>
      <c r="B287" s="1">
        <v>878967</v>
      </c>
      <c r="C287" s="1" t="s">
        <v>1082</v>
      </c>
      <c r="D287" s="1">
        <v>554727</v>
      </c>
      <c r="E287" s="2" t="s">
        <v>1083</v>
      </c>
      <c r="F287" s="2" t="s">
        <v>1084</v>
      </c>
      <c r="G287" s="2">
        <v>4</v>
      </c>
      <c r="H287" s="2">
        <v>0</v>
      </c>
      <c r="I287" s="1">
        <v>0</v>
      </c>
      <c r="J287" s="3" t="s">
        <v>16</v>
      </c>
      <c r="K287" s="2" t="str">
        <f>J287*40.00</f>
        <v>0</v>
      </c>
      <c r="L287" s="5"/>
    </row>
    <row r="288" spans="1:12" customHeight="1" ht="105" outlineLevel="4">
      <c r="A288" s="1"/>
      <c r="B288" s="1">
        <v>878968</v>
      </c>
      <c r="C288" s="1" t="s">
        <v>1085</v>
      </c>
      <c r="D288" s="1">
        <v>554729</v>
      </c>
      <c r="E288" s="2" t="s">
        <v>1086</v>
      </c>
      <c r="F288" s="2" t="s">
        <v>1087</v>
      </c>
      <c r="G288" s="2">
        <v>0</v>
      </c>
      <c r="H288" s="2">
        <v>0</v>
      </c>
      <c r="I288" s="1">
        <v>0</v>
      </c>
      <c r="J288" s="3" t="s">
        <v>16</v>
      </c>
      <c r="K288" s="2" t="str">
        <f>J288*50.00</f>
        <v>0</v>
      </c>
      <c r="L288" s="5"/>
    </row>
    <row r="289" spans="1:12" outlineLevel="1">
      <c r="A289" s="7" t="s">
        <v>1088</v>
      </c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5"/>
    </row>
    <row r="290" spans="1:12" customHeight="1" ht="105" outlineLevel="3">
      <c r="A290" s="1"/>
      <c r="B290" s="1">
        <v>873430</v>
      </c>
      <c r="C290" s="1" t="s">
        <v>1089</v>
      </c>
      <c r="D290" s="1"/>
      <c r="E290" s="2" t="s">
        <v>1090</v>
      </c>
      <c r="F290" s="2" t="s">
        <v>1091</v>
      </c>
      <c r="G290" s="2">
        <v>0</v>
      </c>
      <c r="H290" s="2">
        <v>0</v>
      </c>
      <c r="I290" s="1">
        <v>0</v>
      </c>
      <c r="J290" s="3" t="s">
        <v>16</v>
      </c>
      <c r="K290" s="2" t="str">
        <f>J290*2942.40</f>
        <v>0</v>
      </c>
      <c r="L290" s="5"/>
    </row>
    <row r="291" spans="1:12" customHeight="1" ht="105" outlineLevel="3">
      <c r="A291" s="1"/>
      <c r="B291" s="1">
        <v>873431</v>
      </c>
      <c r="C291" s="1" t="s">
        <v>1092</v>
      </c>
      <c r="D291" s="1"/>
      <c r="E291" s="2" t="s">
        <v>1093</v>
      </c>
      <c r="F291" s="2" t="s">
        <v>1094</v>
      </c>
      <c r="G291" s="2">
        <v>0</v>
      </c>
      <c r="H291" s="2">
        <v>0</v>
      </c>
      <c r="I291" s="1">
        <v>0</v>
      </c>
      <c r="J291" s="3" t="s">
        <v>16</v>
      </c>
      <c r="K291" s="2" t="str">
        <f>J291*3518.40</f>
        <v>0</v>
      </c>
      <c r="L291" s="5"/>
    </row>
    <row r="292" spans="1:12" customHeight="1" ht="105" outlineLevel="3">
      <c r="A292" s="1"/>
      <c r="B292" s="1">
        <v>858507</v>
      </c>
      <c r="C292" s="1" t="s">
        <v>1095</v>
      </c>
      <c r="D292" s="1"/>
      <c r="E292" s="2" t="s">
        <v>1096</v>
      </c>
      <c r="F292" s="2" t="s">
        <v>1097</v>
      </c>
      <c r="G292" s="2">
        <v>0</v>
      </c>
      <c r="H292" s="2">
        <v>0</v>
      </c>
      <c r="I292" s="1">
        <v>0</v>
      </c>
      <c r="J292" s="3" t="s">
        <v>16</v>
      </c>
      <c r="K292" s="2" t="str">
        <f>J292*3688.00</f>
        <v>0</v>
      </c>
      <c r="L292" s="5"/>
    </row>
    <row r="293" spans="1:12" customHeight="1" ht="105" outlineLevel="3">
      <c r="A293" s="1"/>
      <c r="B293" s="1">
        <v>868618</v>
      </c>
      <c r="C293" s="1" t="s">
        <v>1098</v>
      </c>
      <c r="D293" s="1"/>
      <c r="E293" s="2" t="s">
        <v>1099</v>
      </c>
      <c r="F293" s="2" t="s">
        <v>1100</v>
      </c>
      <c r="G293" s="2">
        <v>0</v>
      </c>
      <c r="H293" s="2">
        <v>0</v>
      </c>
      <c r="I293" s="1">
        <v>0</v>
      </c>
      <c r="J293" s="3" t="s">
        <v>16</v>
      </c>
      <c r="K293" s="2" t="str">
        <f>J293*4211.20</f>
        <v>0</v>
      </c>
      <c r="L293" s="5"/>
    </row>
    <row r="294" spans="1:12" customHeight="1" ht="105" outlineLevel="3">
      <c r="A294" s="1"/>
      <c r="B294" s="1">
        <v>877728</v>
      </c>
      <c r="C294" s="1" t="s">
        <v>1101</v>
      </c>
      <c r="D294" s="1"/>
      <c r="E294" s="2" t="s">
        <v>1102</v>
      </c>
      <c r="F294" s="2" t="s">
        <v>1103</v>
      </c>
      <c r="G294" s="2">
        <v>0</v>
      </c>
      <c r="H294" s="2">
        <v>0</v>
      </c>
      <c r="I294" s="1">
        <v>0</v>
      </c>
      <c r="J294" s="3" t="s">
        <v>16</v>
      </c>
      <c r="K294" s="2" t="str">
        <f>J294*4648.00</f>
        <v>0</v>
      </c>
      <c r="L294" s="5"/>
    </row>
    <row r="295" spans="1:12" customHeight="1" ht="105" outlineLevel="3">
      <c r="A295" s="1"/>
      <c r="B295" s="1">
        <v>868611</v>
      </c>
      <c r="C295" s="1" t="s">
        <v>1104</v>
      </c>
      <c r="D295" s="1"/>
      <c r="E295" s="2" t="s">
        <v>1105</v>
      </c>
      <c r="F295" s="2" t="s">
        <v>1106</v>
      </c>
      <c r="G295" s="2">
        <v>0</v>
      </c>
      <c r="H295" s="2">
        <v>0</v>
      </c>
      <c r="I295" s="1">
        <v>0</v>
      </c>
      <c r="J295" s="3" t="s">
        <v>16</v>
      </c>
      <c r="K295" s="2" t="str">
        <f>J295*5820.80</f>
        <v>0</v>
      </c>
      <c r="L295" s="5"/>
    </row>
    <row r="296" spans="1:12" customHeight="1" ht="105" outlineLevel="3">
      <c r="A296" s="1"/>
      <c r="B296" s="1">
        <v>868612</v>
      </c>
      <c r="C296" s="1" t="s">
        <v>1107</v>
      </c>
      <c r="D296" s="1"/>
      <c r="E296" s="2" t="s">
        <v>1108</v>
      </c>
      <c r="F296" s="2" t="s">
        <v>1109</v>
      </c>
      <c r="G296" s="2">
        <v>0</v>
      </c>
      <c r="H296" s="2">
        <v>0</v>
      </c>
      <c r="I296" s="1">
        <v>0</v>
      </c>
      <c r="J296" s="3" t="s">
        <v>16</v>
      </c>
      <c r="K296" s="2" t="str">
        <f>J296*6044.80</f>
        <v>0</v>
      </c>
      <c r="L296" s="5"/>
    </row>
    <row r="297" spans="1:12" customHeight="1" ht="105" outlineLevel="3">
      <c r="A297" s="1"/>
      <c r="B297" s="1">
        <v>868613</v>
      </c>
      <c r="C297" s="1" t="s">
        <v>1110</v>
      </c>
      <c r="D297" s="1"/>
      <c r="E297" s="2" t="s">
        <v>1111</v>
      </c>
      <c r="F297" s="2" t="s">
        <v>1112</v>
      </c>
      <c r="G297" s="2">
        <v>0</v>
      </c>
      <c r="H297" s="2">
        <v>0</v>
      </c>
      <c r="I297" s="1">
        <v>0</v>
      </c>
      <c r="J297" s="3" t="s">
        <v>16</v>
      </c>
      <c r="K297" s="2" t="str">
        <f>J297*6334.40</f>
        <v>0</v>
      </c>
      <c r="L297" s="5"/>
    </row>
    <row r="298" spans="1:12" outlineLevel="1">
      <c r="A298" s="7" t="s">
        <v>1113</v>
      </c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5"/>
    </row>
    <row r="299" spans="1:12" customHeight="1" ht="105" outlineLevel="3">
      <c r="A299" s="1"/>
      <c r="B299" s="1">
        <v>810974</v>
      </c>
      <c r="C299" s="1" t="s">
        <v>1114</v>
      </c>
      <c r="D299" s="1" t="s">
        <v>1115</v>
      </c>
      <c r="E299" s="2" t="s">
        <v>1116</v>
      </c>
      <c r="F299" s="2" t="s">
        <v>1117</v>
      </c>
      <c r="G299" s="2">
        <v>5</v>
      </c>
      <c r="H299" s="2" t="s">
        <v>33</v>
      </c>
      <c r="I299" s="1">
        <v>0</v>
      </c>
      <c r="J299" s="3" t="s">
        <v>16</v>
      </c>
      <c r="K299" s="2" t="str">
        <f>J299*263.00</f>
        <v>0</v>
      </c>
      <c r="L299" s="5"/>
    </row>
    <row r="300" spans="1:12" customHeight="1" ht="105" outlineLevel="3">
      <c r="A300" s="1"/>
      <c r="B300" s="1">
        <v>810975</v>
      </c>
      <c r="C300" s="1" t="s">
        <v>1118</v>
      </c>
      <c r="D300" s="1" t="s">
        <v>1119</v>
      </c>
      <c r="E300" s="2" t="s">
        <v>1120</v>
      </c>
      <c r="F300" s="2" t="s">
        <v>1121</v>
      </c>
      <c r="G300" s="2" t="s">
        <v>25</v>
      </c>
      <c r="H300" s="2" t="s">
        <v>25</v>
      </c>
      <c r="I300" s="1">
        <v>0</v>
      </c>
      <c r="J300" s="3" t="s">
        <v>16</v>
      </c>
      <c r="K300" s="2" t="str">
        <f>J300*36.00</f>
        <v>0</v>
      </c>
      <c r="L300" s="5"/>
    </row>
    <row r="301" spans="1:12" customHeight="1" ht="105" outlineLevel="3">
      <c r="A301" s="1"/>
      <c r="B301" s="1">
        <v>810976</v>
      </c>
      <c r="C301" s="1" t="s">
        <v>1122</v>
      </c>
      <c r="D301" s="1" t="s">
        <v>1123</v>
      </c>
      <c r="E301" s="2" t="s">
        <v>1124</v>
      </c>
      <c r="F301" s="2" t="s">
        <v>1125</v>
      </c>
      <c r="G301" s="2" t="s">
        <v>25</v>
      </c>
      <c r="H301" s="2" t="s">
        <v>25</v>
      </c>
      <c r="I301" s="1">
        <v>0</v>
      </c>
      <c r="J301" s="3" t="s">
        <v>16</v>
      </c>
      <c r="K301" s="2" t="str">
        <f>J301*34.00</f>
        <v>0</v>
      </c>
      <c r="L301" s="5"/>
    </row>
    <row r="302" spans="1:12" customHeight="1" ht="105" outlineLevel="3">
      <c r="A302" s="1"/>
      <c r="B302" s="1">
        <v>810977</v>
      </c>
      <c r="C302" s="1" t="s">
        <v>1126</v>
      </c>
      <c r="D302" s="1" t="s">
        <v>1127</v>
      </c>
      <c r="E302" s="2" t="s">
        <v>1128</v>
      </c>
      <c r="F302" s="2" t="s">
        <v>1129</v>
      </c>
      <c r="G302" s="2" t="s">
        <v>25</v>
      </c>
      <c r="H302" s="2" t="s">
        <v>25</v>
      </c>
      <c r="I302" s="1">
        <v>0</v>
      </c>
      <c r="J302" s="3" t="s">
        <v>16</v>
      </c>
      <c r="K302" s="2" t="str">
        <f>J302*35.00</f>
        <v>0</v>
      </c>
      <c r="L302" s="5"/>
    </row>
    <row r="303" spans="1:12" customHeight="1" ht="105" outlineLevel="3">
      <c r="A303" s="1"/>
      <c r="B303" s="1">
        <v>810978</v>
      </c>
      <c r="C303" s="1" t="s">
        <v>1130</v>
      </c>
      <c r="D303" s="1" t="s">
        <v>1131</v>
      </c>
      <c r="E303" s="2" t="s">
        <v>1132</v>
      </c>
      <c r="F303" s="2" t="s">
        <v>1133</v>
      </c>
      <c r="G303" s="2">
        <v>9</v>
      </c>
      <c r="H303" s="2" t="s">
        <v>33</v>
      </c>
      <c r="I303" s="1">
        <v>0</v>
      </c>
      <c r="J303" s="3" t="s">
        <v>16</v>
      </c>
      <c r="K303" s="2" t="str">
        <f>J303*154.00</f>
        <v>0</v>
      </c>
      <c r="L303" s="5"/>
    </row>
    <row r="304" spans="1:12" customHeight="1" ht="105" outlineLevel="3">
      <c r="A304" s="1"/>
      <c r="B304" s="1">
        <v>810979</v>
      </c>
      <c r="C304" s="1" t="s">
        <v>1134</v>
      </c>
      <c r="D304" s="1" t="s">
        <v>1135</v>
      </c>
      <c r="E304" s="2" t="s">
        <v>1136</v>
      </c>
      <c r="F304" s="2" t="s">
        <v>1137</v>
      </c>
      <c r="G304" s="2">
        <v>10</v>
      </c>
      <c r="H304" s="2" t="s">
        <v>62</v>
      </c>
      <c r="I304" s="1">
        <v>0</v>
      </c>
      <c r="J304" s="3" t="s">
        <v>16</v>
      </c>
      <c r="K304" s="2" t="str">
        <f>J304*87.00</f>
        <v>0</v>
      </c>
      <c r="L304" s="5"/>
    </row>
    <row r="305" spans="1:12" customHeight="1" ht="105" outlineLevel="3">
      <c r="A305" s="1"/>
      <c r="B305" s="1">
        <v>810980</v>
      </c>
      <c r="C305" s="1" t="s">
        <v>1138</v>
      </c>
      <c r="D305" s="1" t="s">
        <v>1139</v>
      </c>
      <c r="E305" s="2" t="s">
        <v>1140</v>
      </c>
      <c r="F305" s="2" t="s">
        <v>1141</v>
      </c>
      <c r="G305" s="2">
        <v>10</v>
      </c>
      <c r="H305" s="2" t="s">
        <v>25</v>
      </c>
      <c r="I305" s="1">
        <v>0</v>
      </c>
      <c r="J305" s="3" t="s">
        <v>16</v>
      </c>
      <c r="K305" s="2" t="str">
        <f>J305*57.00</f>
        <v>0</v>
      </c>
      <c r="L305" s="5"/>
    </row>
    <row r="306" spans="1:12" customHeight="1" ht="105" outlineLevel="3">
      <c r="A306" s="1"/>
      <c r="B306" s="1">
        <v>810981</v>
      </c>
      <c r="C306" s="1" t="s">
        <v>1142</v>
      </c>
      <c r="D306" s="1" t="s">
        <v>1143</v>
      </c>
      <c r="E306" s="2" t="s">
        <v>1144</v>
      </c>
      <c r="F306" s="2" t="s">
        <v>1145</v>
      </c>
      <c r="G306" s="2" t="s">
        <v>33</v>
      </c>
      <c r="H306" s="2">
        <v>0</v>
      </c>
      <c r="I306" s="1">
        <v>0</v>
      </c>
      <c r="J306" s="3" t="s">
        <v>16</v>
      </c>
      <c r="K306" s="2" t="str">
        <f>J306*44.00</f>
        <v>0</v>
      </c>
      <c r="L306" s="5"/>
    </row>
    <row r="307" spans="1:12" customHeight="1" ht="105" outlineLevel="3">
      <c r="A307" s="1"/>
      <c r="B307" s="1">
        <v>810982</v>
      </c>
      <c r="C307" s="1" t="s">
        <v>1146</v>
      </c>
      <c r="D307" s="1" t="s">
        <v>1147</v>
      </c>
      <c r="E307" s="2" t="s">
        <v>1148</v>
      </c>
      <c r="F307" s="2" t="s">
        <v>1149</v>
      </c>
      <c r="G307" s="2">
        <v>0</v>
      </c>
      <c r="H307" s="2">
        <v>0</v>
      </c>
      <c r="I307" s="1">
        <v>0</v>
      </c>
      <c r="J307" s="3" t="s">
        <v>16</v>
      </c>
      <c r="K307" s="2" t="str">
        <f>J307*192.00</f>
        <v>0</v>
      </c>
      <c r="L307" s="5"/>
    </row>
    <row r="308" spans="1:12" customHeight="1" ht="105" outlineLevel="3">
      <c r="A308" s="1"/>
      <c r="B308" s="1">
        <v>810983</v>
      </c>
      <c r="C308" s="1" t="s">
        <v>1150</v>
      </c>
      <c r="D308" s="1" t="s">
        <v>1151</v>
      </c>
      <c r="E308" s="2" t="s">
        <v>1152</v>
      </c>
      <c r="F308" s="2" t="s">
        <v>1153</v>
      </c>
      <c r="G308" s="2">
        <v>1</v>
      </c>
      <c r="H308" s="2">
        <v>0</v>
      </c>
      <c r="I308" s="1">
        <v>0</v>
      </c>
      <c r="J308" s="3" t="s">
        <v>16</v>
      </c>
      <c r="K308" s="2" t="str">
        <f>J308*147.00</f>
        <v>0</v>
      </c>
      <c r="L308" s="5"/>
    </row>
    <row r="309" spans="1:12" customHeight="1" ht="105" outlineLevel="3">
      <c r="A309" s="1"/>
      <c r="B309" s="1">
        <v>810984</v>
      </c>
      <c r="C309" s="1" t="s">
        <v>1154</v>
      </c>
      <c r="D309" s="1" t="s">
        <v>1155</v>
      </c>
      <c r="E309" s="2" t="s">
        <v>1156</v>
      </c>
      <c r="F309" s="2" t="s">
        <v>1157</v>
      </c>
      <c r="G309" s="2">
        <v>0</v>
      </c>
      <c r="H309" s="2">
        <v>0</v>
      </c>
      <c r="I309" s="1">
        <v>0</v>
      </c>
      <c r="J309" s="3" t="s">
        <v>16</v>
      </c>
      <c r="K309" s="2" t="str">
        <f>J309*94.00</f>
        <v>0</v>
      </c>
      <c r="L309" s="5"/>
    </row>
    <row r="310" spans="1:12" customHeight="1" ht="105" outlineLevel="3">
      <c r="A310" s="1"/>
      <c r="B310" s="1">
        <v>810985</v>
      </c>
      <c r="C310" s="1" t="s">
        <v>1158</v>
      </c>
      <c r="D310" s="1" t="s">
        <v>1159</v>
      </c>
      <c r="E310" s="2" t="s">
        <v>1160</v>
      </c>
      <c r="F310" s="2" t="s">
        <v>1161</v>
      </c>
      <c r="G310" s="2" t="s">
        <v>48</v>
      </c>
      <c r="H310" s="2" t="s">
        <v>33</v>
      </c>
      <c r="I310" s="1">
        <v>0</v>
      </c>
      <c r="J310" s="3" t="s">
        <v>16</v>
      </c>
      <c r="K310" s="2" t="str">
        <f>J310*59.00</f>
        <v>0</v>
      </c>
      <c r="L310" s="5"/>
    </row>
    <row r="311" spans="1:12" customHeight="1" ht="105" outlineLevel="3">
      <c r="A311" s="1"/>
      <c r="B311" s="1">
        <v>810986</v>
      </c>
      <c r="C311" s="1" t="s">
        <v>1162</v>
      </c>
      <c r="D311" s="1" t="s">
        <v>1163</v>
      </c>
      <c r="E311" s="2" t="s">
        <v>1164</v>
      </c>
      <c r="F311" s="2" t="s">
        <v>1161</v>
      </c>
      <c r="G311" s="2">
        <v>0</v>
      </c>
      <c r="H311" s="2">
        <v>0</v>
      </c>
      <c r="I311" s="1">
        <v>0</v>
      </c>
      <c r="J311" s="3" t="s">
        <v>16</v>
      </c>
      <c r="K311" s="2" t="str">
        <f>J311*59.00</f>
        <v>0</v>
      </c>
      <c r="L311" s="5"/>
    </row>
    <row r="312" spans="1:12" customHeight="1" ht="105" outlineLevel="3">
      <c r="A312" s="1"/>
      <c r="B312" s="1">
        <v>810987</v>
      </c>
      <c r="C312" s="1" t="s">
        <v>1165</v>
      </c>
      <c r="D312" s="1" t="s">
        <v>1166</v>
      </c>
      <c r="E312" s="2" t="s">
        <v>1167</v>
      </c>
      <c r="F312" s="2" t="s">
        <v>1121</v>
      </c>
      <c r="G312" s="2" t="s">
        <v>62</v>
      </c>
      <c r="H312" s="2">
        <v>0</v>
      </c>
      <c r="I312" s="1">
        <v>0</v>
      </c>
      <c r="J312" s="3" t="s">
        <v>16</v>
      </c>
      <c r="K312" s="2" t="str">
        <f>J312*36.00</f>
        <v>0</v>
      </c>
      <c r="L312" s="5"/>
    </row>
    <row r="313" spans="1:12" customHeight="1" ht="105" outlineLevel="3">
      <c r="A313" s="1"/>
      <c r="B313" s="1">
        <v>810988</v>
      </c>
      <c r="C313" s="1" t="s">
        <v>1168</v>
      </c>
      <c r="D313" s="1" t="s">
        <v>1169</v>
      </c>
      <c r="E313" s="2" t="s">
        <v>1170</v>
      </c>
      <c r="F313" s="2" t="s">
        <v>1171</v>
      </c>
      <c r="G313" s="2">
        <v>0</v>
      </c>
      <c r="H313" s="2">
        <v>8</v>
      </c>
      <c r="I313" s="1">
        <v>0</v>
      </c>
      <c r="J313" s="3" t="s">
        <v>16</v>
      </c>
      <c r="K313" s="2" t="str">
        <f>J313*72.00</f>
        <v>0</v>
      </c>
      <c r="L313" s="5"/>
    </row>
    <row r="314" spans="1:12" customHeight="1" ht="105" outlineLevel="3">
      <c r="A314" s="1"/>
      <c r="B314" s="1">
        <v>810989</v>
      </c>
      <c r="C314" s="1" t="s">
        <v>1172</v>
      </c>
      <c r="D314" s="1" t="s">
        <v>1173</v>
      </c>
      <c r="E314" s="2" t="s">
        <v>1174</v>
      </c>
      <c r="F314" s="2" t="s">
        <v>1175</v>
      </c>
      <c r="G314" s="2">
        <v>0</v>
      </c>
      <c r="H314" s="2" t="s">
        <v>62</v>
      </c>
      <c r="I314" s="1">
        <v>0</v>
      </c>
      <c r="J314" s="3" t="s">
        <v>16</v>
      </c>
      <c r="K314" s="2" t="str">
        <f>J314*287.00</f>
        <v>0</v>
      </c>
      <c r="L314" s="5"/>
    </row>
    <row r="315" spans="1:12" customHeight="1" ht="105" outlineLevel="3">
      <c r="A315" s="1"/>
      <c r="B315" s="1">
        <v>810990</v>
      </c>
      <c r="C315" s="1" t="s">
        <v>1176</v>
      </c>
      <c r="D315" s="1" t="s">
        <v>1177</v>
      </c>
      <c r="E315" s="2" t="s">
        <v>1178</v>
      </c>
      <c r="F315" s="2" t="s">
        <v>1179</v>
      </c>
      <c r="G315" s="2">
        <v>0</v>
      </c>
      <c r="H315" s="2">
        <v>3</v>
      </c>
      <c r="I315" s="1">
        <v>0</v>
      </c>
      <c r="J315" s="3" t="s">
        <v>16</v>
      </c>
      <c r="K315" s="2" t="str">
        <f>J315*269.00</f>
        <v>0</v>
      </c>
      <c r="L315" s="5"/>
    </row>
    <row r="316" spans="1:12" customHeight="1" ht="105" outlineLevel="3">
      <c r="A316" s="1"/>
      <c r="B316" s="1">
        <v>810991</v>
      </c>
      <c r="C316" s="1" t="s">
        <v>1180</v>
      </c>
      <c r="D316" s="1" t="s">
        <v>1181</v>
      </c>
      <c r="E316" s="2" t="s">
        <v>1182</v>
      </c>
      <c r="F316" s="2" t="s">
        <v>1183</v>
      </c>
      <c r="G316" s="2">
        <v>0</v>
      </c>
      <c r="H316" s="2">
        <v>10</v>
      </c>
      <c r="I316" s="1">
        <v>0</v>
      </c>
      <c r="J316" s="3" t="s">
        <v>16</v>
      </c>
      <c r="K316" s="2" t="str">
        <f>J316*47.00</f>
        <v>0</v>
      </c>
      <c r="L3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5:K35"/>
    <mergeCell ref="A289:K289"/>
    <mergeCell ref="A298:K298"/>
    <mergeCell ref="A4:K4"/>
    <mergeCell ref="A11:K11"/>
    <mergeCell ref="A15:K15"/>
    <mergeCell ref="A22:K22"/>
    <mergeCell ref="A26:K26"/>
    <mergeCell ref="A36:K36"/>
    <mergeCell ref="A136:K136"/>
    <mergeCell ref="A143:K143"/>
    <mergeCell ref="A165:K165"/>
    <mergeCell ref="A179:K179"/>
    <mergeCell ref="A230:K230"/>
    <mergeCell ref="A273:K273"/>
    <mergeCell ref="A286:K28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2025-10-29T11:25:45+03:00</dcterms:created>
  <dcterms:modified xsi:type="dcterms:W3CDTF">2025-10-29T11:25:45+03:00</dcterms:modified>
  <dc:title>Untitled Spreadsheet</dc:title>
  <dc:description/>
  <dc:subject/>
  <cp:keywords/>
  <cp:category/>
</cp:coreProperties>
</file>