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<sst xmlns="http://schemas.openxmlformats.org/spreadsheetml/2006/main" uniqueCount="1536">
  <si>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</si>
  <si>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</si>
  <si>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</si>
  <si>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</si>
  <si>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</si>
  <si>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</si>
  <si>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</si>
  <si>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</si>
  <si>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</si>
  <si>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</si>
  <si>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</si>
  <si>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</si>
  <si>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ATM</t>
  </si>
  <si>
    <t>MPT-120001</t>
  </si>
  <si>
    <t>AT16*2,0-200</t>
  </si>
  <si>
    <t>Труба м/п б/с AТМ 16(2,0) (200м)</t>
  </si>
  <si>
    <t>63.96 руб.</t>
  </si>
  <si>
    <t>&gt;100</t>
  </si>
  <si>
    <t>пог</t>
  </si>
  <si>
    <t>MPT-120002</t>
  </si>
  <si>
    <t>AT20*2,0-100</t>
  </si>
  <si>
    <t>Труба м/п б/с AТМ 20(2,0) (100м)</t>
  </si>
  <si>
    <t>96.69 руб.</t>
  </si>
  <si>
    <t>MPT-120003</t>
  </si>
  <si>
    <t>AT26*3,0-100</t>
  </si>
  <si>
    <t>Труба м/п б/с AТМ 26(3,0) (100м)</t>
  </si>
  <si>
    <t>185.94 руб.</t>
  </si>
  <si>
    <t>MPT-120004</t>
  </si>
  <si>
    <t>AT32*3.0-100</t>
  </si>
  <si>
    <t>Труба м/п б/с AТМ 32(3,0) (100м)</t>
  </si>
  <si>
    <t>290.06 руб.</t>
  </si>
  <si>
    <t>MPT-120005</t>
  </si>
  <si>
    <t>AT16*2,0-100</t>
  </si>
  <si>
    <t>Труба м/п б/с AТМ 16(2,0) (100м)</t>
  </si>
  <si>
    <t>65.45 руб.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</si>
  <si>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</si>
  <si>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</si>
  <si>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</si>
  <si>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</si>
  <si>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</si>
  <si>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</si>
  <si>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</si>
  <si>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VLC-110003</t>
  </si>
  <si>
    <t>V1620.200</t>
  </si>
  <si>
    <t>Труба м/п VALTEC 16(2,0) бухта 200м</t>
  </si>
  <si>
    <t>&gt;500</t>
  </si>
  <si>
    <t>VLC-110004</t>
  </si>
  <si>
    <t>V2020.100</t>
  </si>
  <si>
    <t>Труба м/п VALTEC 20(2,0) бухта 100м</t>
  </si>
  <si>
    <t>160.00 руб.</t>
  </si>
  <si>
    <t>VLC-110005</t>
  </si>
  <si>
    <t>V2630.050</t>
  </si>
  <si>
    <t>Труба м/п VALTEC 26(3,0) бухта 50м</t>
  </si>
  <si>
    <t>311.00 руб.</t>
  </si>
  <si>
    <t>VLC-110006</t>
  </si>
  <si>
    <t>V3230.050</t>
  </si>
  <si>
    <t>Труба м/п VALTEC 32(3,0) бухта 50м</t>
  </si>
  <si>
    <t>435.00 руб.</t>
  </si>
  <si>
    <t>&gt;50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</si>
  <si>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</si>
  <si>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</si>
  <si>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</si>
  <si>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</si>
  <si>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</si>
  <si>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</si>
  <si>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</si>
  <si>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</si>
  <si>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</si>
  <si>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</si>
  <si>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</si>
  <si>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</si>
  <si>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</si>
  <si>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</si>
  <si>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</si>
  <si>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</si>
  <si>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</si>
  <si>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</si>
  <si>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</si>
  <si>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</si>
  <si>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</si>
  <si>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</si>
  <si>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</si>
  <si>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</si>
  <si>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</si>
  <si>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</si>
  <si>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</si>
  <si>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</si>
  <si>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</si>
  <si>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</si>
  <si>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</si>
  <si>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&gt;10</t>
  </si>
  <si>
    <t>VLC-140011</t>
  </si>
  <si>
    <t>V3230.040</t>
  </si>
  <si>
    <t>Труба м/п VALTEC 32(3,0) бухта 40м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</si>
  <si>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</si>
  <si>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</si>
  <si>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</si>
  <si>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</si>
  <si>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90.74 руб.</t>
  </si>
  <si>
    <t>MPT-130002</t>
  </si>
  <si>
    <t>LS16*2,0-200</t>
  </si>
  <si>
    <t>Труба м/п б/с универсальная VIEIR 16(2,0) (200м)</t>
  </si>
  <si>
    <t>87.76 руб.</t>
  </si>
  <si>
    <t>MPT-130003</t>
  </si>
  <si>
    <t>LS20*2,0-100</t>
  </si>
  <si>
    <t>Труба м/п б/с универсальная VIEIR 20(2,0) (100м)</t>
  </si>
  <si>
    <t>119.00 руб.</t>
  </si>
  <si>
    <t>MPT-130004</t>
  </si>
  <si>
    <t>LS26*3,0-100</t>
  </si>
  <si>
    <t>Труба м/п б/с универсальная VIEIR 26(3,0) (100м)</t>
  </si>
  <si>
    <t>209.74 руб.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</si>
  <si>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</si>
  <si>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</si>
  <si>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</si>
  <si>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</si>
  <si>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</si>
  <si>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5.10 руб.</t>
  </si>
  <si>
    <t>шт</t>
  </si>
  <si>
    <t>VLC-120003</t>
  </si>
  <si>
    <t>VTm.390.0.000020</t>
  </si>
  <si>
    <t>Кольцо штуцерное из EPDM 20 (100шт)</t>
  </si>
  <si>
    <t>7.60 руб.</t>
  </si>
  <si>
    <t>упа</t>
  </si>
  <si>
    <t>VLC-120004</t>
  </si>
  <si>
    <t>VTm.390.0.000026</t>
  </si>
  <si>
    <t>Кольцо штуцерное из EPDM 26 (100шт)</t>
  </si>
  <si>
    <t>11.60 руб.</t>
  </si>
  <si>
    <t>VLC-120005</t>
  </si>
  <si>
    <t>VTm.390.0.000032</t>
  </si>
  <si>
    <t>Кольцо штуцерное из EPDM 32 (100шт)</t>
  </si>
  <si>
    <t>14.20 руб.</t>
  </si>
  <si>
    <t>VLC-120006</t>
  </si>
  <si>
    <t>VTm.301.N.001604</t>
  </si>
  <si>
    <t>Соединитель обжимной с переходом на нар. р. 16х1/2"  (10 /190шт)</t>
  </si>
  <si>
    <t>203.00 руб.</t>
  </si>
  <si>
    <t>VLC-120007</t>
  </si>
  <si>
    <t>VTm.301.N.001605</t>
  </si>
  <si>
    <t>Соединитель обжимной с переходом на нар. р. 16х3/4"  (10 /150шт)</t>
  </si>
  <si>
    <t>260.00 руб.</t>
  </si>
  <si>
    <t>&gt;25</t>
  </si>
  <si>
    <t>VLC-120008</t>
  </si>
  <si>
    <t>VTm.301.N.002004</t>
  </si>
  <si>
    <t>Соединитель обжимной с переходом на нар. р. 20х1/2"  (10 /110шт)</t>
  </si>
  <si>
    <t>326.00 руб.</t>
  </si>
  <si>
    <t>VLC-120009</t>
  </si>
  <si>
    <t>VTm.301.N.002005</t>
  </si>
  <si>
    <t>Соединитель обжимной с переходом на нар. р. 20х3/4"  (10 /120шт)</t>
  </si>
  <si>
    <t>329.00 руб.</t>
  </si>
  <si>
    <t>VLC-120010</t>
  </si>
  <si>
    <t>VTm.301.N.002605</t>
  </si>
  <si>
    <t>Соединитель обжимной с переходом на нар. р. 26х3/4"  (5 /70шт)</t>
  </si>
  <si>
    <t>503.00 руб.</t>
  </si>
  <si>
    <t>VLC-120011</t>
  </si>
  <si>
    <t>VTm.301.N.002606</t>
  </si>
  <si>
    <t>Соединитель обжимной с переходом на нар. р. 26х1"  (5 /60шт)</t>
  </si>
  <si>
    <t>510.00 руб.</t>
  </si>
  <si>
    <t>VLC-120012</t>
  </si>
  <si>
    <t>VTm.301.N.003205</t>
  </si>
  <si>
    <t>Соединитель обжимной с переходом на нар. р. 32х3/4"  (5 /40шт)</t>
  </si>
  <si>
    <t>1 215.00 руб.</t>
  </si>
  <si>
    <t>VLC-120013</t>
  </si>
  <si>
    <t>VTm.301.N.003206</t>
  </si>
  <si>
    <t>Соединитель обжимной с переходом на нар. р. 32х1"  (5 /35шт)</t>
  </si>
  <si>
    <t>1 108.00 руб.</t>
  </si>
  <si>
    <t>VLC-120014</t>
  </si>
  <si>
    <t>VTm.301.N.003207</t>
  </si>
  <si>
    <t>Соединитель обжимной с переходом на нар. р. 32х1 1/4"  (5 /35шт)</t>
  </si>
  <si>
    <t>1 231.00 руб.</t>
  </si>
  <si>
    <t>VLC-120015</t>
  </si>
  <si>
    <t>VTm.302.N.001604</t>
  </si>
  <si>
    <t>Соединитель обжимной с переходом на вн. р. 16х1/2"  (10 /180шт)</t>
  </si>
  <si>
    <t>219.00 руб.</t>
  </si>
  <si>
    <t>VLC-120016</t>
  </si>
  <si>
    <t>VTm.302.N.001605</t>
  </si>
  <si>
    <t>Соединитель обжимной с переходом на вн. р. 16х3/4"  (10 /120шт)</t>
  </si>
  <si>
    <t>315.00 руб.</t>
  </si>
  <si>
    <t>VLC-120017</t>
  </si>
  <si>
    <t>VTm.302.N.002004</t>
  </si>
  <si>
    <t>Соединитель обжимной с переходом на вн. р. 20х1/2"  (10 /120шт)</t>
  </si>
  <si>
    <t>312.00 руб.</t>
  </si>
  <si>
    <t>VLC-120018</t>
  </si>
  <si>
    <t>VTm.302.N.002005</t>
  </si>
  <si>
    <t>Соединитель обжимной с переходом на вн. р. 20х3/4"  (10 /100шт)</t>
  </si>
  <si>
    <t>387.00 руб.</t>
  </si>
  <si>
    <t>VLC-120019</t>
  </si>
  <si>
    <t>VTm.302.N.002605</t>
  </si>
  <si>
    <t>Соединитель обжимной с переходом на вн. р. 26х3/4" (5 /70шт)</t>
  </si>
  <si>
    <t>474.00 руб.</t>
  </si>
  <si>
    <t>VLC-120020</t>
  </si>
  <si>
    <t>VTm.302.N.002606</t>
  </si>
  <si>
    <t>Соединитель обжимной с переходом на вн. р. 26х1"  (5 /55шт)</t>
  </si>
  <si>
    <t>545.00 руб.</t>
  </si>
  <si>
    <t>VLC-120021</t>
  </si>
  <si>
    <t>VTm.302.N.003205</t>
  </si>
  <si>
    <t>Соединитель обжимной с переходом на вн. р. 32х3/4"  (5 /40шт)</t>
  </si>
  <si>
    <t>1 115.00 руб.</t>
  </si>
  <si>
    <t>VLC-120022</t>
  </si>
  <si>
    <t>VTm.302.N.003206</t>
  </si>
  <si>
    <t>Соединитель обжимной с переходом на вн. р. 32х1"  (5 /35шт)</t>
  </si>
  <si>
    <t>1 154.00 руб.</t>
  </si>
  <si>
    <t>VLC-120023</t>
  </si>
  <si>
    <t>VTm.302.N.003207</t>
  </si>
  <si>
    <t>Соединитель обжимной с переходом на вн. р. 32х1 1/4"  (5 /35шт)</t>
  </si>
  <si>
    <t>1 087.00 руб.</t>
  </si>
  <si>
    <t>VLC-120024</t>
  </si>
  <si>
    <t>VTm.303.N.001616</t>
  </si>
  <si>
    <t>Соединитель обжимной 16  (10 /140шт)</t>
  </si>
  <si>
    <t>331.00 руб.</t>
  </si>
  <si>
    <t>VLC-120025</t>
  </si>
  <si>
    <t>VTm.303.N.002020</t>
  </si>
  <si>
    <t>Соединитель обжимной 20  (10 /90шт)</t>
  </si>
  <si>
    <t>515.00 руб.</t>
  </si>
  <si>
    <t>VLC-120026</t>
  </si>
  <si>
    <t>VTm.303.N.002016</t>
  </si>
  <si>
    <t>Соединитель обжимной 20х16  (10 /110шт)</t>
  </si>
  <si>
    <t>426.00 руб.</t>
  </si>
  <si>
    <t>VLC-120027</t>
  </si>
  <si>
    <t>VTm.303.N.002626</t>
  </si>
  <si>
    <t>Соединитель обжимной 26  (5 /55шт)</t>
  </si>
  <si>
    <t>806.00 руб.</t>
  </si>
  <si>
    <t>VLC-120028</t>
  </si>
  <si>
    <t>VTm.303.N.002616</t>
  </si>
  <si>
    <t>Соединитель обжимной 26х16  (5 /60шт)</t>
  </si>
  <si>
    <t>689.00 руб.</t>
  </si>
  <si>
    <t>VLC-120029</t>
  </si>
  <si>
    <t>VTm.303.N.002620</t>
  </si>
  <si>
    <t>Соединитель обжимной 26х20  (5 /55шт)</t>
  </si>
  <si>
    <t>768.00 руб.</t>
  </si>
  <si>
    <t>VLC-120030</t>
  </si>
  <si>
    <t>VTm.303.N.003232</t>
  </si>
  <si>
    <t>Соединитель обжимной 32 (5 /30шт)</t>
  </si>
  <si>
    <t>1 796.00 руб.</t>
  </si>
  <si>
    <t>VLC-120031</t>
  </si>
  <si>
    <t>VTm.303.N.003216</t>
  </si>
  <si>
    <t>Соединитель обжимной 32х16  (5 /40шт)</t>
  </si>
  <si>
    <t>1 222.00 руб.</t>
  </si>
  <si>
    <t>VLC-120032</t>
  </si>
  <si>
    <t>VTm.303.N.003220</t>
  </si>
  <si>
    <t>Соединитель обжимной 32х20  (5 /40шт)</t>
  </si>
  <si>
    <t>1 360.00 руб.</t>
  </si>
  <si>
    <t>VLC-120033</t>
  </si>
  <si>
    <t>VTm.303.N.003226</t>
  </si>
  <si>
    <t>Соединитель обжимной 32х26  (5 /30шт)</t>
  </si>
  <si>
    <t>1 429.00 руб.</t>
  </si>
  <si>
    <t>VLC-120034</t>
  </si>
  <si>
    <t>VTm.322.N.001604</t>
  </si>
  <si>
    <t>Соединитель обжимной с накидной гайкой 16х1/2"</t>
  </si>
  <si>
    <t>267.00 руб.</t>
  </si>
  <si>
    <t>VLC-120035</t>
  </si>
  <si>
    <t>VTm.331.N.161616</t>
  </si>
  <si>
    <t>Тройник обжимной 16 (10 /80шт)</t>
  </si>
  <si>
    <t>448.00 руб.</t>
  </si>
  <si>
    <t>VLC-120036</t>
  </si>
  <si>
    <t>VTm.331.N.202020</t>
  </si>
  <si>
    <t>Тройник обжимной 20  (5 /35шт)</t>
  </si>
  <si>
    <t>808.00 руб.</t>
  </si>
  <si>
    <t>VLC-120037</t>
  </si>
  <si>
    <t>VTm.331.N.162016</t>
  </si>
  <si>
    <t>Тройник обжимной 16х20х16  (5 /50шт)</t>
  </si>
  <si>
    <t>809.00 руб.</t>
  </si>
  <si>
    <t>VLC-120038</t>
  </si>
  <si>
    <t>VTm.331.N.201616</t>
  </si>
  <si>
    <t>Тройник обжимной 20х16х16  (5 /55шт)</t>
  </si>
  <si>
    <t>829.00 руб.</t>
  </si>
  <si>
    <t>VLC-120039</t>
  </si>
  <si>
    <t>VTm.331.N.201620</t>
  </si>
  <si>
    <t>Тройник обжимной 20х16х20  (5 /45шт)</t>
  </si>
  <si>
    <t>883.00 руб.</t>
  </si>
  <si>
    <t>VLC-120040</t>
  </si>
  <si>
    <t>VTm.331.N.202016</t>
  </si>
  <si>
    <t>Тройник обжимной 20х20х16  (5 /40шт)</t>
  </si>
  <si>
    <t>940.00 руб.</t>
  </si>
  <si>
    <t>VLC-120041</t>
  </si>
  <si>
    <t>VTm.331.N.202620</t>
  </si>
  <si>
    <t>Тройник обжимной 20х26х20  (5 /30шт)</t>
  </si>
  <si>
    <t>1 289.00 руб.</t>
  </si>
  <si>
    <t>VLC-120042</t>
  </si>
  <si>
    <t>VTm.331.N.262626</t>
  </si>
  <si>
    <t>Тройник обжимной 26  (5 /25шт)</t>
  </si>
  <si>
    <t>1 176.00 руб.</t>
  </si>
  <si>
    <t>VLC-120043</t>
  </si>
  <si>
    <t>VTm.331.N.261620</t>
  </si>
  <si>
    <t>Тройник обжимной 26х16х20  (5 /35шт)</t>
  </si>
  <si>
    <t>1 068.00 руб.</t>
  </si>
  <si>
    <t>VLC-120044</t>
  </si>
  <si>
    <t>VTm.331.N.261626</t>
  </si>
  <si>
    <t>Тройник обжимной 26х16х26  (5 /30шт)</t>
  </si>
  <si>
    <t>1 044.00 руб.</t>
  </si>
  <si>
    <t>VLC-120045</t>
  </si>
  <si>
    <t>VTm.331.N.262016</t>
  </si>
  <si>
    <t>Тройник обжимной 26х20х16  (5 /35шт)</t>
  </si>
  <si>
    <t>972.00 руб.</t>
  </si>
  <si>
    <t>VLC-120046</t>
  </si>
  <si>
    <t>VTm.331.N.262020</t>
  </si>
  <si>
    <t>Тройник обжимной 26х20х20  (5 /30шт)</t>
  </si>
  <si>
    <t>1 187.00 руб.</t>
  </si>
  <si>
    <t>VLC-120047</t>
  </si>
  <si>
    <t>VTm.331.N.262026</t>
  </si>
  <si>
    <t>Тройник обжимной 26х20х26  (5 /30шт)</t>
  </si>
  <si>
    <t>1 137.00 руб.</t>
  </si>
  <si>
    <t>VLC-120048</t>
  </si>
  <si>
    <t>VTm.331.N.262620</t>
  </si>
  <si>
    <t>Тройник обжимной 26х26х20  (5 /30шт)</t>
  </si>
  <si>
    <t>1 242.00 руб.</t>
  </si>
  <si>
    <t>VLC-120049</t>
  </si>
  <si>
    <t>VTm.331.N.323232</t>
  </si>
  <si>
    <t>Тройник обжимной 32  (5 /15шт)</t>
  </si>
  <si>
    <t>3 124.00 руб.</t>
  </si>
  <si>
    <t>VLC-120050</t>
  </si>
  <si>
    <t>VTm.331.N.263226</t>
  </si>
  <si>
    <t>Тройник обжимной 26х32х26  (5 /15шт)</t>
  </si>
  <si>
    <t>2 142.00 руб.</t>
  </si>
  <si>
    <t>VLC-120051</t>
  </si>
  <si>
    <t>VTm.331.N.321632</t>
  </si>
  <si>
    <t>Тройник обжимной 32х16х32  (5 /15шт)</t>
  </si>
  <si>
    <t>2 317.00 руб.</t>
  </si>
  <si>
    <t>VLC-120052</t>
  </si>
  <si>
    <t>VTm.331.N.322032</t>
  </si>
  <si>
    <t>Тройник обжимной 32х20х32  (5 /15шт)</t>
  </si>
  <si>
    <t>2 530.00 руб.</t>
  </si>
  <si>
    <t>VLC-120053</t>
  </si>
  <si>
    <t>VTm.331.N.322626</t>
  </si>
  <si>
    <t>Тройник обжимной 32х26х26  (5 /15шт)</t>
  </si>
  <si>
    <t>2 281.00 руб.</t>
  </si>
  <si>
    <t>VLC-120054</t>
  </si>
  <si>
    <t>VTm.331.N.322632</t>
  </si>
  <si>
    <t>Тройник обжимной 32х26х32  (5 /15шт)</t>
  </si>
  <si>
    <t>2 601.00 руб.</t>
  </si>
  <si>
    <t>VLC-120055</t>
  </si>
  <si>
    <t>VTm.331.N.323226</t>
  </si>
  <si>
    <t>Тройник обжимной 32х32х26  (5 /15шт)</t>
  </si>
  <si>
    <t>2 504.00 руб.</t>
  </si>
  <si>
    <t>VLC-120056</t>
  </si>
  <si>
    <t>VTm.332.N.160416</t>
  </si>
  <si>
    <t>Тройник обжимной с переходом на вн. р. 16х1/2"  (10 /70шт)</t>
  </si>
  <si>
    <t>401.00 руб.</t>
  </si>
  <si>
    <t>VLC-120057</t>
  </si>
  <si>
    <t>VTm.332.N.200420</t>
  </si>
  <si>
    <t>Тройник обжимной с переходом на вн. р. 20х1/2"  (10 /40шт)</t>
  </si>
  <si>
    <t>703.00 руб.</t>
  </si>
  <si>
    <t>VLC-120058</t>
  </si>
  <si>
    <t>VTm.332.N.200520</t>
  </si>
  <si>
    <t>Тройник обжимной с переходом на вн. р. 20х3/4"  (5 /40шт)</t>
  </si>
  <si>
    <t>727.00 руб.</t>
  </si>
  <si>
    <t>VLC-120059</t>
  </si>
  <si>
    <t>VTm.332.N.260526</t>
  </si>
  <si>
    <t>Тройник обжимной с переходом на вн. р. 26х3/4" (5 /30шт)</t>
  </si>
  <si>
    <t>974.00 руб.</t>
  </si>
  <si>
    <t>VLC-120060</t>
  </si>
  <si>
    <t>VTm.332.N.260626</t>
  </si>
  <si>
    <t>Тройник обжимной с переходом на вн. р. 26х1" (5 /25шт)</t>
  </si>
  <si>
    <t>1 214.00 руб.</t>
  </si>
  <si>
    <t>VLC-120061</t>
  </si>
  <si>
    <t>VTm.332.N.320632</t>
  </si>
  <si>
    <t>Тройник обжимной с переходом на вн. р. 32х1"  (5 /15шт)</t>
  </si>
  <si>
    <t>2 302.00 руб.</t>
  </si>
  <si>
    <t>VLC-120062</t>
  </si>
  <si>
    <t>VTm.332.N.320732</t>
  </si>
  <si>
    <t>Тройник обжимной с переходом на вн. р. 32х1 1/4"  (5 /15шт)</t>
  </si>
  <si>
    <t>2 638.00 руб.</t>
  </si>
  <si>
    <t>VLC-120063</t>
  </si>
  <si>
    <t>VTm.333.N.160416</t>
  </si>
  <si>
    <t>Тройник обжимной с переходом на нар. р. 16х1/2"  (10 /90шт)</t>
  </si>
  <si>
    <t>430.00 руб.</t>
  </si>
  <si>
    <t>VLC-120064</t>
  </si>
  <si>
    <t>VTm.333.N.200420</t>
  </si>
  <si>
    <t>Тройник обжимной с переходом на нар. р. 20х1/2"  (10 /50шт)</t>
  </si>
  <si>
    <t>696.00 руб.</t>
  </si>
  <si>
    <t>VLC-120065</t>
  </si>
  <si>
    <t>VTm.333.N.200520</t>
  </si>
  <si>
    <t>Тройник обжимной с переходом на нар. р. 20х3/4"   (10 /40шт)</t>
  </si>
  <si>
    <t>671.00 руб.</t>
  </si>
  <si>
    <t>VLC-120066</t>
  </si>
  <si>
    <t>VTm.333.N.260526</t>
  </si>
  <si>
    <t>Тройник обжимной с переходом на нар. р. 26х3/4"  (5 /30шт)</t>
  </si>
  <si>
    <t>982.00 руб.</t>
  </si>
  <si>
    <t>VLC-120067</t>
  </si>
  <si>
    <t>VTm.333.N.260626</t>
  </si>
  <si>
    <t>Тройник обжимной с переходом на нар. р. 26х1"  (5 /25шт)</t>
  </si>
  <si>
    <t>975.00 руб.</t>
  </si>
  <si>
    <t>VLC-120068</t>
  </si>
  <si>
    <t>VTm.333.N.320632</t>
  </si>
  <si>
    <t>Тройник обжимной с переходом на нар. р. 32х1"  (5 /15шт)</t>
  </si>
  <si>
    <t>2 244.00 руб.</t>
  </si>
  <si>
    <t>VLC-120069</t>
  </si>
  <si>
    <t>VTm.333.N.320732</t>
  </si>
  <si>
    <t>Тройник обжимной с переходом на нар. р. 32х1 1/4"  (5 /15шт)</t>
  </si>
  <si>
    <t>2 634.00 руб.</t>
  </si>
  <si>
    <t>VLC-120070</t>
  </si>
  <si>
    <t>VTm.334.N.160416</t>
  </si>
  <si>
    <t>Водорозетка обжимная проходная 16х1/2"  (10 /40шт)</t>
  </si>
  <si>
    <t>722.00 руб.</t>
  </si>
  <si>
    <t>VLC-120071</t>
  </si>
  <si>
    <t>VTm.334.N.200420</t>
  </si>
  <si>
    <t>Водорозетка обжимная проходная 20х1/2"  (10 /30шт)</t>
  </si>
  <si>
    <t>967.00 руб.</t>
  </si>
  <si>
    <t>VLC-120072</t>
  </si>
  <si>
    <t>VTm.341.N.161616</t>
  </si>
  <si>
    <t>Крестовина обжимная 16  (10 /50шт)</t>
  </si>
  <si>
    <t>827.00 руб.</t>
  </si>
  <si>
    <t>VLC-120073</t>
  </si>
  <si>
    <t>VTm.341.N.202020</t>
  </si>
  <si>
    <t>Крестовина обжимная 20  (5 /25шт)</t>
  </si>
  <si>
    <t>1 202.00 руб.</t>
  </si>
  <si>
    <t>VLC-120074</t>
  </si>
  <si>
    <t>VTm.341.N.201620</t>
  </si>
  <si>
    <t>Крестовина обжимная 20х16х20х16  (5 /30шт)</t>
  </si>
  <si>
    <t>1 174.00 руб.</t>
  </si>
  <si>
    <t>VLC-120075</t>
  </si>
  <si>
    <t>VTm.341.N.261626</t>
  </si>
  <si>
    <t>Крестовина обжимная 26х16х26х16  (5 /25шт)</t>
  </si>
  <si>
    <t>1 455.00 руб.</t>
  </si>
  <si>
    <t>VLC-120076</t>
  </si>
  <si>
    <t>VTm.341.N.262026</t>
  </si>
  <si>
    <t>Крестовина обжимная 26х20х26х20  (5 /20шт)</t>
  </si>
  <si>
    <t>1 597.00 руб.</t>
  </si>
  <si>
    <t>VLC-120077</t>
  </si>
  <si>
    <t>VTm.351.N.001616</t>
  </si>
  <si>
    <t>Угольник обжимной 16  (10 /120шт)</t>
  </si>
  <si>
    <t>316.00 руб.</t>
  </si>
  <si>
    <t>VLC-120078</t>
  </si>
  <si>
    <t>VTm.351.N.002020</t>
  </si>
  <si>
    <t>Угольник обжимной 20  (10 /60шт)</t>
  </si>
  <si>
    <t>584.00 руб.</t>
  </si>
  <si>
    <t>VLC-120079</t>
  </si>
  <si>
    <t>VTm.351.N.002626</t>
  </si>
  <si>
    <t>Угольник обжимной 26 (5 /40шт)</t>
  </si>
  <si>
    <t>780.00 руб.</t>
  </si>
  <si>
    <t>VLC-120080</t>
  </si>
  <si>
    <t>VTm.351.N.003232</t>
  </si>
  <si>
    <t>Угольник обжимной 32  (5 /20шт)</t>
  </si>
  <si>
    <t>1 975.00 руб.</t>
  </si>
  <si>
    <t>VLC-120081</t>
  </si>
  <si>
    <t>VTm.352.N.001604</t>
  </si>
  <si>
    <t>Угольник обжимной с переходом на вн. р. 16х1/2"  (10 /130шт)</t>
  </si>
  <si>
    <t>277.00 руб.</t>
  </si>
  <si>
    <t>VLC-120082</t>
  </si>
  <si>
    <t>VTm.352.N.001605</t>
  </si>
  <si>
    <t>Угольник обжимной с переходом на вн. р. 16х3/4" (10 /80шт)</t>
  </si>
  <si>
    <t>410.00 руб.</t>
  </si>
  <si>
    <t>VLC-120083</t>
  </si>
  <si>
    <t>VTm.352.N.002004</t>
  </si>
  <si>
    <t>Угольник обжимной с переходом на вн. р. 20х1/2" (10 /80шт)</t>
  </si>
  <si>
    <t>437.00 руб.</t>
  </si>
  <si>
    <t>VLC-120084</t>
  </si>
  <si>
    <t>VTm.352.N.002005</t>
  </si>
  <si>
    <t>Угольник обжимной с переходом на вн. р. 20х3/4"  (10 /60шт)</t>
  </si>
  <si>
    <t>477.00 руб.</t>
  </si>
  <si>
    <t>VLC-120085</t>
  </si>
  <si>
    <t>VTm.352.N.002605</t>
  </si>
  <si>
    <t>Угольник обжимной с переходом на вн. р. 26х3/4"  (5 /45шт)</t>
  </si>
  <si>
    <t>612.00 руб.</t>
  </si>
  <si>
    <t>VLC-120086</t>
  </si>
  <si>
    <t>VTm.352.N.002606</t>
  </si>
  <si>
    <t>Угольник обжимной с переходом на вн. р. 26х1"  (5 /40шт)</t>
  </si>
  <si>
    <t>787.00 руб.</t>
  </si>
  <si>
    <t>VLC-120087</t>
  </si>
  <si>
    <t>VTm.352.N.003206</t>
  </si>
  <si>
    <t>Угольник обжимной с переходом на вн. р. 32х1"  (5 /25шт)</t>
  </si>
  <si>
    <t>1 526.00 руб.</t>
  </si>
  <si>
    <t>VLC-120088</t>
  </si>
  <si>
    <t>VTm.352.N.003207</t>
  </si>
  <si>
    <t>Угольник обжимной с переходом на вн. р. 32х1 1/4"  (5 /20шт)</t>
  </si>
  <si>
    <t>1 761.00 руб.</t>
  </si>
  <si>
    <t>VLC-120089</t>
  </si>
  <si>
    <t>VTm.353.N.001604</t>
  </si>
  <si>
    <t>Угольник обжимной с переходом на нар. р. 16х1/2"  (10 /150шт)</t>
  </si>
  <si>
    <t>246.00 руб.</t>
  </si>
  <si>
    <t>VLC-120090</t>
  </si>
  <si>
    <t>VTm.353.N.001605</t>
  </si>
  <si>
    <t>Угольник обжимной с переходом на нар. р. 16х3/4"  (10 /100шт)</t>
  </si>
  <si>
    <t>394.00 руб.</t>
  </si>
  <si>
    <t>VLC-120091</t>
  </si>
  <si>
    <t>VTm.353.N.002004</t>
  </si>
  <si>
    <t>Угольник обжимной с переходом на нар. р. 20х1/2"  (10 /100шт)</t>
  </si>
  <si>
    <t>431.00 руб.</t>
  </si>
  <si>
    <t>VLC-120092</t>
  </si>
  <si>
    <t>VTm.353.N.002005</t>
  </si>
  <si>
    <t>Угольник обжимной с переходом на нар. р. 20х3/4"  (10 /70шт)</t>
  </si>
  <si>
    <t>455.00 руб.</t>
  </si>
  <si>
    <t>VLC-120093</t>
  </si>
  <si>
    <t>VTm.353.N.002605</t>
  </si>
  <si>
    <t>Угольник обжимной с переходом на нар. р. 26х3/4"  (5 /55шт)</t>
  </si>
  <si>
    <t>594.00 руб.</t>
  </si>
  <si>
    <t>VLC-120094</t>
  </si>
  <si>
    <t>VTm.353.N.002606</t>
  </si>
  <si>
    <t>Угольник обжимной с переходом на нар. р. 26х1"  (5 /50шт)</t>
  </si>
  <si>
    <t>673.00 руб.</t>
  </si>
  <si>
    <t>VLC-120095</t>
  </si>
  <si>
    <t>VTm.353.N.003206</t>
  </si>
  <si>
    <t>Угольник обжимной с переходом на нар. р. 32х1"  (5 /25шт)</t>
  </si>
  <si>
    <t>1 317.00 руб.</t>
  </si>
  <si>
    <t>VLC-120096</t>
  </si>
  <si>
    <t>VTm.353.N.003207</t>
  </si>
  <si>
    <t>Угольник обжимной с переходом на нар. р. 32х1 1/4"  (5 /25шт)</t>
  </si>
  <si>
    <t>1 551.00 руб.</t>
  </si>
  <si>
    <t>VLC-120097</t>
  </si>
  <si>
    <t>VTm.354.N.001604</t>
  </si>
  <si>
    <t>Водорозетка обжимная 16х1/2"   (10 /70шт)</t>
  </si>
  <si>
    <t>400.00 руб.</t>
  </si>
  <si>
    <t>VLC-120098</t>
  </si>
  <si>
    <t>VTm.354.N.002004</t>
  </si>
  <si>
    <t>Водорозетка обжимная 20х1/2"  (10 /50шт)</t>
  </si>
  <si>
    <t>581.00 руб.</t>
  </si>
  <si>
    <t>VLC-120099</t>
  </si>
  <si>
    <t>VTm.354.N.002005</t>
  </si>
  <si>
    <t>Водорозетка обжимная 20х3/4"  (10 /40шт)</t>
  </si>
  <si>
    <t>684.00 руб.</t>
  </si>
  <si>
    <t>VLC-120100</t>
  </si>
  <si>
    <t>VTm.355.N.001604</t>
  </si>
  <si>
    <t>Водорозетка обжимная 16х1/2" нар.  (10 /90шт)</t>
  </si>
  <si>
    <t>379.00 руб.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</si>
  <si>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</si>
  <si>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</si>
  <si>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</si>
  <si>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</si>
  <si>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685.74 руб.</t>
  </si>
  <si>
    <t>MPT-210001</t>
  </si>
  <si>
    <t>MPSM163</t>
  </si>
  <si>
    <t>соед. обжим (нар рез) 16*1/2 (10/250шт)</t>
  </si>
  <si>
    <t>110.08 руб.</t>
  </si>
  <si>
    <t>MPT-210002</t>
  </si>
  <si>
    <t>MPSM164</t>
  </si>
  <si>
    <t>соед. обжим (нар рез) 16*3/4 (10/250шт)</t>
  </si>
  <si>
    <t>150.24 руб.</t>
  </si>
  <si>
    <t>MPT-210003</t>
  </si>
  <si>
    <t>MPSM203</t>
  </si>
  <si>
    <t>соед. обжим (нар рез) 20*1/2 (10/200шт)</t>
  </si>
  <si>
    <t>171.06 руб.</t>
  </si>
  <si>
    <t>MPT-210004</t>
  </si>
  <si>
    <t>MPSM204</t>
  </si>
  <si>
    <t>соед. обжим (нар рез) 20*3/4 (10/200шт)</t>
  </si>
  <si>
    <t>MPT-210005</t>
  </si>
  <si>
    <t>MPSM265</t>
  </si>
  <si>
    <t>соед. обжим (нар рез) 26*1 (5/100шт)</t>
  </si>
  <si>
    <t>331.71 руб.</t>
  </si>
  <si>
    <t>MPT-210006</t>
  </si>
  <si>
    <t>MPSM264</t>
  </si>
  <si>
    <t>соед. обжим (нар рез) 26*3/4 (5/150шт)</t>
  </si>
  <si>
    <t>260.31 руб.</t>
  </si>
  <si>
    <t>MPT-210007</t>
  </si>
  <si>
    <t>MPSM325</t>
  </si>
  <si>
    <t>соед. обжим (нар рез) 32*1"</t>
  </si>
  <si>
    <t>243.27 руб.</t>
  </si>
  <si>
    <t>MPT-210008</t>
  </si>
  <si>
    <t>MPSF163</t>
  </si>
  <si>
    <t>соед. обжим (вн рез) 16*1/2 (10/250шт)</t>
  </si>
  <si>
    <t>114.54 руб.</t>
  </si>
  <si>
    <t>MPT-210009</t>
  </si>
  <si>
    <t>MPSF164</t>
  </si>
  <si>
    <t>соед. обжим (вн рез) 16*3/4 (10/250шт)</t>
  </si>
  <si>
    <t>MPT-210010</t>
  </si>
  <si>
    <t>MPSF203</t>
  </si>
  <si>
    <t>соед. обжим (вн рез) 20*1/2 (10/200шт)</t>
  </si>
  <si>
    <t>168.09 руб.</t>
  </si>
  <si>
    <t>MPT-210011</t>
  </si>
  <si>
    <t>MPSF204</t>
  </si>
  <si>
    <t>соед. обжим (вн рез) 20*3/4 (10/200шт)</t>
  </si>
  <si>
    <t>187.43 руб.</t>
  </si>
  <si>
    <t>MPT-210012</t>
  </si>
  <si>
    <t>MPSF265</t>
  </si>
  <si>
    <t>соед. обжим (вн рез) 26*1 (5/100шт)</t>
  </si>
  <si>
    <t>368.90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</si>
  <si>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</si>
  <si>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</si>
  <si>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</si>
  <si>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</si>
  <si>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</si>
  <si>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</si>
  <si>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</si>
  <si>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</si>
  <si>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</si>
  <si>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193.38 руб.</t>
  </si>
  <si>
    <t>MPT-210016</t>
  </si>
  <si>
    <t>MPS2016</t>
  </si>
  <si>
    <t>соед. обжим 20*16 (10/160шт)</t>
  </si>
  <si>
    <t>223.13 руб.</t>
  </si>
  <si>
    <t>MPT-210017</t>
  </si>
  <si>
    <t>MPS2020</t>
  </si>
  <si>
    <t>соед. обжим 20*20 (10/180шт)</t>
  </si>
  <si>
    <t>264.78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</si>
  <si>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</si>
  <si>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</si>
  <si>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</si>
  <si>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</si>
  <si>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</si>
  <si>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</si>
  <si>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</si>
  <si>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</si>
  <si>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</si>
  <si>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</si>
  <si>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</si>
  <si>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499.80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</si>
  <si>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</si>
  <si>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</si>
  <si>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</si>
  <si>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</si>
  <si>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</si>
  <si>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</si>
  <si>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</si>
  <si>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238.00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</si>
  <si>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</si>
  <si>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</si>
  <si>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</si>
  <si>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</si>
  <si>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</si>
  <si>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</si>
  <si>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345.10 руб.</t>
  </si>
  <si>
    <t>MPT-210025</t>
  </si>
  <si>
    <t>MPTF204</t>
  </si>
  <si>
    <t>тройник обжим (вн рез) 20*3/4 (10/70шт)</t>
  </si>
  <si>
    <t>388.24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</si>
  <si>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</si>
  <si>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</si>
  <si>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</si>
  <si>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</si>
  <si>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</si>
  <si>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</si>
  <si>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</si>
  <si>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</si>
  <si>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</si>
  <si>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230.56 руб.</t>
  </si>
  <si>
    <t>MPT-210029</t>
  </si>
  <si>
    <t>MPTM164</t>
  </si>
  <si>
    <t>тройник обжим (нар рез) 16*3/4</t>
  </si>
  <si>
    <t>394.91 руб.</t>
  </si>
  <si>
    <t>MPT-210030</t>
  </si>
  <si>
    <t>MPTM203</t>
  </si>
  <si>
    <t>тройник обжим (нар рез) 20*1/2 (10/70шт)</t>
  </si>
  <si>
    <t>324.28 руб.</t>
  </si>
  <si>
    <t>MPT-210031</t>
  </si>
  <si>
    <t>MPTM204</t>
  </si>
  <si>
    <t>тройник обжим (нар рез) 20*3/4 (10/70шт)</t>
  </si>
  <si>
    <t>349.56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</si>
  <si>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</si>
  <si>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</si>
  <si>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</si>
  <si>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</si>
  <si>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</si>
  <si>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</si>
  <si>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</si>
  <si>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</si>
  <si>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</si>
  <si>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</si>
  <si>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MPT-210035</t>
  </si>
  <si>
    <t>MPT2020</t>
  </si>
  <si>
    <t>тройник обжим 20*20*20 (10/70шт)</t>
  </si>
  <si>
    <t>426.91 руб.</t>
  </si>
  <si>
    <t>MPT-210036</t>
  </si>
  <si>
    <t>MPT2626</t>
  </si>
  <si>
    <t>тройник обжим 26*26*26 (10/)</t>
  </si>
  <si>
    <t>609.88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</si>
  <si>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</si>
  <si>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</si>
  <si>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</si>
  <si>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</si>
  <si>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</si>
  <si>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</si>
  <si>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</si>
  <si>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359.98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</si>
  <si>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</si>
  <si>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</si>
  <si>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</si>
  <si>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</si>
  <si>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</si>
  <si>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</si>
  <si>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</si>
  <si>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</si>
  <si>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</si>
  <si>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</si>
  <si>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</si>
  <si>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MPT-210042</t>
  </si>
  <si>
    <t>MPLF164</t>
  </si>
  <si>
    <t>угольник обжим (вн рез) 16*3/4 (10/110шт</t>
  </si>
  <si>
    <t>239.49 руб.</t>
  </si>
  <si>
    <t>MPT-210043</t>
  </si>
  <si>
    <t>MPLF203</t>
  </si>
  <si>
    <t>угольник обжим (вн рез) 20*1/2 (10/150шт)</t>
  </si>
  <si>
    <t>203.79 руб.</t>
  </si>
  <si>
    <t>MPT-210044</t>
  </si>
  <si>
    <t>MPLF204</t>
  </si>
  <si>
    <t>угольник обжим (вн рез) 20*3/4 (10/150шт)</t>
  </si>
  <si>
    <t>243.95 руб.</t>
  </si>
  <si>
    <t>MPT-210045</t>
  </si>
  <si>
    <t>MPLF265</t>
  </si>
  <si>
    <t>угольник обжим (вн рез) 26*1" (5/35шт)</t>
  </si>
  <si>
    <t>400.14 руб.</t>
  </si>
  <si>
    <t>MPT-210046</t>
  </si>
  <si>
    <t>MPLF264</t>
  </si>
  <si>
    <t>угольник обжим (вн рез) 26*3/4 (5/50шт)</t>
  </si>
  <si>
    <t>357.00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</si>
  <si>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</si>
  <si>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</si>
  <si>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</si>
  <si>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</si>
  <si>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</si>
  <si>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</si>
  <si>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</si>
  <si>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</si>
  <si>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</si>
  <si>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</si>
  <si>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153.21 руб.</t>
  </si>
  <si>
    <t>MPT-210050</t>
  </si>
  <si>
    <t>MPLM203</t>
  </si>
  <si>
    <t>угольник обжим (нар рез) 20*1/2 (10/150шт)</t>
  </si>
  <si>
    <t>194.86 руб.</t>
  </si>
  <si>
    <t>MPT-210051</t>
  </si>
  <si>
    <t>MPLM204</t>
  </si>
  <si>
    <t>угольник обжим (нар рез) 20*3/4 (10/150шт)</t>
  </si>
  <si>
    <t>229.08 руб.</t>
  </si>
  <si>
    <t>MPT-210052</t>
  </si>
  <si>
    <t>MPLM265</t>
  </si>
  <si>
    <t>угольник обжим (нар рез) 26*1" (5/50шт)</t>
  </si>
  <si>
    <t>377.83 руб.</t>
  </si>
  <si>
    <t>MPT-210053</t>
  </si>
  <si>
    <t>MPL1616</t>
  </si>
  <si>
    <t>угольник обжим 16*16 (10/200шт)</t>
  </si>
  <si>
    <t>188.91 руб.</t>
  </si>
  <si>
    <t>MPT-210054</t>
  </si>
  <si>
    <t>MPL2020</t>
  </si>
  <si>
    <t>угольник обжим 20*20 (10/150шт)</t>
  </si>
  <si>
    <t>269.24 руб.</t>
  </si>
  <si>
    <t>MPT-210055</t>
  </si>
  <si>
    <t>MPL2626</t>
  </si>
  <si>
    <t>угольник обжим 26*26 (5/70шт)</t>
  </si>
  <si>
    <t>416.50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</si>
  <si>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</si>
  <si>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</si>
  <si>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</si>
  <si>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</si>
  <si>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</si>
  <si>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</si>
  <si>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202.30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</si>
  <si>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</si>
  <si>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</si>
  <si>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</si>
  <si>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</si>
  <si>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</si>
  <si>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375.53 руб.</t>
  </si>
  <si>
    <t>MPT-210060</t>
  </si>
  <si>
    <t>VRLF161</t>
  </si>
  <si>
    <t>кран шаровой обжим (вн рез) 16*1/2" (10/100шт)</t>
  </si>
  <si>
    <t>374.85 руб.</t>
  </si>
  <si>
    <t>MPT-210061</t>
  </si>
  <si>
    <t>VRLF162</t>
  </si>
  <si>
    <t>кран шаровой обжим (вн рез) 16*3/4"</t>
  </si>
  <si>
    <t>562.53 руб.</t>
  </si>
  <si>
    <t>MPT-210062</t>
  </si>
  <si>
    <t>VRLF201</t>
  </si>
  <si>
    <t>кран шаровой обжим (вн рез) 20*1/2" (10/100шт)</t>
  </si>
  <si>
    <t>495.34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</si>
  <si>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</si>
  <si>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</si>
  <si>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</si>
  <si>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</si>
  <si>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</si>
  <si>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</si>
  <si>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581.06 руб.</t>
  </si>
  <si>
    <t>MPT-210065</t>
  </si>
  <si>
    <t>VRLM202</t>
  </si>
  <si>
    <t>кран шаровой обжим (нар рез) 20*3/4" (10/100шт)</t>
  </si>
  <si>
    <t>507.24 руб.</t>
  </si>
  <si>
    <t>MPT-210066</t>
  </si>
  <si>
    <t>VRLM161</t>
  </si>
  <si>
    <t>кран шаровой обжим (нар рез) 16*1/2" (10/100шт)</t>
  </si>
  <si>
    <t>386.75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</si>
  <si>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</si>
  <si>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</si>
  <si>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</si>
  <si>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</si>
  <si>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</si>
  <si>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</si>
  <si>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446.25 руб.</t>
  </si>
  <si>
    <t>MPT-210069</t>
  </si>
  <si>
    <t>VRL2020</t>
  </si>
  <si>
    <t>кран шаровой обжим 20*20 (10/100шт)</t>
  </si>
  <si>
    <t>603.93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</si>
  <si>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</si>
  <si>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</si>
  <si>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</si>
  <si>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</si>
  <si>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</si>
  <si>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</si>
  <si>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MPT-210072</t>
  </si>
  <si>
    <t>MPLM264</t>
  </si>
  <si>
    <t>угольник обжим (нар рез) 26*3/4" (5/100шт)</t>
  </si>
  <si>
    <t>336.18 руб.</t>
  </si>
  <si>
    <t>OTM-110456</t>
  </si>
  <si>
    <t>312.93 руб.</t>
  </si>
  <si>
    <t>OTM-110458</t>
  </si>
  <si>
    <t>287.28 руб.</t>
  </si>
  <si>
    <t>OTM-110460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</si>
  <si>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</si>
  <si>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</si>
  <si>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</si>
  <si>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</si>
  <si>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</si>
  <si>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194.00 руб.</t>
  </si>
  <si>
    <t>VLC-130003</t>
  </si>
  <si>
    <t>VTm.201.N.001605</t>
  </si>
  <si>
    <t>Соединитель пресс с переходом на  нар. р. 16х3/4"  (10 /130шт)</t>
  </si>
  <si>
    <t>290.00 руб.</t>
  </si>
  <si>
    <t>VLC-130004</t>
  </si>
  <si>
    <t>VTm.201.N.002004</t>
  </si>
  <si>
    <t>Соединитель пресс с переходом на  нар. р. 20х1/2"  (10 /120шт)</t>
  </si>
  <si>
    <t>308.00 руб.</t>
  </si>
  <si>
    <t>VLC-130005</t>
  </si>
  <si>
    <t>VTm.201.N.002005</t>
  </si>
  <si>
    <t>Соединитель пресс с переходом на  нар. р. 20х3/4"  (10 /110шт)</t>
  </si>
  <si>
    <t>287.00 руб.</t>
  </si>
  <si>
    <t>VLC-130006</t>
  </si>
  <si>
    <t>VTm.201.N.002605</t>
  </si>
  <si>
    <t>Соединитель пресс с переходом на  нар. р. 26х3/4"  (5 /80шт)</t>
  </si>
  <si>
    <t>496.00 руб.</t>
  </si>
  <si>
    <t>VLC-130007</t>
  </si>
  <si>
    <t>VTm.201.N.002606</t>
  </si>
  <si>
    <t>Соединитель пресс с переходом на  нар. р. 26х1"  (5 /70шт)</t>
  </si>
  <si>
    <t>532.00 руб.</t>
  </si>
  <si>
    <t>VLC-130008</t>
  </si>
  <si>
    <t>VTm.201.N.003206</t>
  </si>
  <si>
    <t>Соединитель пресс с переходом на  нар. р. 32х1"  (5 /50шт)</t>
  </si>
  <si>
    <t>770.00 руб.</t>
  </si>
  <si>
    <t>VLC-130009</t>
  </si>
  <si>
    <t>VTm.201.N.003207</t>
  </si>
  <si>
    <t>Соединитель пресс с переходом на  нар. р. 32х1 1/4"  (5 /45шт)</t>
  </si>
  <si>
    <t>VLC-130010</t>
  </si>
  <si>
    <t>VTm.201.N.004006</t>
  </si>
  <si>
    <t>Соединитель пресс с переходом на  нар. р. 40х1"  (5 /35шт)</t>
  </si>
  <si>
    <t>1 047.00 руб.</t>
  </si>
  <si>
    <t>VLC-130011</t>
  </si>
  <si>
    <t>VTm.201.N.004007</t>
  </si>
  <si>
    <t>Соединитель пресс с переходом на  нар. р. 40х1 1/4" (5 /30шт)</t>
  </si>
  <si>
    <t>1 141.00 руб.</t>
  </si>
  <si>
    <t>VLC-130012</t>
  </si>
  <si>
    <t>VTm.202.N.001604</t>
  </si>
  <si>
    <t>Соединитель пресс с переходом на  вн. р. 16х1/2"  (10 /170шт)</t>
  </si>
  <si>
    <t>212.00 руб.</t>
  </si>
  <si>
    <t>VLC-130013</t>
  </si>
  <si>
    <t>VTm.202.N.001605</t>
  </si>
  <si>
    <t>Соединитель пресс с переходом на  вн. р. 16х3/4"  (10 /120шт)</t>
  </si>
  <si>
    <t>271.00 руб.</t>
  </si>
  <si>
    <t>VLC-130014</t>
  </si>
  <si>
    <t>VTm.202.N.002004</t>
  </si>
  <si>
    <t>Соединитель пресс с переходом на  вн. р. 20х1/2"  (10 /140шт)</t>
  </si>
  <si>
    <t>241.00 руб.</t>
  </si>
  <si>
    <t>VLC-130015</t>
  </si>
  <si>
    <t>VTm.202.N.002005</t>
  </si>
  <si>
    <t>Соединитель пресс с переходом на  вн. р. 20х3/4"  (10 /110шт)</t>
  </si>
  <si>
    <t>319.00 руб.</t>
  </si>
  <si>
    <t>VLC-130016</t>
  </si>
  <si>
    <t>VTm.202.N.002605</t>
  </si>
  <si>
    <t>Соединитель пресс с переходом на  вн. р. 26х3/4"  (5 /90шт)</t>
  </si>
  <si>
    <t>368.00 руб.</t>
  </si>
  <si>
    <t>VLC-130017</t>
  </si>
  <si>
    <t>VTm.202.N.002606</t>
  </si>
  <si>
    <t>Соединитель пресс с переходом на  вн. р. 26х1"  (5 /70шт)</t>
  </si>
  <si>
    <t>461.00 руб.</t>
  </si>
  <si>
    <t>VLC-130018</t>
  </si>
  <si>
    <t>VTm.202.N.003206</t>
  </si>
  <si>
    <t>Соединитель пресс с переходом на  вн. р. 32х1"  (5 /55шт)</t>
  </si>
  <si>
    <t>550.00 руб.</t>
  </si>
  <si>
    <t>VLC-130019</t>
  </si>
  <si>
    <t>VTm.202.N.003207</t>
  </si>
  <si>
    <t>Соединитель пресс с переходом на  вн. р. 32х1 1/4"   (5 /35шт)</t>
  </si>
  <si>
    <t>992.00 руб.</t>
  </si>
  <si>
    <t>VLC-130020</t>
  </si>
  <si>
    <t>VTm.203.N.001616</t>
  </si>
  <si>
    <t>Соединитель пресс 16  (10 /150шт)</t>
  </si>
  <si>
    <t>206.00 руб.</t>
  </si>
  <si>
    <t>VLC-130021</t>
  </si>
  <si>
    <t>VTm.203.N.002020</t>
  </si>
  <si>
    <t>Соединитель пресс 20  (10 /110шт)</t>
  </si>
  <si>
    <t>288.00 руб.</t>
  </si>
  <si>
    <t>VLC-130022</t>
  </si>
  <si>
    <t>VTm.203.N.002016</t>
  </si>
  <si>
    <t>Соединитель пресс 20х16  (10 /120шт)</t>
  </si>
  <si>
    <t>285.00 руб.</t>
  </si>
  <si>
    <t>VLC-130023</t>
  </si>
  <si>
    <t>VTm.203.N.002626</t>
  </si>
  <si>
    <t>Соединитель пресс 26  (5 /70шт)</t>
  </si>
  <si>
    <t>445.00 руб.</t>
  </si>
  <si>
    <t>VLC-130024</t>
  </si>
  <si>
    <t>VTm.203.N.002616</t>
  </si>
  <si>
    <t>Соединитель пресс 26х16  (5 /90шт)</t>
  </si>
  <si>
    <t>411.00 руб.</t>
  </si>
  <si>
    <t>VLC-130025</t>
  </si>
  <si>
    <t>VTm.203.N.002620</t>
  </si>
  <si>
    <t>Соединитель пресс 26х20  (5 /80шт)</t>
  </si>
  <si>
    <t>423.00 руб.</t>
  </si>
  <si>
    <t>VLC-130026</t>
  </si>
  <si>
    <t>VTm.203.N.003232</t>
  </si>
  <si>
    <t>Соединитель пресс 32  (5 /50шт)</t>
  </si>
  <si>
    <t>610.00 руб.</t>
  </si>
  <si>
    <t>VLC-130027</t>
  </si>
  <si>
    <t>VTm.203.N.003216</t>
  </si>
  <si>
    <t>Соединитель пресс 32х16  (5 /65шт)</t>
  </si>
  <si>
    <t>522.00 руб.</t>
  </si>
  <si>
    <t>VLC-130028</t>
  </si>
  <si>
    <t>VTm.203.N.003220</t>
  </si>
  <si>
    <t>Соединитель пресс 32х20  (5 /60шт)</t>
  </si>
  <si>
    <t>690.00 руб.</t>
  </si>
  <si>
    <t>VLC-130029</t>
  </si>
  <si>
    <t>VTm.203.N.003226</t>
  </si>
  <si>
    <t>Соединитель пресс 32х26  (5 /55шт)</t>
  </si>
  <si>
    <t>644.00 руб.</t>
  </si>
  <si>
    <t>VLC-130030</t>
  </si>
  <si>
    <t>VTm.203.N.004040</t>
  </si>
  <si>
    <t>Соединитель пресс 40  (5 /25шт)</t>
  </si>
  <si>
    <t>1 206.00 руб.</t>
  </si>
  <si>
    <t>VLC-130032</t>
  </si>
  <si>
    <t>VTm.222.N.001604</t>
  </si>
  <si>
    <t>Соединитель пресс с накидной гайкой 16х1/2" (10 /180шт)</t>
  </si>
  <si>
    <t>222.00 руб.</t>
  </si>
  <si>
    <t>VLC-130033</t>
  </si>
  <si>
    <t>VTm.222.N.002005</t>
  </si>
  <si>
    <t>Соединитель пресс с накидной гайкой 20х3/4"</t>
  </si>
  <si>
    <t>526.00 руб.</t>
  </si>
  <si>
    <t>VLC-130034</t>
  </si>
  <si>
    <t>VTm.222.N.002606</t>
  </si>
  <si>
    <t>Соединитель пресс с накидной гайкой 26х1"</t>
  </si>
  <si>
    <t>669.00 руб.</t>
  </si>
  <si>
    <t>VLC-130035</t>
  </si>
  <si>
    <t>VTm.222.N.003207</t>
  </si>
  <si>
    <t>Cоединитель пресс с накидной гайкой 32х1 1/4"  (5 /50шт)</t>
  </si>
  <si>
    <t>775.00 руб.</t>
  </si>
  <si>
    <t>VLC-130036</t>
  </si>
  <si>
    <t>VTm.224.N.001604</t>
  </si>
  <si>
    <t>Монтажная планка с водорозетками пресс 16х1/2"  (1 /18шт)</t>
  </si>
  <si>
    <t>1 512.00 руб.</t>
  </si>
  <si>
    <t>VLC-130037</t>
  </si>
  <si>
    <t>VTm.231.N.161616</t>
  </si>
  <si>
    <t>Тройник пресс  16  (5 /70шт)</t>
  </si>
  <si>
    <t>390.00 руб.</t>
  </si>
  <si>
    <t>VLC-130038</t>
  </si>
  <si>
    <t>VTm.233.I.161516</t>
  </si>
  <si>
    <t>Тройник пресс 16мм с переходом на обжим 15мм</t>
  </si>
  <si>
    <t>VLC-130039</t>
  </si>
  <si>
    <t>VTm.231.N.162016</t>
  </si>
  <si>
    <t>Тройник пресс 16х20х16  (5 /55шт)</t>
  </si>
  <si>
    <t>645.00 руб.</t>
  </si>
  <si>
    <t>VLC-130040</t>
  </si>
  <si>
    <t>VTm.231.N.202020</t>
  </si>
  <si>
    <t>Тройник пресс 20  (5 /45шт)</t>
  </si>
  <si>
    <t>568.00 руб.</t>
  </si>
  <si>
    <t>VLC-130041</t>
  </si>
  <si>
    <t>VTm.233.I.201516</t>
  </si>
  <si>
    <t>Тройник пресс 20x16мм с переходом на обжим 15мм  (5 /60шт)</t>
  </si>
  <si>
    <t>641.00 руб.</t>
  </si>
  <si>
    <t>VLC-130042</t>
  </si>
  <si>
    <t>VTm.233.I.201520</t>
  </si>
  <si>
    <t>Тройник пресс 20мм с переходом на обжим 15мм</t>
  </si>
  <si>
    <t>VLC-130043</t>
  </si>
  <si>
    <t>VTm.231.N.201616</t>
  </si>
  <si>
    <t>Тройник пресс 20х16х16  (5 /55шт)</t>
  </si>
  <si>
    <t>569.00 руб.</t>
  </si>
  <si>
    <t>VLC-130044</t>
  </si>
  <si>
    <t>VTm.231.N.201620</t>
  </si>
  <si>
    <t>Тройник пресс 20х16х20  (5 /50шт)</t>
  </si>
  <si>
    <t>588.00 руб.</t>
  </si>
  <si>
    <t>VLC-130045</t>
  </si>
  <si>
    <t>VTm.231.N.202016</t>
  </si>
  <si>
    <t>Тройник пресс 20х20х16  (5 /50шт)</t>
  </si>
  <si>
    <t>VLC-130046</t>
  </si>
  <si>
    <t>VTm.231.N.202620</t>
  </si>
  <si>
    <t>Тройник пресс 20х26х20  (5 /35шт)</t>
  </si>
  <si>
    <t>1 018.00 руб.</t>
  </si>
  <si>
    <t>VLC-130047</t>
  </si>
  <si>
    <t>VTm.231.N.262626</t>
  </si>
  <si>
    <t>Тройник пресс 26  (5 /25шт)</t>
  </si>
  <si>
    <t>919.00 руб.</t>
  </si>
  <si>
    <t>VLC-130048</t>
  </si>
  <si>
    <t>VTm.231.N.261620</t>
  </si>
  <si>
    <t>Тройник пресс 26х16х20  (5 /40шт)</t>
  </si>
  <si>
    <t>927.00 руб.</t>
  </si>
  <si>
    <t>VLC-130049</t>
  </si>
  <si>
    <t>VTm.231.N.261626</t>
  </si>
  <si>
    <t>Тройник пресс 26х16х26  (5 /35шт)</t>
  </si>
  <si>
    <t>907.00 руб.</t>
  </si>
  <si>
    <t>VLC-130050</t>
  </si>
  <si>
    <t>VTm.231.N.262016</t>
  </si>
  <si>
    <t>Тройник пресс 26х20х16  (5 /40шт)</t>
  </si>
  <si>
    <t>976.00 руб.</t>
  </si>
  <si>
    <t>VLC-130051</t>
  </si>
  <si>
    <t>VTm.231.N.262020</t>
  </si>
  <si>
    <t>Тройник пресс 26х20х20  (5 /40шт)</t>
  </si>
  <si>
    <t>1 022.00 руб.</t>
  </si>
  <si>
    <t>VLC-130052</t>
  </si>
  <si>
    <t>VTm.231.N.262026</t>
  </si>
  <si>
    <t>Тройник пресс 26х20х26  (5 /30шт)</t>
  </si>
  <si>
    <t>867.00 руб.</t>
  </si>
  <si>
    <t>VLC-130053</t>
  </si>
  <si>
    <t>VTm.231.N.262620</t>
  </si>
  <si>
    <t>Тройник пресс 26х26х20  (5 /35шт)</t>
  </si>
  <si>
    <t>1 065.00 руб.</t>
  </si>
  <si>
    <t>VLC-130054</t>
  </si>
  <si>
    <t>VTm.231.N.263226</t>
  </si>
  <si>
    <t>Тройник пресс 26х32х26  (5 /20шт)</t>
  </si>
  <si>
    <t>1 564.00 руб.</t>
  </si>
  <si>
    <t>VLC-130055</t>
  </si>
  <si>
    <t>VTm.231.N.323232</t>
  </si>
  <si>
    <t>Тройник пресс 32  (5 /20шт)</t>
  </si>
  <si>
    <t>1 570.00 руб.</t>
  </si>
  <si>
    <t>VLC-130056</t>
  </si>
  <si>
    <t>VTm.231.N.321632</t>
  </si>
  <si>
    <t>Тройник пресс 32х16х32  (5 /20шт)</t>
  </si>
  <si>
    <t>1 548.00 руб.</t>
  </si>
  <si>
    <t>VLC-130057</t>
  </si>
  <si>
    <t>VTm.231.N.322032</t>
  </si>
  <si>
    <t>Тройник пресс 32х20х32  (5 /20шт)</t>
  </si>
  <si>
    <t>1 532.00 руб.</t>
  </si>
  <si>
    <t>VLC-130058</t>
  </si>
  <si>
    <t>VTm.231.N.322632</t>
  </si>
  <si>
    <t>Тройник пресс 32х26х32  (5 /20шт)</t>
  </si>
  <si>
    <t>1 560.00 руб.</t>
  </si>
  <si>
    <t>VLC-130059</t>
  </si>
  <si>
    <t>VTm.231.N.322026</t>
  </si>
  <si>
    <t>Тройник пресс 32х20х26  (5 /25шт)</t>
  </si>
  <si>
    <t>1 497.00 руб.</t>
  </si>
  <si>
    <t>VLC-130060</t>
  </si>
  <si>
    <t>VTm.231.N.322626</t>
  </si>
  <si>
    <t>Тройник пресс 32х26х26  (5 /25шт)</t>
  </si>
  <si>
    <t>1 458.00 руб.</t>
  </si>
  <si>
    <t>VLC-130061</t>
  </si>
  <si>
    <t>VTm.231.N.323220</t>
  </si>
  <si>
    <t>Тройник пресс 32х32х20  (5 /20шт)</t>
  </si>
  <si>
    <t>1 414.00 руб.</t>
  </si>
  <si>
    <t>VLC-130062</t>
  </si>
  <si>
    <t>VTm.231.N.323226</t>
  </si>
  <si>
    <t>Тройник пресс 32х32х26  (5 /20шт)</t>
  </si>
  <si>
    <t>1 584.00 руб.</t>
  </si>
  <si>
    <t>VLC-130063</t>
  </si>
  <si>
    <t>VTm.232.N.160416</t>
  </si>
  <si>
    <t>Тройник пресс с переходом на вн. р. 16х1/2"х16 (10 /80шт)</t>
  </si>
  <si>
    <t>404.00 руб.</t>
  </si>
  <si>
    <t>VLC-130064</t>
  </si>
  <si>
    <t>VTm.232.N.200420</t>
  </si>
  <si>
    <t>Тройник пресс с переходом на вн. р. 20х1/2"х20  (10 /60шт)</t>
  </si>
  <si>
    <t>558.00 руб.</t>
  </si>
  <si>
    <t>VLC-130065</t>
  </si>
  <si>
    <t>VTm.232.N.200520</t>
  </si>
  <si>
    <t>Тройник пресс с переходом на вн. р. 20х3/4"х20  (10 /50шт)</t>
  </si>
  <si>
    <t>802.00 руб.</t>
  </si>
  <si>
    <t>VLC-130066</t>
  </si>
  <si>
    <t>VTm.232.N.260426</t>
  </si>
  <si>
    <t>Тройник пресс с переходом на вн. р. 26х1/2"х26  (5 /35шт)</t>
  </si>
  <si>
    <t>939.00 руб.</t>
  </si>
  <si>
    <t>VLC-130067</t>
  </si>
  <si>
    <t>VTm.232.N.260526</t>
  </si>
  <si>
    <t>Тройник пресс с переходом на вн. р. 26х3/4"х26  (5 /35шт)</t>
  </si>
  <si>
    <t>1 119.00 руб.</t>
  </si>
  <si>
    <t>VLC-130068</t>
  </si>
  <si>
    <t>VTm.232.N.260626</t>
  </si>
  <si>
    <t>Тройник пресс с переходом на вн. р. 26х1"х26  (5 /30шт)</t>
  </si>
  <si>
    <t>1 199.00 руб.</t>
  </si>
  <si>
    <t>VLC-130069</t>
  </si>
  <si>
    <t>VTm.232.N.320532</t>
  </si>
  <si>
    <t>Тройник пресс с переходом на вн. р. 32х3/4"х32 (5 /30шт)</t>
  </si>
  <si>
    <t>1 319.00 руб.</t>
  </si>
  <si>
    <t>VLC-130070</t>
  </si>
  <si>
    <t>VTm.232.N.320632</t>
  </si>
  <si>
    <t>Тройник пресс с переходом на вн. р. 32х1"х32  (5 /20шт)</t>
  </si>
  <si>
    <t>1 424.00 руб.</t>
  </si>
  <si>
    <t>VLC-130071</t>
  </si>
  <si>
    <t>VTm.232.N.320732</t>
  </si>
  <si>
    <t>Тройник пресс с переходом на вн. р. 32х1 1/4"х32  (5 /25шт)</t>
  </si>
  <si>
    <t>2 075.00 руб.</t>
  </si>
  <si>
    <t>VLC-130072</t>
  </si>
  <si>
    <t>VTm.232.N.400640</t>
  </si>
  <si>
    <t>Тройник пресс с переходом на вн. р. 40х1"х40  (5 /10шт)</t>
  </si>
  <si>
    <t>2 562.00 руб.</t>
  </si>
  <si>
    <t>VLC-130073</t>
  </si>
  <si>
    <t>VTm.233.N.160416</t>
  </si>
  <si>
    <t>Тройник пресс с переходом на нар. р. 16х1/2"х16 (10 /80шт)</t>
  </si>
  <si>
    <t>349.00 руб.</t>
  </si>
  <si>
    <t>VLC-130074</t>
  </si>
  <si>
    <t>VTm.233.N.200420</t>
  </si>
  <si>
    <t>Тройник пресс с переходом на нар. р. 20х1/2"х20  (10 /60шт)</t>
  </si>
  <si>
    <t>546.00 руб.</t>
  </si>
  <si>
    <t>VLC-130075</t>
  </si>
  <si>
    <t>VTm.233.N.200520</t>
  </si>
  <si>
    <t>Тройник пресс с переходом на нар. р. 20х3/4"х20  (10 /50шт)</t>
  </si>
  <si>
    <t>627.00 руб.</t>
  </si>
  <si>
    <t>VLC-130076</t>
  </si>
  <si>
    <t>VTm.233.N.260426</t>
  </si>
  <si>
    <t>Тройник пресс с переходом на нар. р. 26х1/2"х26  (5 /35шт)</t>
  </si>
  <si>
    <t>863.00 руб.</t>
  </si>
  <si>
    <t>VLC-130077</t>
  </si>
  <si>
    <t>VTm.233.N.260526</t>
  </si>
  <si>
    <t>Тройник пресс с переходом на нар. р. 26х3/4"х26  (5 /35шт)</t>
  </si>
  <si>
    <t>825.00 руб.</t>
  </si>
  <si>
    <t>VLC-130078</t>
  </si>
  <si>
    <t>VTm.233.N.260626</t>
  </si>
  <si>
    <t>Тройник пресс с переходом на нар. р. 26х1"х26 (5 /30шт)</t>
  </si>
  <si>
    <t>1 050.00 руб.</t>
  </si>
  <si>
    <t>VLC-130079</t>
  </si>
  <si>
    <t>VTm.233.N.320532</t>
  </si>
  <si>
    <t>Тройник пресс с переходом на нар. р. 32х3/4"х32  (5 /25шт)</t>
  </si>
  <si>
    <t>1 263.00 руб.</t>
  </si>
  <si>
    <t>VLC-130080</t>
  </si>
  <si>
    <t>VTm.233.N.320632</t>
  </si>
  <si>
    <t>Тройник пресс с переходом на нар. р. 32х1"х32  (5 /20шт)</t>
  </si>
  <si>
    <t>1 440.00 руб.</t>
  </si>
  <si>
    <t>VLC-130081</t>
  </si>
  <si>
    <t>VTm.263.N.002020</t>
  </si>
  <si>
    <t>Соединитель пресс разъемный прямой 20  (10 /70шт)</t>
  </si>
  <si>
    <t>600.00 руб.</t>
  </si>
  <si>
    <t>VLC-130082</t>
  </si>
  <si>
    <t>VTm.263.N.002626</t>
  </si>
  <si>
    <t>Соединитель пресс разъемный прямой 26  (5 /75шт)</t>
  </si>
  <si>
    <t>VLC-130083</t>
  </si>
  <si>
    <t>VTm.263.N.003232</t>
  </si>
  <si>
    <t>Соединитель пресс разъемный прямой 32  (5 /40шт)</t>
  </si>
  <si>
    <t>1 536.00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</si>
  <si>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</si>
  <si>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</si>
  <si>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</si>
  <si>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</si>
  <si>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</si>
  <si>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</si>
  <si>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878.00 руб.</t>
  </si>
  <si>
    <t>VLC-130086</t>
  </si>
  <si>
    <t>VTm.241.N.161616</t>
  </si>
  <si>
    <t>Крестовина пресс 16х16х16х16  (5 /40шт)</t>
  </si>
  <si>
    <t>634.00 руб.</t>
  </si>
  <si>
    <t>VLC-130087</t>
  </si>
  <si>
    <t>VTm.241.N.202020</t>
  </si>
  <si>
    <t>Крестовина пресс 20х20х20х20  (5 /25шт)</t>
  </si>
  <si>
    <t>1 259.00 руб.</t>
  </si>
  <si>
    <t>VLC-130088</t>
  </si>
  <si>
    <t>VTm.241.N.201620</t>
  </si>
  <si>
    <t>Крестовина пресс 20х16х20х16  (5 /35шт)</t>
  </si>
  <si>
    <t>956.00 руб.</t>
  </si>
  <si>
    <t>VLC-130089</t>
  </si>
  <si>
    <t>VTm.251.N.001616</t>
  </si>
  <si>
    <t>Угольник пресс 16  (10 /120шт)</t>
  </si>
  <si>
    <t>281.00 руб.</t>
  </si>
  <si>
    <t>VLC-130090</t>
  </si>
  <si>
    <t>VTm.253.I.001615</t>
  </si>
  <si>
    <t>Угольник пресс 16мм с переходом на обжим 15мм</t>
  </si>
  <si>
    <t>374.00 руб.</t>
  </si>
  <si>
    <t>VLC-130091</t>
  </si>
  <si>
    <t>VTm.251.N.002020</t>
  </si>
  <si>
    <t>Угольник пресс 20  (10 /90шт)</t>
  </si>
  <si>
    <t>408.00 руб.</t>
  </si>
  <si>
    <t>VLC-130092</t>
  </si>
  <si>
    <t>VTm.253.I.002015</t>
  </si>
  <si>
    <t>Угольник пресс 20мм с переходом на обжим 15мм  (10 /90шт)</t>
  </si>
  <si>
    <t>478.00 руб.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</si>
  <si>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</si>
  <si>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</si>
  <si>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</si>
  <si>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</si>
  <si>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</si>
  <si>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</si>
  <si>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1 075.00 руб.</t>
  </si>
  <si>
    <t>VLC-130095</t>
  </si>
  <si>
    <t>VTm.251.N.004040</t>
  </si>
  <si>
    <t>Угольник пресс 40  (5 /15шт)</t>
  </si>
  <si>
    <t>1 931.00 руб.</t>
  </si>
  <si>
    <t>VLC-130096</t>
  </si>
  <si>
    <t>VTm.252.N.001604</t>
  </si>
  <si>
    <t>Угольник пресс с переходом на вн. р. 16х1/2"  (10 /120шт)</t>
  </si>
  <si>
    <t>283.00 руб.</t>
  </si>
  <si>
    <t>VLC-130097</t>
  </si>
  <si>
    <t>VTm.252.N.001605</t>
  </si>
  <si>
    <t>Угольник пресс с переходом на вн. р. 16х3/4"  (10 /90шт)</t>
  </si>
  <si>
    <t>440.00 руб.</t>
  </si>
  <si>
    <t>VLC-130098</t>
  </si>
  <si>
    <t>VTm.252.N.002004</t>
  </si>
  <si>
    <t>Угольник пресс с переходом на вн. р. 20х1/2"  (10 /90шт)</t>
  </si>
  <si>
    <t>389.00 руб.</t>
  </si>
  <si>
    <t>VLC-130099</t>
  </si>
  <si>
    <t>VTm.252.N.002005</t>
  </si>
  <si>
    <t>Угольник пресс с переходом на вн. р. 20х3/4"  (10 /80шт)  (10 /80шт)</t>
  </si>
  <si>
    <t>486.00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</si>
  <si>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</si>
  <si>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</si>
  <si>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</si>
  <si>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</si>
  <si>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</si>
  <si>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</si>
  <si>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761.00 руб.</t>
  </si>
  <si>
    <t>VLC-130102</t>
  </si>
  <si>
    <t>VTm.252.N.003206</t>
  </si>
  <si>
    <t>Угольник пресс с переходом на вн. р. 32х1"  (5 /40шт)</t>
  </si>
  <si>
    <t>1 048.00 руб.</t>
  </si>
  <si>
    <t>VLC-130103</t>
  </si>
  <si>
    <t>VTm.253.N.001604</t>
  </si>
  <si>
    <t>Угольник пресс с переходом на нар. р. 16х1/2"  (10 /150шт)</t>
  </si>
  <si>
    <t>255.00 руб.</t>
  </si>
  <si>
    <t>VLC-130104</t>
  </si>
  <si>
    <t>VTm.253.N.001605</t>
  </si>
  <si>
    <t>Угольник пресс с переходом на нар. р. 16х3/4"  (10 /120шт)</t>
  </si>
  <si>
    <t>420.00 руб.</t>
  </si>
  <si>
    <t>VLC-130105</t>
  </si>
  <si>
    <t>VTm.253.N.002004</t>
  </si>
  <si>
    <t>Угольник пресс с переходом на нар. р. 20х1/2"  (10 /100шт)</t>
  </si>
  <si>
    <t>366.00 руб.</t>
  </si>
  <si>
    <t>VLC-130106</t>
  </si>
  <si>
    <t>VTm.253.N.002005</t>
  </si>
  <si>
    <t>Угольник пресс с переходом на нар. р. 20х3/4"  (10 /90шт)</t>
  </si>
  <si>
    <t>450.00 руб.</t>
  </si>
  <si>
    <t>VLC-130107</t>
  </si>
  <si>
    <t>VTm.253.N.002605</t>
  </si>
  <si>
    <t>Угольник пресс с переходом на нар. р. 26х3/4"   (5 /60шт)</t>
  </si>
  <si>
    <t>577.00 руб.</t>
  </si>
  <si>
    <t>VLC-130108</t>
  </si>
  <si>
    <t>VTm.253.N.002606</t>
  </si>
  <si>
    <t>Угольник пресс с переходом на нар. р. 26х1"  (5 /50шт)</t>
  </si>
  <si>
    <t>723.00 руб.</t>
  </si>
  <si>
    <t>VLC-130109</t>
  </si>
  <si>
    <t>VTm.253.N.003206</t>
  </si>
  <si>
    <t>Угольник пресс с переходом на нар. р. 32х1"  (5 /35шт)</t>
  </si>
  <si>
    <t>1 147.00 руб.</t>
  </si>
  <si>
    <t>VLC-130110</t>
  </si>
  <si>
    <t>VTm.254.N.001604</t>
  </si>
  <si>
    <t>Водорозетка пресс 16х1/2" (10 /80шт)  (10 /80шт)</t>
  </si>
  <si>
    <t>VLC-130111</t>
  </si>
  <si>
    <t>VTm.254.N.002004</t>
  </si>
  <si>
    <t>Водорозетка пресс 20х1/2"  (10 /50шт)</t>
  </si>
  <si>
    <t>580.00 руб.</t>
  </si>
  <si>
    <t>VLC-130112</t>
  </si>
  <si>
    <t>VTm.254.N.002005</t>
  </si>
  <si>
    <t>Водорозетка пресс 20х3/4"  (10 /40шт)</t>
  </si>
  <si>
    <t>869.00 руб.</t>
  </si>
  <si>
    <t>VLC-130113</t>
  </si>
  <si>
    <t>VTm.254.N.002605</t>
  </si>
  <si>
    <t>Водорозетка пресс 26х3/4"  (5 /30шт)</t>
  </si>
  <si>
    <t>944.00 руб.</t>
  </si>
  <si>
    <t>VLC-130114</t>
  </si>
  <si>
    <t>VTm.254H.N.001604</t>
  </si>
  <si>
    <t>Водорозетка пресс 16х1/2" (удлиненная)  (10 /60шт)</t>
  </si>
  <si>
    <t>521.00 руб.</t>
  </si>
  <si>
    <t>VLC-130115</t>
  </si>
  <si>
    <t>VTm.255.N.001604</t>
  </si>
  <si>
    <t>Водорозетка пресс 16х1/2" нар.  (10 /80шт)</t>
  </si>
  <si>
    <t>484.00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</si>
  <si>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</si>
  <si>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</si>
  <si>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</si>
  <si>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898.00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</si>
  <si>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</si>
  <si>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</si>
  <si>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</si>
  <si>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VLC-130118</t>
  </si>
  <si>
    <t>VTm.281.LN.001615</t>
  </si>
  <si>
    <t>Угольник радиаторный пресс с латунной хром. трубкой 15 мм, 16х15х300 (левый)</t>
  </si>
  <si>
    <t>874.00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</si>
  <si>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</si>
  <si>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</si>
  <si>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</si>
  <si>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903.00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</si>
  <si>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</si>
  <si>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</si>
  <si>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</si>
  <si>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1 036.00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</si>
  <si>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</si>
  <si>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</si>
  <si>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</si>
  <si>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2 022.00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</si>
  <si>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</si>
  <si>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</si>
  <si>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</si>
  <si>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1 093.00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</si>
  <si>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</si>
  <si>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</si>
  <si>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</si>
  <si>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1 035.00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</si>
  <si>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</si>
  <si>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</si>
  <si>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</si>
  <si>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1 096.00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</si>
  <si>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</si>
  <si>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</si>
  <si>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</si>
  <si>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1 538.00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</si>
  <si>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</si>
  <si>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</si>
  <si>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</si>
  <si>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1 186.00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</si>
  <si>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</si>
  <si>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</si>
  <si>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</si>
  <si>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</si>
  <si>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</si>
  <si>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</si>
  <si>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1 617.00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</si>
  <si>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</si>
  <si>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</si>
  <si>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</si>
  <si>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1 676.00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</si>
  <si>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</si>
  <si>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</si>
  <si>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</si>
  <si>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1 300.00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</si>
  <si>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</si>
  <si>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</si>
  <si>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</si>
  <si>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1 861.00 руб.</t>
  </si>
  <si>
    <t>VLC-130132</t>
  </si>
  <si>
    <t>VTm.290.N.000016</t>
  </si>
  <si>
    <t>Гильза для пресс-фитинга 16  (100 /1500шт)</t>
  </si>
  <si>
    <t>50.00 руб.</t>
  </si>
  <si>
    <t>VLC-130133</t>
  </si>
  <si>
    <t>VTm.290.N.000020</t>
  </si>
  <si>
    <t>Гильза для пресс-фитинга 20  (100 /1000шт)</t>
  </si>
  <si>
    <t>58.00 руб.</t>
  </si>
  <si>
    <t>VLC-130134</t>
  </si>
  <si>
    <t>VTm.290.N.000026</t>
  </si>
  <si>
    <t>Гильза для пресс-фитинга 26  (50 /600шт)</t>
  </si>
  <si>
    <t>73.00 руб.</t>
  </si>
  <si>
    <t>VLC-130135</t>
  </si>
  <si>
    <t>VTm.290.N.000032</t>
  </si>
  <si>
    <t>Гильза для пресс-фитинга 32  (50 /450шт)</t>
  </si>
  <si>
    <t>110.00 руб.</t>
  </si>
  <si>
    <t>VLC-999075</t>
  </si>
  <si>
    <t>VTm.222.N.002004</t>
  </si>
  <si>
    <t>Соединитель пресс с накидной гайкой 20х1/2"</t>
  </si>
  <si>
    <t>356.00 руб.</t>
  </si>
  <si>
    <t>Фитинги пресс VIEIR</t>
  </si>
  <si>
    <t>MPT-310001</t>
  </si>
  <si>
    <t>VRKS163F</t>
  </si>
  <si>
    <t>Пресс соединитель 16X1/2"вн  (250/10шт)</t>
  </si>
  <si>
    <t>135.36 руб.</t>
  </si>
  <si>
    <t>MPT-310002</t>
  </si>
  <si>
    <t>VRKS164F</t>
  </si>
  <si>
    <t>Пресс соединитель 16X3/4"вн  (200/10шт)</t>
  </si>
  <si>
    <t>154.70 руб.</t>
  </si>
  <si>
    <t>MPT-310003</t>
  </si>
  <si>
    <t>VRKS203F</t>
  </si>
  <si>
    <t>Пресс соединитель 20X1/2"вн  (220/10шт)</t>
  </si>
  <si>
    <t>MPT-310004</t>
  </si>
  <si>
    <t>VRKS204F</t>
  </si>
  <si>
    <t>Пресс соединитель 20X3/4"вн  (200/10шт)</t>
  </si>
  <si>
    <t>MPT-310005</t>
  </si>
  <si>
    <t>VRKS264F</t>
  </si>
  <si>
    <t>Пресс соединитель 26X3/4"вн  (200/10шт)</t>
  </si>
  <si>
    <t>MPT-310006</t>
  </si>
  <si>
    <t>VRKS265F</t>
  </si>
  <si>
    <t>Пресс соединитель 26X1"вн  (200/10шт)</t>
  </si>
  <si>
    <t>348.08 руб.</t>
  </si>
  <si>
    <t>MPT-310007</t>
  </si>
  <si>
    <t>VRKS163M</t>
  </si>
  <si>
    <t>Пресс соединитель 16X1/2"нар  (250/10шт)</t>
  </si>
  <si>
    <t>139.83 руб.</t>
  </si>
  <si>
    <t>MPT-310008</t>
  </si>
  <si>
    <t>VRKS164M</t>
  </si>
  <si>
    <t>Пресс соединитель 16X3/4"нар (200/10шт)</t>
  </si>
  <si>
    <t>162.14 руб.</t>
  </si>
  <si>
    <t>MPT-310009</t>
  </si>
  <si>
    <t>VRKS203M</t>
  </si>
  <si>
    <t>Пресс соединитель 20X1/2"нар  (220/10шт)</t>
  </si>
  <si>
    <t>205.28 руб.</t>
  </si>
  <si>
    <t>MPT-310010</t>
  </si>
  <si>
    <t>VRKS204M</t>
  </si>
  <si>
    <t>Пресс соединитель 20X3/4"нар  (180/10шт)</t>
  </si>
  <si>
    <t>MPT-310011</t>
  </si>
  <si>
    <t>VRKS264M</t>
  </si>
  <si>
    <t>Пресс соединитель 26X3/4"нар  (200/10шт)</t>
  </si>
  <si>
    <t>MPT-310012</t>
  </si>
  <si>
    <t>VRKS265M</t>
  </si>
  <si>
    <t>Пресс соединитель 26X1"нар  (200/10шт)</t>
  </si>
  <si>
    <t>MPT-310013</t>
  </si>
  <si>
    <t>VRKS1616</t>
  </si>
  <si>
    <t>Пресс соединитель 16X16  (300/10шт)</t>
  </si>
  <si>
    <t>127.93 руб.</t>
  </si>
  <si>
    <t>MPT-310014</t>
  </si>
  <si>
    <t>VRKS2020</t>
  </si>
  <si>
    <t>Пресс соединитель 20X20  (250/10шт)</t>
  </si>
  <si>
    <t>177.01 руб.</t>
  </si>
  <si>
    <t>MPT-310015</t>
  </si>
  <si>
    <t>VRKS2626</t>
  </si>
  <si>
    <t>Пресс соединитель 26X26  (300/10шт)</t>
  </si>
  <si>
    <t>279.65 руб.</t>
  </si>
  <si>
    <t>MPT-310016</t>
  </si>
  <si>
    <t>VRKL163F</t>
  </si>
  <si>
    <t>Пресс уголок 16X1/2"вн  (250/10шт)</t>
  </si>
  <si>
    <t>MPT-310017</t>
  </si>
  <si>
    <t>VRKL203F</t>
  </si>
  <si>
    <t>Пресс уголок 20X1/2"вн  (200/10шт)</t>
  </si>
  <si>
    <t>248.41 руб.</t>
  </si>
  <si>
    <t>MPT-310018</t>
  </si>
  <si>
    <t>VRKL204F</t>
  </si>
  <si>
    <t>Пресс уголок 20X3/4"вн  (150/10шт)</t>
  </si>
  <si>
    <t>294.53 руб.</t>
  </si>
  <si>
    <t>MPT-310019</t>
  </si>
  <si>
    <t>VRKL264F</t>
  </si>
  <si>
    <t>Пресс уголок 26X3/4"вн  (150/10шт)</t>
  </si>
  <si>
    <t>394.19 руб.</t>
  </si>
  <si>
    <t>MPT-310020</t>
  </si>
  <si>
    <t>VRKL265F</t>
  </si>
  <si>
    <t>Пресс уголок 26X1"вн  (150/10шт)</t>
  </si>
  <si>
    <t>431.38 руб.</t>
  </si>
  <si>
    <t>MPT-310021</t>
  </si>
  <si>
    <t>VRKL163M</t>
  </si>
  <si>
    <t>Пресс уголок 16X1/2"нар  (250/10шт)</t>
  </si>
  <si>
    <t>160.65 руб.</t>
  </si>
  <si>
    <t>MPT-310022</t>
  </si>
  <si>
    <t>VRKL203M</t>
  </si>
  <si>
    <t>Пресс уголок 20X1/2"нар  (200/10шт)</t>
  </si>
  <si>
    <t>212.71 руб.</t>
  </si>
  <si>
    <t>MPT-310023</t>
  </si>
  <si>
    <t>VRKL204M</t>
  </si>
  <si>
    <t>Пресс уголок 20X3/4"нар  (180/10шт)</t>
  </si>
  <si>
    <t>261.80 руб.</t>
  </si>
  <si>
    <t>MPT-310024</t>
  </si>
  <si>
    <t>VRKL264M</t>
  </si>
  <si>
    <t>Пресс уголок 26X3/4"нар  (150/10шт)</t>
  </si>
  <si>
    <t>376.34 руб.</t>
  </si>
  <si>
    <t>MPT-310025</t>
  </si>
  <si>
    <t>VRKL265M</t>
  </si>
  <si>
    <t>Пресс уголок 26X1"нар (150/10шт)</t>
  </si>
  <si>
    <t>444.76 руб.</t>
  </si>
  <si>
    <t>MPT-310026</t>
  </si>
  <si>
    <t>VRKL1616</t>
  </si>
  <si>
    <t>Пресс уголок 16X16 (250/10шт)</t>
  </si>
  <si>
    <t>MPT-310027</t>
  </si>
  <si>
    <t>VRKL2020</t>
  </si>
  <si>
    <t>Пресс уголок 20X20 (180/10шт)</t>
  </si>
  <si>
    <t>MPT-310028</t>
  </si>
  <si>
    <t>VRKL2626</t>
  </si>
  <si>
    <t>Пресс уголок 26X26 (250/10шт)</t>
  </si>
  <si>
    <t>370.39 руб.</t>
  </si>
  <si>
    <t>MPT-310029</t>
  </si>
  <si>
    <t>VRKL163FC</t>
  </si>
  <si>
    <t>Пресс уголок с креплением 16X1/2"вн  (150/10шт)</t>
  </si>
  <si>
    <t>MPT-310030</t>
  </si>
  <si>
    <t>VRKL203FC</t>
  </si>
  <si>
    <t>Пресс уголок с креплением 20X1/2"вн  (150/10шт)</t>
  </si>
  <si>
    <t>364.44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</si>
  <si>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</si>
  <si>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</si>
  <si>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</si>
  <si>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</si>
  <si>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</si>
  <si>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</si>
  <si>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355.51 руб.</t>
  </si>
  <si>
    <t>MPT-310033</t>
  </si>
  <si>
    <t>VRKT204F</t>
  </si>
  <si>
    <t>Пресс тройник 20X3/4"внX20  (100/10шт)</t>
  </si>
  <si>
    <t>419.48 руб.</t>
  </si>
  <si>
    <t>MPT-310034</t>
  </si>
  <si>
    <t>VRKT264F</t>
  </si>
  <si>
    <t>Пресс тройник 26X3/4"внX26  (100/10шт)</t>
  </si>
  <si>
    <t>574.18 руб.</t>
  </si>
  <si>
    <t>MPT-310035</t>
  </si>
  <si>
    <t>VRKT265F</t>
  </si>
  <si>
    <t>Пресс тройник 26X1"внX26  (100/10шт)</t>
  </si>
  <si>
    <t>647.06 руб.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</si>
  <si>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</si>
  <si>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</si>
  <si>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</si>
  <si>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</si>
  <si>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</si>
  <si>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</si>
  <si>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</si>
  <si>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</si>
  <si>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</si>
  <si>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382.29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</si>
  <si>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</si>
  <si>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</si>
  <si>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</si>
  <si>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</si>
  <si>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</si>
  <si>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</si>
  <si>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</si>
  <si>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</si>
  <si>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</si>
  <si>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</si>
  <si>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</si>
  <si>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</si>
  <si>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346.59 руб.</t>
  </si>
  <si>
    <t>MPT-310043</t>
  </si>
  <si>
    <t>VRKT262626</t>
  </si>
  <si>
    <t>Пресс тройник 26X26X26  (150/10шт)</t>
  </si>
  <si>
    <t>614.34 руб.</t>
  </si>
  <si>
    <t>MPT-310044</t>
  </si>
  <si>
    <t>VRKT201620</t>
  </si>
  <si>
    <t>Пресс тройник 20X16X20  (100/10шт)</t>
  </si>
  <si>
    <t>310.89 руб.</t>
  </si>
  <si>
    <t>MPT-310045</t>
  </si>
  <si>
    <t>VRKT201616</t>
  </si>
  <si>
    <t>Пресс тройник 20X16X16  (120/10шт)</t>
  </si>
  <si>
    <t>MPT-310046</t>
  </si>
  <si>
    <t>VRK163A</t>
  </si>
  <si>
    <t>Пресс соединитель КОНУС 16X1/2"вн (220/10шт)</t>
  </si>
  <si>
    <t>181.48 руб.</t>
  </si>
  <si>
    <t>MPT-310047</t>
  </si>
  <si>
    <t>VRK164A</t>
  </si>
  <si>
    <t>Пресс соединитель с накидной гайкой 16X3/4"вн (200/10шт)</t>
  </si>
  <si>
    <t>245.44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</si>
  <si>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</si>
  <si>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</si>
  <si>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</si>
  <si>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</si>
  <si>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</si>
  <si>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</si>
  <si>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340.64 руб.</t>
  </si>
  <si>
    <t>MPT-310051</t>
  </si>
  <si>
    <t>VRKS325M</t>
  </si>
  <si>
    <t>Пресс соединитель 32X1"нар  (100/5шт)</t>
  </si>
  <si>
    <t>391.21 руб.</t>
  </si>
  <si>
    <t>MPT-310052</t>
  </si>
  <si>
    <t>VRKS2026</t>
  </si>
  <si>
    <t>Пресс соединитель 20X26  (250/10шт)</t>
  </si>
  <si>
    <t>246.93 руб.</t>
  </si>
  <si>
    <t>MPT-310053</t>
  </si>
  <si>
    <t>VRKS3232</t>
  </si>
  <si>
    <t>Пресс соединитель 32X32  (50/5шт)</t>
  </si>
  <si>
    <t>293.04 руб.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</si>
  <si>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</si>
  <si>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</si>
  <si>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</si>
  <si>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</si>
  <si>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</si>
  <si>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</si>
  <si>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</si>
  <si>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</si>
  <si>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</si>
  <si>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</si>
  <si>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</si>
  <si>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</si>
  <si>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</si>
  <si>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</si>
  <si>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</si>
  <si>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</si>
  <si>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</si>
  <si>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</si>
  <si>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595.00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</si>
  <si>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</si>
  <si>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</si>
  <si>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</si>
  <si>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</si>
  <si>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</si>
  <si>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</si>
  <si>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214.20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</si>
</sst>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7bd97_a71a_11e9_8103_003048fd731b_6ca825d6_2823_11ed_a30f_00259070b4871.jpeg"/><Relationship Id="rId2" Type="http://schemas.openxmlformats.org/officeDocument/2006/relationships/image" Target="../media/ac33c82b_86a5_11e9_8101_003048fd731b_6ca825d7_2823_11ed_a30f_00259070b4872.jpeg"/><Relationship Id="rId3" Type="http://schemas.openxmlformats.org/officeDocument/2006/relationships/image" Target="../media/64b52e27_7c9e_11ea_8111_003048fd731b_6ca825d8_2823_11ed_a30f_00259070b4873.jpeg"/><Relationship Id="rId4" Type="http://schemas.openxmlformats.org/officeDocument/2006/relationships/image" Target="../media/64b52e29_7c9e_11ea_8111_003048fd731b_6ca825d9_2823_11ed_a30f_00259070b4874.jpeg"/><Relationship Id="rId5" Type="http://schemas.openxmlformats.org/officeDocument/2006/relationships/image" Target="../media/7c189fca_ad4b_11ea_813b_003048fd731b_6ca825da_2823_11ed_a30f_00259070b4875.jpeg"/><Relationship Id="rId6" Type="http://schemas.openxmlformats.org/officeDocument/2006/relationships/image" Target="../media/ac33c80d_86a5_11e9_8101_003048fd731b_6ca825dc_2823_11ed_a30f_00259070b4876.jpeg"/><Relationship Id="rId7" Type="http://schemas.openxmlformats.org/officeDocument/2006/relationships/image" Target="../media/ac33c810_86a5_11e9_8101_003048fd731b_6ca825dd_2823_11ed_a30f_00259070b4877.jpeg"/><Relationship Id="rId8" Type="http://schemas.openxmlformats.org/officeDocument/2006/relationships/image" Target="../media/ac33c813_86a5_11e9_8101_003048fd731b_6ca825de_2823_11ed_a30f_00259070b4878.jpeg"/><Relationship Id="rId9" Type="http://schemas.openxmlformats.org/officeDocument/2006/relationships/image" Target="../media/ac33c816_86a5_11e9_8101_003048fd731b_6ca825df_2823_11ed_a30f_00259070b4879.jpeg"/><Relationship Id="rId10" Type="http://schemas.openxmlformats.org/officeDocument/2006/relationships/image" Target="../media/ac33c819_86a5_11e9_8101_003048fd731b_6ca825e0_2823_11ed_a30f_00259070b48710.jpeg"/><Relationship Id="rId11" Type="http://schemas.openxmlformats.org/officeDocument/2006/relationships/image" Target="../media/ac33c81c_86a5_11e9_8101_003048fd731b_6ca825e1_2823_11ed_a30f_00259070b48711.jpeg"/><Relationship Id="rId12" Type="http://schemas.openxmlformats.org/officeDocument/2006/relationships/image" Target="../media/ccf19343_ffba_11e9_810b_003048fd731b_6ca825e2_2823_11ed_a30f_00259070b48712.jpeg"/><Relationship Id="rId13" Type="http://schemas.openxmlformats.org/officeDocument/2006/relationships/image" Target="../media/ccf19345_ffba_11e9_810b_003048fd731b_6ca825e3_2823_11ed_a30f_00259070b48713.jpeg"/><Relationship Id="rId14" Type="http://schemas.openxmlformats.org/officeDocument/2006/relationships/image" Target="../media/ccf19347_ffba_11e9_810b_003048fd731b_6ca825e4_2823_11ed_a30f_00259070b48714.jpeg"/><Relationship Id="rId15" Type="http://schemas.openxmlformats.org/officeDocument/2006/relationships/image" Target="../media/ccf19349_ffba_11e9_810b_003048fd731b_6ca825e5_2823_11ed_a30f_00259070b48715.jpeg"/><Relationship Id="rId16" Type="http://schemas.openxmlformats.org/officeDocument/2006/relationships/image" Target="../media/ccf1934b_ffba_11e9_810b_003048fd731b_6ca825e6_2823_11ed_a30f_00259070b48716.jpeg"/><Relationship Id="rId17" Type="http://schemas.openxmlformats.org/officeDocument/2006/relationships/image" Target="../media/ccf1934d_ffba_11e9_810b_003048fd731b_6ca825e7_2823_11ed_a30f_00259070b48717.jpeg"/><Relationship Id="rId18" Type="http://schemas.openxmlformats.org/officeDocument/2006/relationships/image" Target="../media/ccf1934f_ffba_11e9_810b_003048fd731b_6ca825e8_2823_11ed_a30f_00259070b48718.jpeg"/><Relationship Id="rId19" Type="http://schemas.openxmlformats.org/officeDocument/2006/relationships/image" Target="../media/ccf19351_ffba_11e9_810b_003048fd731b_6ca825e9_2823_11ed_a30f_00259070b48719.jpeg"/><Relationship Id="rId20" Type="http://schemas.openxmlformats.org/officeDocument/2006/relationships/image" Target="../media/ccf19353_ffba_11e9_810b_003048fd731b_6ca825ea_2823_11ed_a30f_00259070b48720.jpeg"/><Relationship Id="rId21" Type="http://schemas.openxmlformats.org/officeDocument/2006/relationships/image" Target="../media/ccf19355_ffba_11e9_810b_003048fd731b_6ca825eb_2823_11ed_a30f_00259070b48721.jpeg"/><Relationship Id="rId22" Type="http://schemas.openxmlformats.org/officeDocument/2006/relationships/image" Target="../media/7c189fcc_ad4b_11ea_813b_003048fd731b_6ca825db_2823_11ed_a30f_00259070b48722.jpeg"/><Relationship Id="rId23" Type="http://schemas.openxmlformats.org/officeDocument/2006/relationships/image" Target="../media/3e1e3587_f95c_11e9_810b_003048fd731b_4829b056_0627_11ea_810d_003048fd731b23.jpeg"/><Relationship Id="rId24" Type="http://schemas.openxmlformats.org/officeDocument/2006/relationships/image" Target="../media/3e1e3589_f95c_11e9_810b_003048fd731b_4829b057_0627_11ea_810d_003048fd731b24.jpeg"/><Relationship Id="rId25" Type="http://schemas.openxmlformats.org/officeDocument/2006/relationships/image" Target="../media/3e1e358b_f95c_11e9_810b_003048fd731b_4829b058_0627_11ea_810d_003048fd731b25.jpeg"/><Relationship Id="rId26" Type="http://schemas.openxmlformats.org/officeDocument/2006/relationships/image" Target="../media/ac33c82f_86a5_11e9_8101_003048fd731b_4b3c1cf7_5a46_11f0_a775_047c1617b14326.jpeg"/><Relationship Id="rId27" Type="http://schemas.openxmlformats.org/officeDocument/2006/relationships/image" Target="../media/ac33c833_86a5_11e9_8101_003048fd731b_4b3c1cf9_5a46_11f0_a775_047c1617b14327.jpeg"/><Relationship Id="rId28" Type="http://schemas.openxmlformats.org/officeDocument/2006/relationships/image" Target="../media/ac33c837_86a5_11e9_8101_003048fd731b_4b3c1cfb_5a46_11f0_a775_047c1617b14328.jpeg"/><Relationship Id="rId29" Type="http://schemas.openxmlformats.org/officeDocument/2006/relationships/image" Target="../media/ac33c83b_86a5_11e9_8101_003048fd731b_4b3c1cfd_5a46_11f0_a775_047c1617b14329.jpeg"/><Relationship Id="rId30" Type="http://schemas.openxmlformats.org/officeDocument/2006/relationships/image" Target="../media/ac33c83f_86a5_11e9_8101_003048fd731b_f0aaa1de_2823_11ed_a30f_00259070b48730.jpeg"/><Relationship Id="rId31" Type="http://schemas.openxmlformats.org/officeDocument/2006/relationships/image" Target="../media/ac33c843_86a5_11e9_8101_003048fd731b_f0aaa1e2_2823_11ed_a30f_00259070b48731.jpeg"/><Relationship Id="rId32" Type="http://schemas.openxmlformats.org/officeDocument/2006/relationships/image" Target="../media/ac33c847_86a5_11e9_8101_003048fd731b_f0aaa1e6_2823_11ed_a30f_00259070b48732.jpeg"/><Relationship Id="rId33" Type="http://schemas.openxmlformats.org/officeDocument/2006/relationships/image" Target="../media/ac33c84b_86a5_11e9_8101_003048fd731b_f0aaa1ea_2823_11ed_a30f_00259070b48733.jpeg"/><Relationship Id="rId34" Type="http://schemas.openxmlformats.org/officeDocument/2006/relationships/image" Target="../media/ac33c84f_86a5_11e9_8101_003048fd731b_f0aaa1ee_2823_11ed_a30f_00259070b48734.jpeg"/><Relationship Id="rId35" Type="http://schemas.openxmlformats.org/officeDocument/2006/relationships/image" Target="../media/ac33c853_86a5_11e9_8101_003048fd731b_f0aaa1f2_2823_11ed_a30f_00259070b48735.jpeg"/><Relationship Id="rId36" Type="http://schemas.openxmlformats.org/officeDocument/2006/relationships/image" Target="../media/ac33c857_86a5_11e9_8101_003048fd731b_f0aaa1f6_2823_11ed_a30f_00259070b48736.jpeg"/><Relationship Id="rId37" Type="http://schemas.openxmlformats.org/officeDocument/2006/relationships/image" Target="../media/ac33c85b_86a5_11e9_8101_003048fd731b_f0aaa1fa_2823_11ed_a30f_00259070b48737.jpeg"/><Relationship Id="rId38" Type="http://schemas.openxmlformats.org/officeDocument/2006/relationships/image" Target="../media/ac33c85f_86a5_11e9_8101_003048fd731b_f0aaa1fe_2823_11ed_a30f_00259070b48738.jpeg"/><Relationship Id="rId39" Type="http://schemas.openxmlformats.org/officeDocument/2006/relationships/image" Target="../media/ac33c863_86a5_11e9_8101_003048fd731b_f0aaa202_2823_11ed_a30f_00259070b48739.jpeg"/><Relationship Id="rId40" Type="http://schemas.openxmlformats.org/officeDocument/2006/relationships/image" Target="../media/ac33c867_86a5_11e9_8101_003048fd731b_f0aaa206_2823_11ed_a30f_00259070b48740.jpeg"/><Relationship Id="rId41" Type="http://schemas.openxmlformats.org/officeDocument/2006/relationships/image" Target="../media/ac33c86b_86a5_11e9_8101_003048fd731b_f0aaa20a_2823_11ed_a30f_00259070b48741.jpeg"/><Relationship Id="rId42" Type="http://schemas.openxmlformats.org/officeDocument/2006/relationships/image" Target="../media/ac33c86f_86a5_11e9_8101_003048fd731b_f0aaa20e_2823_11ed_a30f_00259070b48742.jpeg"/><Relationship Id="rId43" Type="http://schemas.openxmlformats.org/officeDocument/2006/relationships/image" Target="../media/ac33c873_86a5_11e9_8101_003048fd731b_f0aaa212_2823_11ed_a30f_00259070b48743.jpeg"/><Relationship Id="rId44" Type="http://schemas.openxmlformats.org/officeDocument/2006/relationships/image" Target="../media/ac33c877_86a5_11e9_8101_003048fd731b_f0aaa216_2823_11ed_a30f_00259070b48744.jpeg"/><Relationship Id="rId45" Type="http://schemas.openxmlformats.org/officeDocument/2006/relationships/image" Target="../media/ac33c87b_86a5_11e9_8101_003048fd731b_f0aaa21a_2823_11ed_a30f_00259070b48745.jpeg"/><Relationship Id="rId46" Type="http://schemas.openxmlformats.org/officeDocument/2006/relationships/image" Target="../media/ac33c87f_86a5_11e9_8101_003048fd731b_f0aaa21e_2823_11ed_a30f_00259070b48746.jpeg"/><Relationship Id="rId47" Type="http://schemas.openxmlformats.org/officeDocument/2006/relationships/image" Target="../media/ac33c883_86a5_11e9_8101_003048fd731b_f0aaa222_2823_11ed_a30f_00259070b48747.jpeg"/><Relationship Id="rId48" Type="http://schemas.openxmlformats.org/officeDocument/2006/relationships/image" Target="../media/ac33c887_86a5_11e9_8101_003048fd731b_f0aaa226_2823_11ed_a30f_00259070b48748.jpeg"/><Relationship Id="rId49" Type="http://schemas.openxmlformats.org/officeDocument/2006/relationships/image" Target="../media/ac33c88b_86a5_11e9_8101_003048fd731b_f0aaa22a_2823_11ed_a30f_00259070b48749.jpeg"/><Relationship Id="rId50" Type="http://schemas.openxmlformats.org/officeDocument/2006/relationships/image" Target="../media/ac33c88f_86a5_11e9_8101_003048fd731b_f0aaa22e_2823_11ed_a30f_00259070b48750.jpeg"/><Relationship Id="rId51" Type="http://schemas.openxmlformats.org/officeDocument/2006/relationships/image" Target="../media/ac33c893_86a5_11e9_8101_003048fd731b_f0aaa232_2823_11ed_a30f_00259070b48751.jpeg"/><Relationship Id="rId52" Type="http://schemas.openxmlformats.org/officeDocument/2006/relationships/image" Target="../media/ac33c897_86a5_11e9_8101_003048fd731b_f0aaa236_2823_11ed_a30f_00259070b48752.jpeg"/><Relationship Id="rId53" Type="http://schemas.openxmlformats.org/officeDocument/2006/relationships/image" Target="../media/ac33c89b_86a5_11e9_8101_003048fd731b_f0aaa23a_2823_11ed_a30f_00259070b48753.jpeg"/><Relationship Id="rId54" Type="http://schemas.openxmlformats.org/officeDocument/2006/relationships/image" Target="../media/ac33c89f_86a5_11e9_8101_003048fd731b_f0aaa23e_2823_11ed_a30f_00259070b48754.jpeg"/><Relationship Id="rId55" Type="http://schemas.openxmlformats.org/officeDocument/2006/relationships/image" Target="../media/ac33c8a3_86a5_11e9_8101_003048fd731b_f0aaa242_2823_11ed_a30f_00259070b48755.jpeg"/><Relationship Id="rId56" Type="http://schemas.openxmlformats.org/officeDocument/2006/relationships/image" Target="../media/ac33c8a7_86a5_11e9_8101_003048fd731b_f0aaa246_2823_11ed_a30f_00259070b48756.jpeg"/><Relationship Id="rId57" Type="http://schemas.openxmlformats.org/officeDocument/2006/relationships/image" Target="../media/ac33c8ab_86a5_11e9_8101_003048fd731b_f0aaa24a_2823_11ed_a30f_00259070b48757.jpeg"/><Relationship Id="rId58" Type="http://schemas.openxmlformats.org/officeDocument/2006/relationships/image" Target="../media/ac33c8af_86a5_11e9_8101_003048fd731b_f0aaa24e_2823_11ed_a30f_00259070b48758.jpeg"/><Relationship Id="rId59" Type="http://schemas.openxmlformats.org/officeDocument/2006/relationships/image" Target="../media/ac33c8b3_86a5_11e9_8101_003048fd731b_f0aaa252_2823_11ed_a30f_00259070b48759.jpeg"/><Relationship Id="rId60" Type="http://schemas.openxmlformats.org/officeDocument/2006/relationships/image" Target="../media/ac33c8b7_86a5_11e9_8101_003048fd731b_f0aaa256_2823_11ed_a30f_00259070b48760.jpeg"/><Relationship Id="rId61" Type="http://schemas.openxmlformats.org/officeDocument/2006/relationships/image" Target="../media/ac33c8bb_86a5_11e9_8101_003048fd731b_f0aaa25a_2823_11ed_a30f_00259070b48761.jpeg"/><Relationship Id="rId62" Type="http://schemas.openxmlformats.org/officeDocument/2006/relationships/image" Target="../media/ac33c8bf_86a5_11e9_8101_003048fd731b_f0aaa25e_2823_11ed_a30f_00259070b48762.jpeg"/><Relationship Id="rId63" Type="http://schemas.openxmlformats.org/officeDocument/2006/relationships/image" Target="../media/ac33c8c3_86a5_11e9_8101_003048fd731b_f0aaa262_2823_11ed_a30f_00259070b48763.jpeg"/><Relationship Id="rId64" Type="http://schemas.openxmlformats.org/officeDocument/2006/relationships/image" Target="../media/ac33c8c7_86a5_11e9_8101_003048fd731b_f0aaa266_2823_11ed_a30f_00259070b48764.jpeg"/><Relationship Id="rId65" Type="http://schemas.openxmlformats.org/officeDocument/2006/relationships/image" Target="../media/ac33c8cb_86a5_11e9_8101_003048fd731b_f0aaa26a_2823_11ed_a30f_00259070b48765.jpeg"/><Relationship Id="rId66" Type="http://schemas.openxmlformats.org/officeDocument/2006/relationships/image" Target="../media/ac33c8cf_86a5_11e9_8101_003048fd731b_f0aaa26e_2823_11ed_a30f_00259070b48766.jpeg"/><Relationship Id="rId67" Type="http://schemas.openxmlformats.org/officeDocument/2006/relationships/image" Target="../media/ac33c8d3_86a5_11e9_8101_003048fd731b_f0aaa272_2823_11ed_a30f_00259070b48767.jpeg"/><Relationship Id="rId68" Type="http://schemas.openxmlformats.org/officeDocument/2006/relationships/image" Target="../media/ac33c8d7_86a5_11e9_8101_003048fd731b_f0aaa276_2823_11ed_a30f_00259070b48768.jpeg"/><Relationship Id="rId69" Type="http://schemas.openxmlformats.org/officeDocument/2006/relationships/image" Target="../media/ac33c8db_86a5_11e9_8101_003048fd731b_f0aaa27a_2823_11ed_a30f_00259070b48769.jpeg"/><Relationship Id="rId70" Type="http://schemas.openxmlformats.org/officeDocument/2006/relationships/image" Target="../media/ac33c8df_86a5_11e9_8101_003048fd731b_f0aaa27e_2823_11ed_a30f_00259070b48770.jpeg"/><Relationship Id="rId71" Type="http://schemas.openxmlformats.org/officeDocument/2006/relationships/image" Target="../media/ac33c8e3_86a5_11e9_8101_003048fd731b_f0aaa282_2823_11ed_a30f_00259070b48771.jpeg"/><Relationship Id="rId72" Type="http://schemas.openxmlformats.org/officeDocument/2006/relationships/image" Target="../media/ac33c8e7_86a5_11e9_8101_003048fd731b_f0aaa286_2823_11ed_a30f_00259070b48772.jpeg"/><Relationship Id="rId73" Type="http://schemas.openxmlformats.org/officeDocument/2006/relationships/image" Target="../media/ac33c8eb_86a5_11e9_8101_003048fd731b_f0aaa28a_2823_11ed_a30f_00259070b48773.jpeg"/><Relationship Id="rId74" Type="http://schemas.openxmlformats.org/officeDocument/2006/relationships/image" Target="../media/ac33c8ef_86a5_11e9_8101_003048fd731b_f0aaa28e_2823_11ed_a30f_00259070b48774.jpeg"/><Relationship Id="rId75" Type="http://schemas.openxmlformats.org/officeDocument/2006/relationships/image" Target="../media/ac33c8f3_86a5_11e9_8101_003048fd731b_f0aaa292_2823_11ed_a30f_00259070b48775.jpeg"/><Relationship Id="rId76" Type="http://schemas.openxmlformats.org/officeDocument/2006/relationships/image" Target="../media/ac33c8f7_86a5_11e9_8101_003048fd731b_f0aaa296_2823_11ed_a30f_00259070b48776.jpeg"/><Relationship Id="rId77" Type="http://schemas.openxmlformats.org/officeDocument/2006/relationships/image" Target="../media/ac33c8fb_86a5_11e9_8101_003048fd731b_f0aaa29a_2823_11ed_a30f_00259070b48777.jpeg"/><Relationship Id="rId78" Type="http://schemas.openxmlformats.org/officeDocument/2006/relationships/image" Target="../media/ac33c8ff_86a5_11e9_8101_003048fd731b_f0aaa29e_2823_11ed_a30f_00259070b48778.jpeg"/><Relationship Id="rId79" Type="http://schemas.openxmlformats.org/officeDocument/2006/relationships/image" Target="../media/ac33c903_86a5_11e9_8101_003048fd731b_f0aaa2a2_2823_11ed_a30f_00259070b48779.jpeg"/><Relationship Id="rId80" Type="http://schemas.openxmlformats.org/officeDocument/2006/relationships/image" Target="../media/ac33c907_86a5_11e9_8101_003048fd731b_f0aaa2a6_2823_11ed_a30f_00259070b48780.jpeg"/><Relationship Id="rId81" Type="http://schemas.openxmlformats.org/officeDocument/2006/relationships/image" Target="../media/ac33c90b_86a5_11e9_8101_003048fd731b_f0aaa2aa_2823_11ed_a30f_00259070b48781.jpeg"/><Relationship Id="rId82" Type="http://schemas.openxmlformats.org/officeDocument/2006/relationships/image" Target="../media/ac33c90f_86a5_11e9_8101_003048fd731b_f0aaa2ae_2823_11ed_a30f_00259070b48782.jpeg"/><Relationship Id="rId83" Type="http://schemas.openxmlformats.org/officeDocument/2006/relationships/image" Target="../media/ac33c913_86a5_11e9_8101_003048fd731b_f0aaa2b2_2823_11ed_a30f_00259070b48783.jpeg"/><Relationship Id="rId84" Type="http://schemas.openxmlformats.org/officeDocument/2006/relationships/image" Target="../media/ac33c917_86a5_11e9_8101_003048fd731b_f0aaa2b6_2823_11ed_a30f_00259070b48784.jpeg"/><Relationship Id="rId85" Type="http://schemas.openxmlformats.org/officeDocument/2006/relationships/image" Target="../media/ac33c91b_86a5_11e9_8101_003048fd731b_f0aaa2ba_2823_11ed_a30f_00259070b48785.jpeg"/><Relationship Id="rId86" Type="http://schemas.openxmlformats.org/officeDocument/2006/relationships/image" Target="../media/ac33c91f_86a5_11e9_8101_003048fd731b_f0aaa2be_2823_11ed_a30f_00259070b48786.jpeg"/><Relationship Id="rId87" Type="http://schemas.openxmlformats.org/officeDocument/2006/relationships/image" Target="../media/ac33c923_86a5_11e9_8101_003048fd731b_f0aaa2c2_2823_11ed_a30f_00259070b48787.jpeg"/><Relationship Id="rId88" Type="http://schemas.openxmlformats.org/officeDocument/2006/relationships/image" Target="../media/ac33c927_86a5_11e9_8101_003048fd731b_f0aaa2c6_2823_11ed_a30f_00259070b48788.jpeg"/><Relationship Id="rId89" Type="http://schemas.openxmlformats.org/officeDocument/2006/relationships/image" Target="../media/ac33c92b_86a5_11e9_8101_003048fd731b_f0aaa2ca_2823_11ed_a30f_00259070b48789.jpeg"/><Relationship Id="rId90" Type="http://schemas.openxmlformats.org/officeDocument/2006/relationships/image" Target="../media/ac33c92f_86a5_11e9_8101_003048fd731b_f0aaa2ce_2823_11ed_a30f_00259070b48790.jpeg"/><Relationship Id="rId91" Type="http://schemas.openxmlformats.org/officeDocument/2006/relationships/image" Target="../media/ac33c933_86a5_11e9_8101_003048fd731b_f0aaa2d2_2823_11ed_a30f_00259070b48791.jpeg"/><Relationship Id="rId92" Type="http://schemas.openxmlformats.org/officeDocument/2006/relationships/image" Target="../media/ac33c937_86a5_11e9_8101_003048fd731b_f0aaa2d6_2823_11ed_a30f_00259070b48792.jpeg"/><Relationship Id="rId93" Type="http://schemas.openxmlformats.org/officeDocument/2006/relationships/image" Target="../media/ac33c93b_86a5_11e9_8101_003048fd731b_f0aaa2da_2823_11ed_a30f_00259070b48793.jpeg"/><Relationship Id="rId94" Type="http://schemas.openxmlformats.org/officeDocument/2006/relationships/image" Target="../media/ac33c93f_86a5_11e9_8101_003048fd731b_f0aaa2de_2823_11ed_a30f_00259070b48794.jpeg"/><Relationship Id="rId95" Type="http://schemas.openxmlformats.org/officeDocument/2006/relationships/image" Target="../media/b2486b53_86a5_11e9_8101_003048fd731b_f0aaa2e2_2823_11ed_a30f_00259070b48795.jpeg"/><Relationship Id="rId96" Type="http://schemas.openxmlformats.org/officeDocument/2006/relationships/image" Target="../media/b2486b57_86a5_11e9_8101_003048fd731b_f0aaa2e6_2823_11ed_a30f_00259070b48796.jpeg"/><Relationship Id="rId97" Type="http://schemas.openxmlformats.org/officeDocument/2006/relationships/image" Target="../media/b2486b5b_86a5_11e9_8101_003048fd731b_f0aaa2ea_2823_11ed_a30f_00259070b48797.jpeg"/><Relationship Id="rId98" Type="http://schemas.openxmlformats.org/officeDocument/2006/relationships/image" Target="../media/b2486b5f_86a5_11e9_8101_003048fd731b_f0aaa2ee_2823_11ed_a30f_00259070b48798.jpeg"/><Relationship Id="rId99" Type="http://schemas.openxmlformats.org/officeDocument/2006/relationships/image" Target="../media/b2486b63_86a5_11e9_8101_003048fd731b_f0aaa2f2_2823_11ed_a30f_00259070b48799.jpeg"/><Relationship Id="rId100" Type="http://schemas.openxmlformats.org/officeDocument/2006/relationships/image" Target="../media/b2486b67_86a5_11e9_8101_003048fd731b_f0aaa2f6_2823_11ed_a30f_00259070b487100.jpeg"/><Relationship Id="rId101" Type="http://schemas.openxmlformats.org/officeDocument/2006/relationships/image" Target="../media/b2486b6b_86a5_11e9_8101_003048fd731b_f0aaa2fa_2823_11ed_a30f_00259070b487101.jpeg"/><Relationship Id="rId102" Type="http://schemas.openxmlformats.org/officeDocument/2006/relationships/image" Target="../media/b2486b6f_86a5_11e9_8101_003048fd731b_f0aaa2fe_2823_11ed_a30f_00259070b487102.jpeg"/><Relationship Id="rId103" Type="http://schemas.openxmlformats.org/officeDocument/2006/relationships/image" Target="../media/b2486b73_86a5_11e9_8101_003048fd731b_f0aaa302_2823_11ed_a30f_00259070b487103.jpeg"/><Relationship Id="rId104" Type="http://schemas.openxmlformats.org/officeDocument/2006/relationships/image" Target="../media/b2486b77_86a5_11e9_8101_003048fd731b_f0aaa306_2823_11ed_a30f_00259070b487104.jpeg"/><Relationship Id="rId105" Type="http://schemas.openxmlformats.org/officeDocument/2006/relationships/image" Target="../media/b2486b7b_86a5_11e9_8101_003048fd731b_f0aaa30a_2823_11ed_a30f_00259070b487105.jpeg"/><Relationship Id="rId106" Type="http://schemas.openxmlformats.org/officeDocument/2006/relationships/image" Target="../media/b2486b7f_86a5_11e9_8101_003048fd731b_f0aaa30e_2823_11ed_a30f_00259070b487106.jpeg"/><Relationship Id="rId107" Type="http://schemas.openxmlformats.org/officeDocument/2006/relationships/image" Target="../media/b2486b83_86a5_11e9_8101_003048fd731b_f0aaa312_2823_11ed_a30f_00259070b487107.jpeg"/><Relationship Id="rId108" Type="http://schemas.openxmlformats.org/officeDocument/2006/relationships/image" Target="../media/b2486b87_86a5_11e9_8101_003048fd731b_f0aaa316_2823_11ed_a30f_00259070b487108.jpeg"/><Relationship Id="rId109" Type="http://schemas.openxmlformats.org/officeDocument/2006/relationships/image" Target="../media/b2486b8b_86a5_11e9_8101_003048fd731b_f0aaa31a_2823_11ed_a30f_00259070b487109.jpeg"/><Relationship Id="rId110" Type="http://schemas.openxmlformats.org/officeDocument/2006/relationships/image" Target="../media/b2486b8f_86a5_11e9_8101_003048fd731b_f0aaa31e_2823_11ed_a30f_00259070b487110.jpeg"/><Relationship Id="rId111" Type="http://schemas.openxmlformats.org/officeDocument/2006/relationships/image" Target="../media/b2486b93_86a5_11e9_8101_003048fd731b_f0aaa322_2823_11ed_a30f_00259070b487111.jpeg"/><Relationship Id="rId112" Type="http://schemas.openxmlformats.org/officeDocument/2006/relationships/image" Target="../media/b2486b97_86a5_11e9_8101_003048fd731b_f0aaa326_2823_11ed_a30f_00259070b487112.jpeg"/><Relationship Id="rId113" Type="http://schemas.openxmlformats.org/officeDocument/2006/relationships/image" Target="../media/b2486b9b_86a5_11e9_8101_003048fd731b_f0aaa32a_2823_11ed_a30f_00259070b487113.jpeg"/><Relationship Id="rId114" Type="http://schemas.openxmlformats.org/officeDocument/2006/relationships/image" Target="../media/b2486b9f_86a5_11e9_8101_003048fd731b_f707d7f8_2823_11ed_a30f_00259070b487114.jpeg"/><Relationship Id="rId115" Type="http://schemas.openxmlformats.org/officeDocument/2006/relationships/image" Target="../media/b2486ba3_86a5_11e9_8101_003048fd731b_f707d7fc_2823_11ed_a30f_00259070b487115.jpeg"/><Relationship Id="rId116" Type="http://schemas.openxmlformats.org/officeDocument/2006/relationships/image" Target="../media/b2486ba7_86a5_11e9_8101_003048fd731b_f707d800_2823_11ed_a30f_00259070b487116.jpeg"/><Relationship Id="rId117" Type="http://schemas.openxmlformats.org/officeDocument/2006/relationships/image" Target="../media/b2486bab_86a5_11e9_8101_003048fd731b_f707d804_2823_11ed_a30f_00259070b487117.jpeg"/><Relationship Id="rId118" Type="http://schemas.openxmlformats.org/officeDocument/2006/relationships/image" Target="../media/b2486baf_86a5_11e9_8101_003048fd731b_f707d808_2823_11ed_a30f_00259070b487118.jpeg"/><Relationship Id="rId119" Type="http://schemas.openxmlformats.org/officeDocument/2006/relationships/image" Target="../media/b2486bb3_86a5_11e9_8101_003048fd731b_f707d80c_2823_11ed_a30f_00259070b487119.jpeg"/><Relationship Id="rId120" Type="http://schemas.openxmlformats.org/officeDocument/2006/relationships/image" Target="../media/b2486bb7_86a5_11e9_8101_003048fd731b_f707d810_2823_11ed_a30f_00259070b487120.jpeg"/><Relationship Id="rId121" Type="http://schemas.openxmlformats.org/officeDocument/2006/relationships/image" Target="../media/b2486bbb_86a5_11e9_8101_003048fd731b_f707d814_2823_11ed_a30f_00259070b487121.jpeg"/><Relationship Id="rId122" Type="http://schemas.openxmlformats.org/officeDocument/2006/relationships/image" Target="../media/b2486bbf_86a5_11e9_8101_003048fd731b_f707d818_2823_11ed_a30f_00259070b487122.jpeg"/><Relationship Id="rId123" Type="http://schemas.openxmlformats.org/officeDocument/2006/relationships/image" Target="../media/b2486bc3_86a5_11e9_8101_003048fd731b_f707d81c_2823_11ed_a30f_00259070b487123.jpeg"/><Relationship Id="rId124" Type="http://schemas.openxmlformats.org/officeDocument/2006/relationships/image" Target="../media/b2486bc7_86a5_11e9_8101_003048fd731b_f707d820_2823_11ed_a30f_00259070b487124.jpeg"/><Relationship Id="rId125" Type="http://schemas.openxmlformats.org/officeDocument/2006/relationships/image" Target="../media/e19ee505_d540_11e9_8109_003048fd731b_6ca825ec_2823_11ed_a30f_00259070b487125.jpeg"/><Relationship Id="rId126" Type="http://schemas.openxmlformats.org/officeDocument/2006/relationships/image" Target="../media/b2486bcc_86a5_11e9_8101_003048fd731b_6ca825ed_2823_11ed_a30f_00259070b487126.png"/><Relationship Id="rId127" Type="http://schemas.openxmlformats.org/officeDocument/2006/relationships/image" Target="../media/b2486bce_86a5_11e9_8101_003048fd731b_6ca825ef_2823_11ed_a30f_00259070b487127.png"/><Relationship Id="rId128" Type="http://schemas.openxmlformats.org/officeDocument/2006/relationships/image" Target="../media/b2486bd0_86a5_11e9_8101_003048fd731b_6ca825f1_2823_11ed_a30f_00259070b487128.png"/><Relationship Id="rId129" Type="http://schemas.openxmlformats.org/officeDocument/2006/relationships/image" Target="../media/b2486bd2_86a5_11e9_8101_003048fd731b_6ca825f3_2823_11ed_a30f_00259070b487129.png"/><Relationship Id="rId130" Type="http://schemas.openxmlformats.org/officeDocument/2006/relationships/image" Target="../media/b2486bd4_86a5_11e9_8101_003048fd731b_6ca825f5_2823_11ed_a30f_00259070b487130.png"/><Relationship Id="rId131" Type="http://schemas.openxmlformats.org/officeDocument/2006/relationships/image" Target="../media/b2486bd6_86a5_11e9_8101_003048fd731b_6ca825f7_2823_11ed_a30f_00259070b487131.png"/><Relationship Id="rId132" Type="http://schemas.openxmlformats.org/officeDocument/2006/relationships/image" Target="../media/b2486bd8_86a5_11e9_8101_003048fd731b_6ca825f9_2823_11ed_a30f_00259070b487132.png"/><Relationship Id="rId133" Type="http://schemas.openxmlformats.org/officeDocument/2006/relationships/image" Target="../media/b2486bda_86a5_11e9_8101_003048fd731b_4829b05f_0627_11ea_810d_003048fd731b133.jpeg"/><Relationship Id="rId134" Type="http://schemas.openxmlformats.org/officeDocument/2006/relationships/image" Target="../media/b2486bdc_86a5_11e9_8101_003048fd731b_4829b060_0627_11ea_810d_003048fd731b134.jpeg"/><Relationship Id="rId135" Type="http://schemas.openxmlformats.org/officeDocument/2006/relationships/image" Target="../media/b2486bde_86a5_11e9_8101_003048fd731b_4829b061_0627_11ea_810d_003048fd731b135.jpeg"/><Relationship Id="rId136" Type="http://schemas.openxmlformats.org/officeDocument/2006/relationships/image" Target="../media/b2486be0_86a5_11e9_8101_003048fd731b_4829b062_0627_11ea_810d_003048fd731b136.jpeg"/><Relationship Id="rId137" Type="http://schemas.openxmlformats.org/officeDocument/2006/relationships/image" Target="../media/b2486be2_86a5_11e9_8101_003048fd731b_4829b063_0627_11ea_810d_003048fd731b137.jpeg"/><Relationship Id="rId138" Type="http://schemas.openxmlformats.org/officeDocument/2006/relationships/image" Target="../media/b2486be4_86a5_11e9_8101_003048fd731b_4829b064_0627_11ea_810d_003048fd731b138.jpeg"/><Relationship Id="rId139" Type="http://schemas.openxmlformats.org/officeDocument/2006/relationships/image" Target="../media/b2486be6_86a5_11e9_8101_003048fd731b_6ca825fb_2823_11ed_a30f_00259070b487139.jpeg"/><Relationship Id="rId140" Type="http://schemas.openxmlformats.org/officeDocument/2006/relationships/image" Target="../media/b2486be8_86a5_11e9_8101_003048fd731b_6ca825fc_2823_11ed_a30f_00259070b487140.jpeg"/><Relationship Id="rId141" Type="http://schemas.openxmlformats.org/officeDocument/2006/relationships/image" Target="../media/b2486bea_86a5_11e9_8101_003048fd731b_6ca825fd_2823_11ed_a30f_00259070b487141.jpeg"/><Relationship Id="rId142" Type="http://schemas.openxmlformats.org/officeDocument/2006/relationships/image" Target="../media/b2486bec_86a5_11e9_8101_003048fd731b_6ca825fe_2823_11ed_a30f_00259070b487142.jpeg"/><Relationship Id="rId143" Type="http://schemas.openxmlformats.org/officeDocument/2006/relationships/image" Target="../media/b2486bee_86a5_11e9_8101_003048fd731b_6ca825ff_2823_11ed_a30f_00259070b487143.jpeg"/><Relationship Id="rId144" Type="http://schemas.openxmlformats.org/officeDocument/2006/relationships/image" Target="../media/b2486bf0_86a5_11e9_8101_003048fd731b_6ca82600_2823_11ed_a30f_00259070b487144.jpeg"/><Relationship Id="rId145" Type="http://schemas.openxmlformats.org/officeDocument/2006/relationships/image" Target="../media/b2486bf2_86a5_11e9_8101_003048fd731b_6ca82601_2823_11ed_a30f_00259070b487145.jpeg"/><Relationship Id="rId146" Type="http://schemas.openxmlformats.org/officeDocument/2006/relationships/image" Target="../media/b2486bf4_86a5_11e9_8101_003048fd731b_6ca82602_2823_11ed_a30f_00259070b487146.jpeg"/><Relationship Id="rId147" Type="http://schemas.openxmlformats.org/officeDocument/2006/relationships/image" Target="../media/b2486bf6_86a5_11e9_8101_003048fd731b_6ca82603_2823_11ed_a30f_00259070b487147.jpeg"/><Relationship Id="rId148" Type="http://schemas.openxmlformats.org/officeDocument/2006/relationships/image" Target="../media/b2486bf8_86a5_11e9_8101_003048fd731b_6ca82604_2823_11ed_a30f_00259070b487148.jpeg"/><Relationship Id="rId149" Type="http://schemas.openxmlformats.org/officeDocument/2006/relationships/image" Target="../media/b2486bfa_86a5_11e9_8101_003048fd731b_6ca82605_2823_11ed_a30f_00259070b487149.jpeg"/><Relationship Id="rId150" Type="http://schemas.openxmlformats.org/officeDocument/2006/relationships/image" Target="../media/b2486bfc_86a5_11e9_8101_003048fd731b_6ca82606_2823_11ed_a30f_00259070b487150.jpeg"/><Relationship Id="rId151" Type="http://schemas.openxmlformats.org/officeDocument/2006/relationships/image" Target="../media/b2486bfe_86a5_11e9_8101_003048fd731b_6ca82607_2823_11ed_a30f_00259070b487151.jpeg"/><Relationship Id="rId152" Type="http://schemas.openxmlformats.org/officeDocument/2006/relationships/image" Target="../media/b2486c00_86a5_11e9_8101_003048fd731b_6ca82608_2823_11ed_a30f_00259070b487152.jpeg"/><Relationship Id="rId153" Type="http://schemas.openxmlformats.org/officeDocument/2006/relationships/image" Target="../media/b2486c02_86a5_11e9_8101_003048fd731b_6ca82609_2823_11ed_a30f_00259070b487153.jpeg"/><Relationship Id="rId154" Type="http://schemas.openxmlformats.org/officeDocument/2006/relationships/image" Target="../media/b2486c04_86a5_11e9_8101_003048fd731b_6ca8260a_2823_11ed_a30f_00259070b487154.jpeg"/><Relationship Id="rId155" Type="http://schemas.openxmlformats.org/officeDocument/2006/relationships/image" Target="../media/b2486c06_86a5_11e9_8101_003048fd731b_6ca8260b_2823_11ed_a30f_00259070b487155.jpeg"/><Relationship Id="rId156" Type="http://schemas.openxmlformats.org/officeDocument/2006/relationships/image" Target="../media/b2486c08_86a5_11e9_8101_003048fd731b_f0aaa1ad_2823_11ed_a30f_00259070b487156.jpeg"/><Relationship Id="rId157" Type="http://schemas.openxmlformats.org/officeDocument/2006/relationships/image" Target="../media/b2486c0a_86a5_11e9_8101_003048fd731b_f0aaa1ae_2823_11ed_a30f_00259070b487157.jpeg"/><Relationship Id="rId158" Type="http://schemas.openxmlformats.org/officeDocument/2006/relationships/image" Target="../media/b2486c0c_86a5_11e9_8101_003048fd731b_f0aaa1af_2823_11ed_a30f_00259070b487158.jpeg"/><Relationship Id="rId159" Type="http://schemas.openxmlformats.org/officeDocument/2006/relationships/image" Target="../media/b2486c0e_86a5_11e9_8101_003048fd731b_f0aaa1b0_2823_11ed_a30f_00259070b487159.jpeg"/><Relationship Id="rId160" Type="http://schemas.openxmlformats.org/officeDocument/2006/relationships/image" Target="../media/b2486c10_86a5_11e9_8101_003048fd731b_f0aaa1b1_2823_11ed_a30f_00259070b487160.jpeg"/><Relationship Id="rId161" Type="http://schemas.openxmlformats.org/officeDocument/2006/relationships/image" Target="../media/b2486c12_86a5_11e9_8101_003048fd731b_f0aaa1b2_2823_11ed_a30f_00259070b487161.jpeg"/><Relationship Id="rId162" Type="http://schemas.openxmlformats.org/officeDocument/2006/relationships/image" Target="../media/b2486c14_86a5_11e9_8101_003048fd731b_f0aaa1b3_2823_11ed_a30f_00259070b487162.jpeg"/><Relationship Id="rId163" Type="http://schemas.openxmlformats.org/officeDocument/2006/relationships/image" Target="../media/b2486c16_86a5_11e9_8101_003048fd731b_f0aaa1b4_2823_11ed_a30f_00259070b487163.jpeg"/><Relationship Id="rId164" Type="http://schemas.openxmlformats.org/officeDocument/2006/relationships/image" Target="../media/b2486c18_86a5_11e9_8101_003048fd731b_a26f33f2_7c1e_11f0_a7a3_047c1617b143164.jpeg"/><Relationship Id="rId165" Type="http://schemas.openxmlformats.org/officeDocument/2006/relationships/image" Target="../media/b2486c1a_86a5_11e9_8101_003048fd731b_a26f33f3_7c1e_11f0_a7a3_047c1617b143165.jpeg"/><Relationship Id="rId166" Type="http://schemas.openxmlformats.org/officeDocument/2006/relationships/image" Target="../media/b2486c1c_86a5_11e9_8101_003048fd731b_f0aaa1b5_2823_11ed_a30f_00259070b487166.jpeg"/><Relationship Id="rId167" Type="http://schemas.openxmlformats.org/officeDocument/2006/relationships/image" Target="../media/b2486c1e_86a5_11e9_8101_003048fd731b_f0aaa1b6_2823_11ed_a30f_00259070b487167.jpeg"/><Relationship Id="rId168" Type="http://schemas.openxmlformats.org/officeDocument/2006/relationships/image" Target="../media/b2486c20_86a5_11e9_8101_003048fd731b_f0aaa1b7_2823_11ed_a30f_00259070b487168.jpeg"/><Relationship Id="rId169" Type="http://schemas.openxmlformats.org/officeDocument/2006/relationships/image" Target="../media/b2486c22_86a5_11e9_8101_003048fd731b_f0aaa1b8_2823_11ed_a30f_00259070b487169.jpeg"/><Relationship Id="rId170" Type="http://schemas.openxmlformats.org/officeDocument/2006/relationships/image" Target="../media/b2486c24_86a5_11e9_8101_003048fd731b_f0aaa1b9_2823_11ed_a30f_00259070b487170.jpeg"/><Relationship Id="rId171" Type="http://schemas.openxmlformats.org/officeDocument/2006/relationships/image" Target="../media/b2486c26_86a5_11e9_8101_003048fd731b_f0aaa1ba_2823_11ed_a30f_00259070b487171.jpeg"/><Relationship Id="rId172" Type="http://schemas.openxmlformats.org/officeDocument/2006/relationships/image" Target="../media/b2486c28_86a5_11e9_8101_003048fd731b_f0aaa1bb_2823_11ed_a30f_00259070b487172.jpeg"/><Relationship Id="rId173" Type="http://schemas.openxmlformats.org/officeDocument/2006/relationships/image" Target="../media/b2486c2a_86a5_11e9_8101_003048fd731b_f0aaa1bc_2823_11ed_a30f_00259070b487173.jpeg"/><Relationship Id="rId174" Type="http://schemas.openxmlformats.org/officeDocument/2006/relationships/image" Target="../media/b2486c2c_86a5_11e9_8101_003048fd731b_f0aaa1bd_2823_11ed_a30f_00259070b487174.jpeg"/><Relationship Id="rId175" Type="http://schemas.openxmlformats.org/officeDocument/2006/relationships/image" Target="../media/b2486c2e_86a5_11e9_8101_003048fd731b_f0aaa1be_2823_11ed_a30f_00259070b487175.jpeg"/><Relationship Id="rId176" Type="http://schemas.openxmlformats.org/officeDocument/2006/relationships/image" Target="../media/b2486c30_86a5_11e9_8101_003048fd731b_f0aaa1bf_2823_11ed_a30f_00259070b487176.jpeg"/><Relationship Id="rId177" Type="http://schemas.openxmlformats.org/officeDocument/2006/relationships/image" Target="../media/b2486c32_86a5_11e9_8101_003048fd731b_f0aaa1c0_2823_11ed_a30f_00259070b487177.jpeg"/><Relationship Id="rId178" Type="http://schemas.openxmlformats.org/officeDocument/2006/relationships/image" Target="../media/b2486c34_86a5_11e9_8101_003048fd731b_f0aaa1c1_2823_11ed_a30f_00259070b487178.jpeg"/><Relationship Id="rId179" Type="http://schemas.openxmlformats.org/officeDocument/2006/relationships/image" Target="../media/b2486c36_86a5_11e9_8101_003048fd731b_f0aaa1c2_2823_11ed_a30f_00259070b487179.jpeg"/><Relationship Id="rId180" Type="http://schemas.openxmlformats.org/officeDocument/2006/relationships/image" Target="../media/b2486c38_86a5_11e9_8101_003048fd731b_f0aaa1c3_2823_11ed_a30f_00259070b487180.jpeg"/><Relationship Id="rId181" Type="http://schemas.openxmlformats.org/officeDocument/2006/relationships/image" Target="../media/b2486c3a_86a5_11e9_8101_003048fd731b_f0aaa1c4_2823_11ed_a30f_00259070b487181.jpeg"/><Relationship Id="rId182" Type="http://schemas.openxmlformats.org/officeDocument/2006/relationships/image" Target="../media/b2486c3c_86a5_11e9_8101_003048fd731b_f0aaa1c5_2823_11ed_a30f_00259070b487182.jpeg"/><Relationship Id="rId183" Type="http://schemas.openxmlformats.org/officeDocument/2006/relationships/image" Target="../media/b2486c3e_86a5_11e9_8101_003048fd731b_f0aaa1c6_2823_11ed_a30f_00259070b487183.jpeg"/><Relationship Id="rId184" Type="http://schemas.openxmlformats.org/officeDocument/2006/relationships/image" Target="../media/b2486c40_86a5_11e9_8101_003048fd731b_f0aaa1c7_2823_11ed_a30f_00259070b487184.jpeg"/><Relationship Id="rId185" Type="http://schemas.openxmlformats.org/officeDocument/2006/relationships/image" Target="../media/b2486c42_86a5_11e9_8101_003048fd731b_f0aaa1c8_2823_11ed_a30f_00259070b487185.jpeg"/><Relationship Id="rId186" Type="http://schemas.openxmlformats.org/officeDocument/2006/relationships/image" Target="../media/b2486c44_86a5_11e9_8101_003048fd731b_f0aaa1c9_2823_11ed_a30f_00259070b487186.jpeg"/><Relationship Id="rId187" Type="http://schemas.openxmlformats.org/officeDocument/2006/relationships/image" Target="../media/b2486c46_86a5_11e9_8101_003048fd731b_f0aaa1ca_2823_11ed_a30f_00259070b487187.jpeg"/><Relationship Id="rId188" Type="http://schemas.openxmlformats.org/officeDocument/2006/relationships/image" Target="../media/b2486c48_86a5_11e9_8101_003048fd731b_f0aaa1cb_2823_11ed_a30f_00259070b487188.jpeg"/><Relationship Id="rId189" Type="http://schemas.openxmlformats.org/officeDocument/2006/relationships/image" Target="../media/b2486c4a_86a5_11e9_8101_003048fd731b_f0aaa1cc_2823_11ed_a30f_00259070b487189.jpeg"/><Relationship Id="rId190" Type="http://schemas.openxmlformats.org/officeDocument/2006/relationships/image" Target="../media/b2486c4c_86a5_11e9_8101_003048fd731b_f0aaa1cd_2823_11ed_a30f_00259070b487190.jpeg"/><Relationship Id="rId191" Type="http://schemas.openxmlformats.org/officeDocument/2006/relationships/image" Target="../media/60a9d7b4_d53f_11e9_8109_003048fd731b_f0aaa1ce_2823_11ed_a30f_00259070b487191.jpeg"/><Relationship Id="rId192" Type="http://schemas.openxmlformats.org/officeDocument/2006/relationships/image" Target="../media/60a9d7b7_d53f_11e9_8109_003048fd731b_f0aaa1cf_2823_11ed_a30f_00259070b487192.jpeg"/><Relationship Id="rId193" Type="http://schemas.openxmlformats.org/officeDocument/2006/relationships/image" Target="../media/60a9d7ba_d53f_11e9_8109_003048fd731b_f0aaa1d0_2823_11ed_a30f_00259070b487193.jpeg"/><Relationship Id="rId194" Type="http://schemas.openxmlformats.org/officeDocument/2006/relationships/image" Target="../media/60a9d7bc_d53f_11e9_8109_003048fd731b_f0aaa1d1_2823_11ed_a30f_00259070b487194.jpeg"/><Relationship Id="rId195" Type="http://schemas.openxmlformats.org/officeDocument/2006/relationships/image" Target="../media/9bba78e2_de16_11e9_810a_003048fd731b_f0aaa1d2_2823_11ed_a30f_00259070b487195.jpeg"/><Relationship Id="rId196" Type="http://schemas.openxmlformats.org/officeDocument/2006/relationships/image" Target="../media/9bba78e0_de16_11e9_810a_003048fd731b_f0aaa1d3_2823_11ed_a30f_00259070b487196.jpeg"/><Relationship Id="rId197" Type="http://schemas.openxmlformats.org/officeDocument/2006/relationships/image" Target="../media/045bd3b1_dddb_11e9_8109_003048fd731b_f0aaa1d4_2823_11ed_a30f_00259070b487197.jpeg"/><Relationship Id="rId198" Type="http://schemas.openxmlformats.org/officeDocument/2006/relationships/image" Target="../media/ed0146b0_5616_11ef_a611_047c1617b143_4b3c1cee_5a46_11f0_a775_047c1617b143198.jpeg"/><Relationship Id="rId199" Type="http://schemas.openxmlformats.org/officeDocument/2006/relationships/image" Target="../media/ed0146ac_5616_11ef_a611_047c1617b143_4b3c1cec_5a46_11f0_a775_047c1617b143199.jpeg"/><Relationship Id="rId200" Type="http://schemas.openxmlformats.org/officeDocument/2006/relationships/image" Target="../media/ed0146ae_5616_11ef_a611_047c1617b143_4b3c1ced_5a46_11f0_a775_047c1617b143200.jpeg"/><Relationship Id="rId201" Type="http://schemas.openxmlformats.org/officeDocument/2006/relationships/image" Target="../media/b2486c50_86a5_11e9_8101_003048fd731b_f707d85a_2823_11ed_a30f_00259070b487201.jpeg"/><Relationship Id="rId202" Type="http://schemas.openxmlformats.org/officeDocument/2006/relationships/image" Target="../media/b2486c54_86a5_11e9_8101_003048fd731b_f707d85e_2823_11ed_a30f_00259070b487202.jpeg"/><Relationship Id="rId203" Type="http://schemas.openxmlformats.org/officeDocument/2006/relationships/image" Target="../media/b2486c58_86a5_11e9_8101_003048fd731b_f707d862_2823_11ed_a30f_00259070b487203.jpeg"/><Relationship Id="rId204" Type="http://schemas.openxmlformats.org/officeDocument/2006/relationships/image" Target="../media/b2486c5c_86a5_11e9_8101_003048fd731b_f707d866_2823_11ed_a30f_00259070b487204.jpeg"/><Relationship Id="rId205" Type="http://schemas.openxmlformats.org/officeDocument/2006/relationships/image" Target="../media/b2486c60_86a5_11e9_8101_003048fd731b_f707d86a_2823_11ed_a30f_00259070b487205.jpeg"/><Relationship Id="rId206" Type="http://schemas.openxmlformats.org/officeDocument/2006/relationships/image" Target="../media/b2486c64_86a5_11e9_8101_003048fd731b_f707d86e_2823_11ed_a30f_00259070b487206.jpeg"/><Relationship Id="rId207" Type="http://schemas.openxmlformats.org/officeDocument/2006/relationships/image" Target="../media/b2486c68_86a5_11e9_8101_003048fd731b_f707d872_2823_11ed_a30f_00259070b487207.jpeg"/><Relationship Id="rId208" Type="http://schemas.openxmlformats.org/officeDocument/2006/relationships/image" Target="../media/b2486c6c_86a5_11e9_8101_003048fd731b_f707d876_2823_11ed_a30f_00259070b487208.jpeg"/><Relationship Id="rId209" Type="http://schemas.openxmlformats.org/officeDocument/2006/relationships/image" Target="../media/b2486c70_86a5_11e9_8101_003048fd731b_f707d87a_2823_11ed_a30f_00259070b487209.jpeg"/><Relationship Id="rId210" Type="http://schemas.openxmlformats.org/officeDocument/2006/relationships/image" Target="../media/b2486c74_86a5_11e9_8101_003048fd731b_f707d87e_2823_11ed_a30f_00259070b487210.jpeg"/><Relationship Id="rId211" Type="http://schemas.openxmlformats.org/officeDocument/2006/relationships/image" Target="../media/b2486c78_86a5_11e9_8101_003048fd731b_f707d882_2823_11ed_a30f_00259070b487211.jpeg"/><Relationship Id="rId212" Type="http://schemas.openxmlformats.org/officeDocument/2006/relationships/image" Target="../media/b2486c7c_86a5_11e9_8101_003048fd731b_f707d886_2823_11ed_a30f_00259070b487212.jpeg"/><Relationship Id="rId213" Type="http://schemas.openxmlformats.org/officeDocument/2006/relationships/image" Target="../media/b2486c80_86a5_11e9_8101_003048fd731b_f707d88a_2823_11ed_a30f_00259070b487213.jpeg"/><Relationship Id="rId214" Type="http://schemas.openxmlformats.org/officeDocument/2006/relationships/image" Target="../media/b2486c84_86a5_11e9_8101_003048fd731b_f707d88e_2823_11ed_a30f_00259070b487214.jpeg"/><Relationship Id="rId215" Type="http://schemas.openxmlformats.org/officeDocument/2006/relationships/image" Target="../media/b2486c88_86a5_11e9_8101_003048fd731b_f707d892_2823_11ed_a30f_00259070b487215.jpeg"/><Relationship Id="rId216" Type="http://schemas.openxmlformats.org/officeDocument/2006/relationships/image" Target="../media/b2486c8c_86a5_11e9_8101_003048fd731b_f707d896_2823_11ed_a30f_00259070b487216.jpeg"/><Relationship Id="rId217" Type="http://schemas.openxmlformats.org/officeDocument/2006/relationships/image" Target="../media/b8d943d5_86a5_11e9_8101_003048fd731b_f707d89a_2823_11ed_a30f_00259070b487217.jpeg"/><Relationship Id="rId218" Type="http://schemas.openxmlformats.org/officeDocument/2006/relationships/image" Target="../media/b8d943d9_86a5_11e9_8101_003048fd731b_f707d89e_2823_11ed_a30f_00259070b487218.jpeg"/><Relationship Id="rId219" Type="http://schemas.openxmlformats.org/officeDocument/2006/relationships/image" Target="../media/b8d943dd_86a5_11e9_8101_003048fd731b_f707d8a2_2823_11ed_a30f_00259070b487219.jpeg"/><Relationship Id="rId220" Type="http://schemas.openxmlformats.org/officeDocument/2006/relationships/image" Target="../media/b8d943e1_86a5_11e9_8101_003048fd731b_f707d8a6_2823_11ed_a30f_00259070b487220.jpeg"/><Relationship Id="rId221" Type="http://schemas.openxmlformats.org/officeDocument/2006/relationships/image" Target="../media/b8d943e5_86a5_11e9_8101_003048fd731b_f707d8aa_2823_11ed_a30f_00259070b487221.jpeg"/><Relationship Id="rId222" Type="http://schemas.openxmlformats.org/officeDocument/2006/relationships/image" Target="../media/b8d943e9_86a5_11e9_8101_003048fd731b_f707d8ae_2823_11ed_a30f_00259070b487222.jpeg"/><Relationship Id="rId223" Type="http://schemas.openxmlformats.org/officeDocument/2006/relationships/image" Target="../media/b8d943ed_86a5_11e9_8101_003048fd731b_f707d8b2_2823_11ed_a30f_00259070b487223.jpeg"/><Relationship Id="rId224" Type="http://schemas.openxmlformats.org/officeDocument/2006/relationships/image" Target="../media/b8d943f1_86a5_11e9_8101_003048fd731b_f707d8b6_2823_11ed_a30f_00259070b487224.jpeg"/><Relationship Id="rId225" Type="http://schemas.openxmlformats.org/officeDocument/2006/relationships/image" Target="../media/b8d943f5_86a5_11e9_8101_003048fd731b_f707d8ba_2823_11ed_a30f_00259070b487225.jpeg"/><Relationship Id="rId226" Type="http://schemas.openxmlformats.org/officeDocument/2006/relationships/image" Target="../media/b8d943f9_86a5_11e9_8101_003048fd731b_f707d8be_2823_11ed_a30f_00259070b487226.jpeg"/><Relationship Id="rId227" Type="http://schemas.openxmlformats.org/officeDocument/2006/relationships/image" Target="../media/b8d943fd_86a5_11e9_8101_003048fd731b_f707d8c2_2823_11ed_a30f_00259070b487227.jpeg"/><Relationship Id="rId228" Type="http://schemas.openxmlformats.org/officeDocument/2006/relationships/image" Target="../media/b8d94401_86a5_11e9_8101_003048fd731b_f707d8c6_2823_11ed_a30f_00259070b487228.jpeg"/><Relationship Id="rId229" Type="http://schemas.openxmlformats.org/officeDocument/2006/relationships/image" Target="../media/b8d94405_86a5_11e9_8101_003048fd731b_f707d8ca_2823_11ed_a30f_00259070b487229.jpeg"/><Relationship Id="rId230" Type="http://schemas.openxmlformats.org/officeDocument/2006/relationships/image" Target="../media/b8d9440b_86a5_11e9_8101_003048fd731b_f707d8cf_2823_11ed_a30f_00259070b487230.jpeg"/><Relationship Id="rId231" Type="http://schemas.openxmlformats.org/officeDocument/2006/relationships/image" Target="../media/b8d9440f_86a5_11e9_8101_003048fd731b_f707d8d3_2823_11ed_a30f_00259070b487231.jpeg"/><Relationship Id="rId232" Type="http://schemas.openxmlformats.org/officeDocument/2006/relationships/image" Target="../media/b8d94412_86a5_11e9_8101_003048fd731b_f707d8d7_2823_11ed_a30f_00259070b487232.jpeg"/><Relationship Id="rId233" Type="http://schemas.openxmlformats.org/officeDocument/2006/relationships/image" Target="../media/b8d94416_86a5_11e9_8101_003048fd731b_f707d8db_2823_11ed_a30f_00259070b487233.jpeg"/><Relationship Id="rId234" Type="http://schemas.openxmlformats.org/officeDocument/2006/relationships/image" Target="../media/b8d9441a_86a5_11e9_8101_003048fd731b_f707d8df_2823_11ed_a30f_00259070b487234.jpeg"/><Relationship Id="rId235" Type="http://schemas.openxmlformats.org/officeDocument/2006/relationships/image" Target="../media/b8d9441e_86a5_11e9_8101_003048fd731b_f707d8e3_2823_11ed_a30f_00259070b487235.jpeg"/><Relationship Id="rId236" Type="http://schemas.openxmlformats.org/officeDocument/2006/relationships/image" Target="../media/b8d94422_86a5_11e9_8101_003048fd731b_f707d8e7_2823_11ed_a30f_00259070b487236.jpeg"/><Relationship Id="rId237" Type="http://schemas.openxmlformats.org/officeDocument/2006/relationships/image" Target="../media/b8d94425_86a5_11e9_8101_003048fd731b_f707d8eb_2823_11ed_a30f_00259070b487237.jpeg"/><Relationship Id="rId238" Type="http://schemas.openxmlformats.org/officeDocument/2006/relationships/image" Target="../media/b8d94429_86a5_11e9_8101_003048fd731b_f707d8ef_2823_11ed_a30f_00259070b487238.jpeg"/><Relationship Id="rId239" Type="http://schemas.openxmlformats.org/officeDocument/2006/relationships/image" Target="../media/b8d9442d_86a5_11e9_8101_003048fd731b_f707d8f3_2823_11ed_a30f_00259070b487239.jpeg"/><Relationship Id="rId240" Type="http://schemas.openxmlformats.org/officeDocument/2006/relationships/image" Target="../media/b8d94431_86a5_11e9_8101_003048fd731b_f707d8f7_2823_11ed_a30f_00259070b487240.jpeg"/><Relationship Id="rId241" Type="http://schemas.openxmlformats.org/officeDocument/2006/relationships/image" Target="../media/b8d94434_86a5_11e9_8101_003048fd731b_f707d8fb_2823_11ed_a30f_00259070b487241.jpeg"/><Relationship Id="rId242" Type="http://schemas.openxmlformats.org/officeDocument/2006/relationships/image" Target="../media/b8d94438_86a5_11e9_8101_003048fd731b_f707d8ff_2823_11ed_a30f_00259070b487242.jpeg"/><Relationship Id="rId243" Type="http://schemas.openxmlformats.org/officeDocument/2006/relationships/image" Target="../media/b8d9443c_86a5_11e9_8101_003048fd731b_f707d903_2823_11ed_a30f_00259070b487243.jpeg"/><Relationship Id="rId244" Type="http://schemas.openxmlformats.org/officeDocument/2006/relationships/image" Target="../media/b8d94440_86a5_11e9_8101_003048fd731b_f707d907_2823_11ed_a30f_00259070b487244.jpeg"/><Relationship Id="rId245" Type="http://schemas.openxmlformats.org/officeDocument/2006/relationships/image" Target="../media/b8d94444_86a5_11e9_8101_003048fd731b_f707d90b_2823_11ed_a30f_00259070b487245.jpeg"/><Relationship Id="rId246" Type="http://schemas.openxmlformats.org/officeDocument/2006/relationships/image" Target="../media/b8d94448_86a5_11e9_8101_003048fd731b_f707d90f_2823_11ed_a30f_00259070b487246.jpeg"/><Relationship Id="rId247" Type="http://schemas.openxmlformats.org/officeDocument/2006/relationships/image" Target="../media/b8d9444c_86a5_11e9_8101_003048fd731b_f707d913_2823_11ed_a30f_00259070b487247.jpeg"/><Relationship Id="rId248" Type="http://schemas.openxmlformats.org/officeDocument/2006/relationships/image" Target="../media/b8d94450_86a5_11e9_8101_003048fd731b_f707d917_2823_11ed_a30f_00259070b487248.jpeg"/><Relationship Id="rId249" Type="http://schemas.openxmlformats.org/officeDocument/2006/relationships/image" Target="../media/b8d94454_86a5_11e9_8101_003048fd731b_f707d91b_2823_11ed_a30f_00259070b487249.jpeg"/><Relationship Id="rId250" Type="http://schemas.openxmlformats.org/officeDocument/2006/relationships/image" Target="../media/b8d94458_86a5_11e9_8101_003048fd731b_f707d91f_2823_11ed_a30f_00259070b487250.jpeg"/><Relationship Id="rId251" Type="http://schemas.openxmlformats.org/officeDocument/2006/relationships/image" Target="../media/b8d9445c_86a5_11e9_8101_003048fd731b_f707d923_2823_11ed_a30f_00259070b487251.jpeg"/><Relationship Id="rId252" Type="http://schemas.openxmlformats.org/officeDocument/2006/relationships/image" Target="../media/b8d94460_86a5_11e9_8101_003048fd731b_f707d927_2823_11ed_a30f_00259070b487252.jpeg"/><Relationship Id="rId253" Type="http://schemas.openxmlformats.org/officeDocument/2006/relationships/image" Target="../media/b8d94464_86a5_11e9_8101_003048fd731b_f707d92b_2823_11ed_a30f_00259070b487253.jpeg"/><Relationship Id="rId254" Type="http://schemas.openxmlformats.org/officeDocument/2006/relationships/image" Target="../media/b8d94468_86a5_11e9_8101_003048fd731b_f707d92f_2823_11ed_a30f_00259070b487254.jpeg"/><Relationship Id="rId255" Type="http://schemas.openxmlformats.org/officeDocument/2006/relationships/image" Target="../media/b8d9446c_86a5_11e9_8101_003048fd731b_f707d933_2823_11ed_a30f_00259070b487255.jpeg"/><Relationship Id="rId256" Type="http://schemas.openxmlformats.org/officeDocument/2006/relationships/image" Target="../media/b8d94470_86a5_11e9_8101_003048fd731b_f707d937_2823_11ed_a30f_00259070b487256.jpeg"/><Relationship Id="rId257" Type="http://schemas.openxmlformats.org/officeDocument/2006/relationships/image" Target="../media/b8d94474_86a5_11e9_8101_003048fd731b_f707d93b_2823_11ed_a30f_00259070b487257.jpeg"/><Relationship Id="rId258" Type="http://schemas.openxmlformats.org/officeDocument/2006/relationships/image" Target="../media/b8d94478_86a5_11e9_8101_003048fd731b_f707d93f_2823_11ed_a30f_00259070b487258.jpeg"/><Relationship Id="rId259" Type="http://schemas.openxmlformats.org/officeDocument/2006/relationships/image" Target="../media/b8d9447c_86a5_11e9_8101_003048fd731b_f707d943_2823_11ed_a30f_00259070b487259.jpeg"/><Relationship Id="rId260" Type="http://schemas.openxmlformats.org/officeDocument/2006/relationships/image" Target="../media/b8d94480_86a5_11e9_8101_003048fd731b_f707d947_2823_11ed_a30f_00259070b487260.jpeg"/><Relationship Id="rId261" Type="http://schemas.openxmlformats.org/officeDocument/2006/relationships/image" Target="../media/b8d94484_86a5_11e9_8101_003048fd731b_f707d94b_2823_11ed_a30f_00259070b487261.jpeg"/><Relationship Id="rId262" Type="http://schemas.openxmlformats.org/officeDocument/2006/relationships/image" Target="../media/b8d94488_86a5_11e9_8101_003048fd731b_f707d94f_2823_11ed_a30f_00259070b487262.jpeg"/><Relationship Id="rId263" Type="http://schemas.openxmlformats.org/officeDocument/2006/relationships/image" Target="../media/b8d9448c_86a5_11e9_8101_003048fd731b_f707d953_2823_11ed_a30f_00259070b487263.jpeg"/><Relationship Id="rId264" Type="http://schemas.openxmlformats.org/officeDocument/2006/relationships/image" Target="../media/b8d94490_86a5_11e9_8101_003048fd731b_f707d957_2823_11ed_a30f_00259070b487264.jpeg"/><Relationship Id="rId265" Type="http://schemas.openxmlformats.org/officeDocument/2006/relationships/image" Target="../media/b8d94494_86a5_11e9_8101_003048fd731b_f707d95b_2823_11ed_a30f_00259070b487265.jpeg"/><Relationship Id="rId266" Type="http://schemas.openxmlformats.org/officeDocument/2006/relationships/image" Target="../media/b8d94498_86a5_11e9_8101_003048fd731b_f707d95f_2823_11ed_a30f_00259070b487266.jpeg"/><Relationship Id="rId267" Type="http://schemas.openxmlformats.org/officeDocument/2006/relationships/image" Target="../media/b8d9449c_86a5_11e9_8101_003048fd731b_f707d963_2823_11ed_a30f_00259070b487267.jpeg"/><Relationship Id="rId268" Type="http://schemas.openxmlformats.org/officeDocument/2006/relationships/image" Target="../media/b8d944a0_86a5_11e9_8101_003048fd731b_f707d967_2823_11ed_a30f_00259070b487268.jpeg"/><Relationship Id="rId269" Type="http://schemas.openxmlformats.org/officeDocument/2006/relationships/image" Target="../media/b8d944a4_86a5_11e9_8101_003048fd731b_f707d96b_2823_11ed_a30f_00259070b487269.jpeg"/><Relationship Id="rId270" Type="http://schemas.openxmlformats.org/officeDocument/2006/relationships/image" Target="../media/b8d944a8_86a5_11e9_8101_003048fd731b_f707d96f_2823_11ed_a30f_00259070b487270.jpeg"/><Relationship Id="rId271" Type="http://schemas.openxmlformats.org/officeDocument/2006/relationships/image" Target="../media/b8d944ac_86a5_11e9_8101_003048fd731b_f707d973_2823_11ed_a30f_00259070b487271.jpeg"/><Relationship Id="rId272" Type="http://schemas.openxmlformats.org/officeDocument/2006/relationships/image" Target="../media/b8d944b0_86a5_11e9_8101_003048fd731b_fd70e18d_2823_11ed_a30f_00259070b487272.jpeg"/><Relationship Id="rId273" Type="http://schemas.openxmlformats.org/officeDocument/2006/relationships/image" Target="../media/b8d944b4_86a5_11e9_8101_003048fd731b_fd70e191_2823_11ed_a30f_00259070b487273.jpeg"/><Relationship Id="rId274" Type="http://schemas.openxmlformats.org/officeDocument/2006/relationships/image" Target="../media/b8d944b8_86a5_11e9_8101_003048fd731b_fd70e195_2823_11ed_a30f_00259070b487274.jpeg"/><Relationship Id="rId275" Type="http://schemas.openxmlformats.org/officeDocument/2006/relationships/image" Target="../media/b8d944bc_86a5_11e9_8101_003048fd731b_fd70e199_2823_11ed_a30f_00259070b487275.jpeg"/><Relationship Id="rId276" Type="http://schemas.openxmlformats.org/officeDocument/2006/relationships/image" Target="../media/b8d944c0_86a5_11e9_8101_003048fd731b_fd70e19d_2823_11ed_a30f_00259070b487276.jpeg"/><Relationship Id="rId277" Type="http://schemas.openxmlformats.org/officeDocument/2006/relationships/image" Target="../media/b8d944c4_86a5_11e9_8101_003048fd731b_fd70e1a1_2823_11ed_a30f_00259070b487277.jpeg"/><Relationship Id="rId278" Type="http://schemas.openxmlformats.org/officeDocument/2006/relationships/image" Target="../media/b8d944c8_86a5_11e9_8101_003048fd731b_fd70e1a5_2823_11ed_a30f_00259070b487278.jpeg"/><Relationship Id="rId279" Type="http://schemas.openxmlformats.org/officeDocument/2006/relationships/image" Target="../media/b8d944cc_86a5_11e9_8101_003048fd731b_fd70e1a9_2823_11ed_a30f_00259070b487279.jpeg"/><Relationship Id="rId280" Type="http://schemas.openxmlformats.org/officeDocument/2006/relationships/image" Target="../media/b8d944d0_86a5_11e9_8101_003048fd731b_fd70e1ad_2823_11ed_a30f_00259070b487280.jpeg"/><Relationship Id="rId281" Type="http://schemas.openxmlformats.org/officeDocument/2006/relationships/image" Target="../media/b8d944d4_86a5_11e9_8101_003048fd731b_fd70e1b1_2823_11ed_a30f_00259070b487281.jpeg"/><Relationship Id="rId282" Type="http://schemas.openxmlformats.org/officeDocument/2006/relationships/image" Target="../media/b8d944d8_86a5_11e9_8101_003048fd731b_fd70e1b5_2823_11ed_a30f_00259070b487282.jpeg"/><Relationship Id="rId283" Type="http://schemas.openxmlformats.org/officeDocument/2006/relationships/image" Target="../media/b8d944dc_86a5_11e9_8101_003048fd731b_fd70e1b9_2823_11ed_a30f_00259070b487283.jpeg"/><Relationship Id="rId284" Type="http://schemas.openxmlformats.org/officeDocument/2006/relationships/image" Target="../media/b8d944e0_86a5_11e9_8101_003048fd731b_fd70e1bd_2823_11ed_a30f_00259070b487284.jpeg"/><Relationship Id="rId285" Type="http://schemas.openxmlformats.org/officeDocument/2006/relationships/image" Target="../media/b8d944e4_86a5_11e9_8101_003048fd731b_fd70e1c1_2823_11ed_a30f_00259070b487285.jpeg"/><Relationship Id="rId286" Type="http://schemas.openxmlformats.org/officeDocument/2006/relationships/image" Target="../media/b8d944e8_86a5_11e9_8101_003048fd731b_fd70e1c5_2823_11ed_a30f_00259070b487286.jpeg"/><Relationship Id="rId287" Type="http://schemas.openxmlformats.org/officeDocument/2006/relationships/image" Target="../media/b8d944ec_86a5_11e9_8101_003048fd731b_fd70e1c9_2823_11ed_a30f_00259070b487287.jpeg"/><Relationship Id="rId288" Type="http://schemas.openxmlformats.org/officeDocument/2006/relationships/image" Target="../media/b8d944f0_86a5_11e9_8101_003048fd731b_fd70e1cd_2823_11ed_a30f_00259070b487288.jpeg"/><Relationship Id="rId289" Type="http://schemas.openxmlformats.org/officeDocument/2006/relationships/image" Target="../media/b8d944f4_86a5_11e9_8101_003048fd731b_fd70e1d1_2823_11ed_a30f_00259070b487289.jpeg"/><Relationship Id="rId290" Type="http://schemas.openxmlformats.org/officeDocument/2006/relationships/image" Target="../media/b8d944f8_86a5_11e9_8101_003048fd731b_fd70e1d5_2823_11ed_a30f_00259070b487290.jpeg"/><Relationship Id="rId291" Type="http://schemas.openxmlformats.org/officeDocument/2006/relationships/image" Target="../media/b8d944fc_86a5_11e9_8101_003048fd731b_fd70e1d9_2823_11ed_a30f_00259070b487291.jpeg"/><Relationship Id="rId292" Type="http://schemas.openxmlformats.org/officeDocument/2006/relationships/image" Target="../media/b8d94500_86a5_11e9_8101_003048fd731b_fd70e1dd_2823_11ed_a30f_00259070b487292.jpeg"/><Relationship Id="rId293" Type="http://schemas.openxmlformats.org/officeDocument/2006/relationships/image" Target="../media/b8d94504_86a5_11e9_8101_003048fd731b_fd70e1e1_2823_11ed_a30f_00259070b487293.jpeg"/><Relationship Id="rId294" Type="http://schemas.openxmlformats.org/officeDocument/2006/relationships/image" Target="../media/b8d94508_86a5_11e9_8101_003048fd731b_fd70e1e5_2823_11ed_a30f_00259070b487294.jpeg"/><Relationship Id="rId295" Type="http://schemas.openxmlformats.org/officeDocument/2006/relationships/image" Target="../media/b8d9450c_86a5_11e9_8101_003048fd731b_fd70e1e9_2823_11ed_a30f_00259070b487295.jpeg"/><Relationship Id="rId296" Type="http://schemas.openxmlformats.org/officeDocument/2006/relationships/image" Target="../media/b8d94510_86a5_11e9_8101_003048fd731b_fd70e1ed_2823_11ed_a30f_00259070b487296.jpeg"/><Relationship Id="rId297" Type="http://schemas.openxmlformats.org/officeDocument/2006/relationships/image" Target="../media/b8d94514_86a5_11e9_8101_003048fd731b_fd70e1f1_2823_11ed_a30f_00259070b487297.jpeg"/><Relationship Id="rId298" Type="http://schemas.openxmlformats.org/officeDocument/2006/relationships/image" Target="../media/b8d94518_86a5_11e9_8101_003048fd731b_fd70e1f5_2823_11ed_a30f_00259070b487298.jpeg"/><Relationship Id="rId299" Type="http://schemas.openxmlformats.org/officeDocument/2006/relationships/image" Target="../media/b8d9451c_86a5_11e9_8101_003048fd731b_fd70e1f9_2823_11ed_a30f_00259070b487299.jpeg"/><Relationship Id="rId300" Type="http://schemas.openxmlformats.org/officeDocument/2006/relationships/image" Target="../media/b8d94520_86a5_11e9_8101_003048fd731b_fd70e1fd_2823_11ed_a30f_00259070b487300.jpeg"/><Relationship Id="rId301" Type="http://schemas.openxmlformats.org/officeDocument/2006/relationships/image" Target="../media/b8d94524_86a5_11e9_8101_003048fd731b_fd70e201_2823_11ed_a30f_00259070b487301.jpeg"/><Relationship Id="rId302" Type="http://schemas.openxmlformats.org/officeDocument/2006/relationships/image" Target="../media/b8d94528_86a5_11e9_8101_003048fd731b_fd70e205_2823_11ed_a30f_00259070b487302.jpeg"/><Relationship Id="rId303" Type="http://schemas.openxmlformats.org/officeDocument/2006/relationships/image" Target="../media/b8d9452c_86a5_11e9_8101_003048fd731b_fd70e209_2823_11ed_a30f_00259070b487303.jpeg"/><Relationship Id="rId304" Type="http://schemas.openxmlformats.org/officeDocument/2006/relationships/image" Target="../media/b8d94530_86a5_11e9_8101_003048fd731b_fd70e20d_2823_11ed_a30f_00259070b487304.jpeg"/><Relationship Id="rId305" Type="http://schemas.openxmlformats.org/officeDocument/2006/relationships/image" Target="../media/b8d94534_86a5_11e9_8101_003048fd731b_fd70e211_2823_11ed_a30f_00259070b487305.jpeg"/><Relationship Id="rId306" Type="http://schemas.openxmlformats.org/officeDocument/2006/relationships/image" Target="../media/b8d94538_86a5_11e9_8101_003048fd731b_fd70e215_2823_11ed_a30f_00259070b487306.jpeg"/><Relationship Id="rId307" Type="http://schemas.openxmlformats.org/officeDocument/2006/relationships/image" Target="../media/b8d9453c_86a5_11e9_8101_003048fd731b_fd70e219_2823_11ed_a30f_00259070b487307.jpeg"/><Relationship Id="rId308" Type="http://schemas.openxmlformats.org/officeDocument/2006/relationships/image" Target="../media/b8d94540_86a5_11e9_8101_003048fd731b_fd70e21d_2823_11ed_a30f_00259070b487308.jpeg"/><Relationship Id="rId309" Type="http://schemas.openxmlformats.org/officeDocument/2006/relationships/image" Target="../media/b8d94544_86a5_11e9_8101_003048fd731b_fd70e221_2823_11ed_a30f_00259070b487309.jpeg"/><Relationship Id="rId310" Type="http://schemas.openxmlformats.org/officeDocument/2006/relationships/image" Target="../media/b8d94548_86a5_11e9_8101_003048fd731b_fd70e225_2823_11ed_a30f_00259070b487310.jpeg"/><Relationship Id="rId311" Type="http://schemas.openxmlformats.org/officeDocument/2006/relationships/image" Target="../media/b8d9454c_86a5_11e9_8101_003048fd731b_fd70e229_2823_11ed_a30f_00259070b487311.jpeg"/><Relationship Id="rId312" Type="http://schemas.openxmlformats.org/officeDocument/2006/relationships/image" Target="../media/b8d94550_86a5_11e9_8101_003048fd731b_fd70e22d_2823_11ed_a30f_00259070b487312.jpeg"/><Relationship Id="rId313" Type="http://schemas.openxmlformats.org/officeDocument/2006/relationships/image" Target="../media/b8d94554_86a5_11e9_8101_003048fd731b_fd70e231_2823_11ed_a30f_00259070b487313.jpeg"/><Relationship Id="rId314" Type="http://schemas.openxmlformats.org/officeDocument/2006/relationships/image" Target="../media/bfd95b4f_86a5_11e9_8101_003048fd731b_fd70e235_2823_11ed_a30f_00259070b487314.jpeg"/><Relationship Id="rId315" Type="http://schemas.openxmlformats.org/officeDocument/2006/relationships/image" Target="../media/bfd95b52_86a5_11e9_8101_003048fd731b_fd70e239_2823_11ed_a30f_00259070b487315.jpeg"/><Relationship Id="rId316" Type="http://schemas.openxmlformats.org/officeDocument/2006/relationships/image" Target="../media/bfd95b55_86a5_11e9_8101_003048fd731b_fd70e23d_2823_11ed_a30f_00259070b487316.jpeg"/><Relationship Id="rId317" Type="http://schemas.openxmlformats.org/officeDocument/2006/relationships/image" Target="../media/bfd95b58_86a5_11e9_8101_003048fd731b_fd70e241_2823_11ed_a30f_00259070b487317.jpeg"/><Relationship Id="rId318" Type="http://schemas.openxmlformats.org/officeDocument/2006/relationships/image" Target="../media/bfd95b5b_86a5_11e9_8101_003048fd731b_fd70e245_2823_11ed_a30f_00259070b487318.jpeg"/><Relationship Id="rId319" Type="http://schemas.openxmlformats.org/officeDocument/2006/relationships/image" Target="../media/bfd95b5f_86a5_11e9_8101_003048fd731b_fd70e249_2823_11ed_a30f_00259070b487319.jpeg"/><Relationship Id="rId320" Type="http://schemas.openxmlformats.org/officeDocument/2006/relationships/image" Target="../media/bfd95b62_86a5_11e9_8101_003048fd731b_fd70e24d_2823_11ed_a30f_00259070b487320.jpeg"/><Relationship Id="rId321" Type="http://schemas.openxmlformats.org/officeDocument/2006/relationships/image" Target="../media/bfd95b65_86a5_11e9_8101_003048fd731b_fd70e251_2823_11ed_a30f_00259070b487321.jpeg"/><Relationship Id="rId322" Type="http://schemas.openxmlformats.org/officeDocument/2006/relationships/image" Target="../media/bfd95b68_86a5_11e9_8101_003048fd731b_fd70e255_2823_11ed_a30f_00259070b487322.jpeg"/><Relationship Id="rId323" Type="http://schemas.openxmlformats.org/officeDocument/2006/relationships/image" Target="../media/bfd95b6b_86a5_11e9_8101_003048fd731b_fd70e259_2823_11ed_a30f_00259070b487323.jpeg"/><Relationship Id="rId324" Type="http://schemas.openxmlformats.org/officeDocument/2006/relationships/image" Target="../media/bfd95b6e_86a5_11e9_8101_003048fd731b_fd70e25d_2823_11ed_a30f_00259070b487324.jpeg"/><Relationship Id="rId325" Type="http://schemas.openxmlformats.org/officeDocument/2006/relationships/image" Target="../media/bfd95b72_86a5_11e9_8101_003048fd731b_fd70e261_2823_11ed_a30f_00259070b487325.jpeg"/><Relationship Id="rId326" Type="http://schemas.openxmlformats.org/officeDocument/2006/relationships/image" Target="../media/bfd95b76_86a5_11e9_8101_003048fd731b_fd70e265_2823_11ed_a30f_00259070b487326.jpeg"/><Relationship Id="rId327" Type="http://schemas.openxmlformats.org/officeDocument/2006/relationships/image" Target="../media/bfd95b79_86a5_11e9_8101_003048fd731b_fd70e269_2823_11ed_a30f_00259070b487327.jpeg"/><Relationship Id="rId328" Type="http://schemas.openxmlformats.org/officeDocument/2006/relationships/image" Target="../media/bfd95b7c_86a5_11e9_8101_003048fd731b_fd70e26d_2823_11ed_a30f_00259070b487328.jpeg"/><Relationship Id="rId329" Type="http://schemas.openxmlformats.org/officeDocument/2006/relationships/image" Target="../media/bfd95b7f_86a5_11e9_8101_003048fd731b_fd70e271_2823_11ed_a30f_00259070b487329.jpeg"/><Relationship Id="rId330" Type="http://schemas.openxmlformats.org/officeDocument/2006/relationships/image" Target="../media/bfd95b82_86a5_11e9_8101_003048fd731b_fd70e275_2823_11ed_a30f_00259070b487330.jpeg"/><Relationship Id="rId331" Type="http://schemas.openxmlformats.org/officeDocument/2006/relationships/image" Target="../media/bfd95b86_86a5_11e9_8101_003048fd731b_fd70e279_2823_11ed_a30f_00259070b487331.jpeg"/><Relationship Id="rId332" Type="http://schemas.openxmlformats.org/officeDocument/2006/relationships/image" Target="../media/bfd95b8a_86a5_11e9_8101_003048fd731b_fd70e27d_2823_11ed_a30f_00259070b487332.jpeg"/><Relationship Id="rId333" Type="http://schemas.openxmlformats.org/officeDocument/2006/relationships/image" Target="../media/bfd95b8e_86a5_11e9_8101_003048fd731b_fd70e281_2823_11ed_a30f_00259070b487333.jpeg"/><Relationship Id="rId334" Type="http://schemas.openxmlformats.org/officeDocument/2006/relationships/image" Target="../media/65637d48_0b65_11ec_831e_003048fd731b_fd70e285_2823_11ed_a30f_00259070b487334.jpeg"/><Relationship Id="rId335" Type="http://schemas.openxmlformats.org/officeDocument/2006/relationships/image" Target="../media/e1867e63_3767_11ea_810f_003048fd731b_f707d824_2823_11ed_a30f_00259070b487335.jpeg"/><Relationship Id="rId336" Type="http://schemas.openxmlformats.org/officeDocument/2006/relationships/image" Target="../media/e1867e65_3767_11ea_810f_003048fd731b_f707d825_2823_11ed_a30f_00259070b487336.jpeg"/><Relationship Id="rId337" Type="http://schemas.openxmlformats.org/officeDocument/2006/relationships/image" Target="../media/e1867e67_3767_11ea_810f_003048fd731b_f707d826_2823_11ed_a30f_00259070b487337.jpeg"/><Relationship Id="rId338" Type="http://schemas.openxmlformats.org/officeDocument/2006/relationships/image" Target="../media/e1867e69_3767_11ea_810f_003048fd731b_f707d827_2823_11ed_a30f_00259070b487338.jpeg"/><Relationship Id="rId339" Type="http://schemas.openxmlformats.org/officeDocument/2006/relationships/image" Target="../media/e1867e6b_3767_11ea_810f_003048fd731b_f707d828_2823_11ed_a30f_00259070b487339.jpeg"/><Relationship Id="rId340" Type="http://schemas.openxmlformats.org/officeDocument/2006/relationships/image" Target="../media/e1867e6d_3767_11ea_810f_003048fd731b_f707d829_2823_11ed_a30f_00259070b487340.jpeg"/><Relationship Id="rId341" Type="http://schemas.openxmlformats.org/officeDocument/2006/relationships/image" Target="../media/e1867e6f_3767_11ea_810f_003048fd731b_e8722889_518a_11ea_810f_003048fd731b341.jpeg"/><Relationship Id="rId342" Type="http://schemas.openxmlformats.org/officeDocument/2006/relationships/image" Target="../media/e1867e71_3767_11ea_810f_003048fd731b_e872288a_518a_11ea_810f_003048fd731b342.jpeg"/><Relationship Id="rId343" Type="http://schemas.openxmlformats.org/officeDocument/2006/relationships/image" Target="../media/e1867e73_3767_11ea_810f_003048fd731b_e872288b_518a_11ea_810f_003048fd731b343.jpeg"/><Relationship Id="rId344" Type="http://schemas.openxmlformats.org/officeDocument/2006/relationships/image" Target="../media/e1867e75_3767_11ea_810f_003048fd731b_e872288c_518a_11ea_810f_003048fd731b344.jpeg"/><Relationship Id="rId345" Type="http://schemas.openxmlformats.org/officeDocument/2006/relationships/image" Target="../media/e1867e77_3767_11ea_810f_003048fd731b_e872288e_518a_11ea_810f_003048fd731b345.jpeg"/><Relationship Id="rId346" Type="http://schemas.openxmlformats.org/officeDocument/2006/relationships/image" Target="../media/e1867e79_3767_11ea_810f_003048fd731b_e872288d_518a_11ea_810f_003048fd731b346.jpeg"/><Relationship Id="rId347" Type="http://schemas.openxmlformats.org/officeDocument/2006/relationships/image" Target="../media/e1867e7b_3767_11ea_810f_003048fd731b_f707d82a_2823_11ed_a30f_00259070b487347.jpeg"/><Relationship Id="rId348" Type="http://schemas.openxmlformats.org/officeDocument/2006/relationships/image" Target="../media/e1867e7d_3767_11ea_810f_003048fd731b_f707d82b_2823_11ed_a30f_00259070b487348.jpeg"/><Relationship Id="rId349" Type="http://schemas.openxmlformats.org/officeDocument/2006/relationships/image" Target="../media/e1867e7f_3767_11ea_810f_003048fd731b_f707d82c_2823_11ed_a30f_00259070b487349.jpeg"/><Relationship Id="rId350" Type="http://schemas.openxmlformats.org/officeDocument/2006/relationships/image" Target="../media/e1867e81_3767_11ea_810f_003048fd731b_f707d82d_2823_11ed_a30f_00259070b487350.jpeg"/><Relationship Id="rId351" Type="http://schemas.openxmlformats.org/officeDocument/2006/relationships/image" Target="../media/e1867e83_3767_11ea_810f_003048fd731b_f707d82e_2823_11ed_a30f_00259070b487351.jpeg"/><Relationship Id="rId352" Type="http://schemas.openxmlformats.org/officeDocument/2006/relationships/image" Target="../media/e1867e85_3767_11ea_810f_003048fd731b_f707d82f_2823_11ed_a30f_00259070b487352.jpeg"/><Relationship Id="rId353" Type="http://schemas.openxmlformats.org/officeDocument/2006/relationships/image" Target="../media/e1867e87_3767_11ea_810f_003048fd731b_f707d830_2823_11ed_a30f_00259070b487353.jpeg"/><Relationship Id="rId354" Type="http://schemas.openxmlformats.org/officeDocument/2006/relationships/image" Target="../media/e1867e89_3767_11ea_810f_003048fd731b_f707d831_2823_11ed_a30f_00259070b487354.jpeg"/><Relationship Id="rId355" Type="http://schemas.openxmlformats.org/officeDocument/2006/relationships/image" Target="../media/e1867e8b_3767_11ea_810f_003048fd731b_f707d832_2823_11ed_a30f_00259070b487355.jpeg"/><Relationship Id="rId356" Type="http://schemas.openxmlformats.org/officeDocument/2006/relationships/image" Target="../media/e1867e8d_3767_11ea_810f_003048fd731b_f707d833_2823_11ed_a30f_00259070b487356.jpeg"/><Relationship Id="rId357" Type="http://schemas.openxmlformats.org/officeDocument/2006/relationships/image" Target="../media/e1867e8f_3767_11ea_810f_003048fd731b_f707d834_2823_11ed_a30f_00259070b487357.jpeg"/><Relationship Id="rId358" Type="http://schemas.openxmlformats.org/officeDocument/2006/relationships/image" Target="../media/e1867e91_3767_11ea_810f_003048fd731b_f707d835_2823_11ed_a30f_00259070b487358.jpeg"/><Relationship Id="rId359" Type="http://schemas.openxmlformats.org/officeDocument/2006/relationships/image" Target="../media/e1867e93_3767_11ea_810f_003048fd731b_f707d836_2823_11ed_a30f_00259070b487359.jpeg"/><Relationship Id="rId360" Type="http://schemas.openxmlformats.org/officeDocument/2006/relationships/image" Target="../media/e1867e95_3767_11ea_810f_003048fd731b_f707d837_2823_11ed_a30f_00259070b487360.jpeg"/><Relationship Id="rId361" Type="http://schemas.openxmlformats.org/officeDocument/2006/relationships/image" Target="../media/e1867e97_3767_11ea_810f_003048fd731b_f707d838_2823_11ed_a30f_00259070b487361.jpeg"/><Relationship Id="rId362" Type="http://schemas.openxmlformats.org/officeDocument/2006/relationships/image" Target="../media/e1867e99_3767_11ea_810f_003048fd731b_f707d839_2823_11ed_a30f_00259070b487362.jpeg"/><Relationship Id="rId363" Type="http://schemas.openxmlformats.org/officeDocument/2006/relationships/image" Target="../media/e1867e9b_3767_11ea_810f_003048fd731b_f707d83a_2823_11ed_a30f_00259070b487363.jpeg"/><Relationship Id="rId364" Type="http://schemas.openxmlformats.org/officeDocument/2006/relationships/image" Target="../media/e1867e9d_3767_11ea_810f_003048fd731b_f707d83b_2823_11ed_a30f_00259070b487364.jpeg"/><Relationship Id="rId365" Type="http://schemas.openxmlformats.org/officeDocument/2006/relationships/image" Target="../media/e1867e9f_3767_11ea_810f_003048fd731b_f707d83c_2823_11ed_a30f_00259070b487365.jpeg"/><Relationship Id="rId366" Type="http://schemas.openxmlformats.org/officeDocument/2006/relationships/image" Target="../media/e1867ea1_3767_11ea_810f_003048fd731b_f707d83d_2823_11ed_a30f_00259070b487366.jpeg"/><Relationship Id="rId367" Type="http://schemas.openxmlformats.org/officeDocument/2006/relationships/image" Target="../media/e1867ea3_3767_11ea_810f_003048fd731b_f707d83e_2823_11ed_a30f_00259070b487367.jpeg"/><Relationship Id="rId368" Type="http://schemas.openxmlformats.org/officeDocument/2006/relationships/image" Target="../media/e1867ea5_3767_11ea_810f_003048fd731b_f707d83f_2823_11ed_a30f_00259070b487368.jpeg"/><Relationship Id="rId369" Type="http://schemas.openxmlformats.org/officeDocument/2006/relationships/image" Target="../media/e1867ea7_3767_11ea_810f_003048fd731b_f707d840_2823_11ed_a30f_00259070b487369.jpeg"/><Relationship Id="rId370" Type="http://schemas.openxmlformats.org/officeDocument/2006/relationships/image" Target="../media/e1867ea9_3767_11ea_810f_003048fd731b_f707d841_2823_11ed_a30f_00259070b487370.jpeg"/><Relationship Id="rId371" Type="http://schemas.openxmlformats.org/officeDocument/2006/relationships/image" Target="../media/e1867eab_3767_11ea_810f_003048fd731b_f707d842_2823_11ed_a30f_00259070b487371.jpeg"/><Relationship Id="rId372" Type="http://schemas.openxmlformats.org/officeDocument/2006/relationships/image" Target="../media/e1867ead_3767_11ea_810f_003048fd731b_f707d843_2823_11ed_a30f_00259070b487372.jpeg"/><Relationship Id="rId373" Type="http://schemas.openxmlformats.org/officeDocument/2006/relationships/image" Target="../media/e1867eaf_3767_11ea_810f_003048fd731b_f707d844_2823_11ed_a30f_00259070b487373.jpeg"/><Relationship Id="rId374" Type="http://schemas.openxmlformats.org/officeDocument/2006/relationships/image" Target="../media/e1867eb1_3767_11ea_810f_003048fd731b_f707d845_2823_11ed_a30f_00259070b487374.jpeg"/><Relationship Id="rId375" Type="http://schemas.openxmlformats.org/officeDocument/2006/relationships/image" Target="../media/e1867eb3_3767_11ea_810f_003048fd731b_f707d846_2823_11ed_a30f_00259070b487375.jpeg"/><Relationship Id="rId376" Type="http://schemas.openxmlformats.org/officeDocument/2006/relationships/image" Target="../media/e1867eb5_3767_11ea_810f_003048fd731b_f707d847_2823_11ed_a30f_00259070b487376.jpeg"/><Relationship Id="rId377" Type="http://schemas.openxmlformats.org/officeDocument/2006/relationships/image" Target="../media/e1867eb7_3767_11ea_810f_003048fd731b_f707d848_2823_11ed_a30f_00259070b487377.jpeg"/><Relationship Id="rId378" Type="http://schemas.openxmlformats.org/officeDocument/2006/relationships/image" Target="../media/e1867eb9_3767_11ea_810f_003048fd731b_f707d849_2823_11ed_a30f_00259070b487378.jpeg"/><Relationship Id="rId379" Type="http://schemas.openxmlformats.org/officeDocument/2006/relationships/image" Target="../media/e1867ebb_3767_11ea_810f_003048fd731b_f707d84a_2823_11ed_a30f_00259070b487379.jpeg"/><Relationship Id="rId380" Type="http://schemas.openxmlformats.org/officeDocument/2006/relationships/image" Target="../media/e1867ebd_3767_11ea_810f_003048fd731b_f707d84b_2823_11ed_a30f_00259070b487380.jpeg"/><Relationship Id="rId381" Type="http://schemas.openxmlformats.org/officeDocument/2006/relationships/image" Target="../media/e1867ebf_3767_11ea_810f_003048fd731b_f707d84c_2823_11ed_a30f_00259070b487381.jpeg"/><Relationship Id="rId382" Type="http://schemas.openxmlformats.org/officeDocument/2006/relationships/image" Target="../media/e1867ec1_3767_11ea_810f_003048fd731b_f707d84d_2823_11ed_a30f_00259070b487382.jpeg"/><Relationship Id="rId383" Type="http://schemas.openxmlformats.org/officeDocument/2006/relationships/image" Target="../media/64b52e2b_7c9e_11ea_8111_003048fd731b_f707d84e_2823_11ed_a30f_00259070b487383.jpeg"/><Relationship Id="rId384" Type="http://schemas.openxmlformats.org/officeDocument/2006/relationships/image" Target="../media/64b52e2d_7c9e_11ea_8111_003048fd731b_f707d84f_2823_11ed_a30f_00259070b487384.jpeg"/><Relationship Id="rId385" Type="http://schemas.openxmlformats.org/officeDocument/2006/relationships/image" Target="../media/64b52e2f_7c9e_11ea_8111_003048fd731b_f707d850_2823_11ed_a30f_00259070b487385.jpeg"/><Relationship Id="rId386" Type="http://schemas.openxmlformats.org/officeDocument/2006/relationships/image" Target="../media/64b52e31_7c9e_11ea_8111_003048fd731b_f707d851_2823_11ed_a30f_00259070b487386.jpeg"/><Relationship Id="rId387" Type="http://schemas.openxmlformats.org/officeDocument/2006/relationships/image" Target="../media/64b52e33_7c9e_11ea_8111_003048fd731b_f707d852_2823_11ed_a30f_00259070b487387.jpeg"/><Relationship Id="rId388" Type="http://schemas.openxmlformats.org/officeDocument/2006/relationships/image" Target="../media/64b52e35_7c9e_11ea_8111_003048fd731b_f707d853_2823_11ed_a30f_00259070b487388.jpeg"/><Relationship Id="rId389" Type="http://schemas.openxmlformats.org/officeDocument/2006/relationships/image" Target="../media/64b52e37_7c9e_11ea_8111_003048fd731b_f707d854_2823_11ed_a30f_00259070b487389.jpeg"/><Relationship Id="rId390" Type="http://schemas.openxmlformats.org/officeDocument/2006/relationships/image" Target="../media/64b52e39_7c9e_11ea_8111_003048fd731b_f707d855_2823_11ed_a30f_00259070b487390.jpeg"/><Relationship Id="rId391" Type="http://schemas.openxmlformats.org/officeDocument/2006/relationships/image" Target="../media/64b52e3b_7c9e_11ea_8111_003048fd731b_f707d856_2823_11ed_a30f_00259070b487391.jpeg"/><Relationship Id="rId392" Type="http://schemas.openxmlformats.org/officeDocument/2006/relationships/image" Target="../media/64b52e3d_7c9e_11ea_8111_003048fd731b_f707d857_2823_11ed_a30f_00259070b487392.jpeg"/><Relationship Id="rId393" Type="http://schemas.openxmlformats.org/officeDocument/2006/relationships/image" Target="../media/64b52e3f_7c9e_11ea_8111_003048fd731b_f707d858_2823_11ed_a30f_00259070b487393.jpeg"/><Relationship Id="rId394" Type="http://schemas.openxmlformats.org/officeDocument/2006/relationships/image" Target="../media/1fcb31ba_5f91_11eb_822d_003048fd731b_f707d859_2823_11ed_a30f_00259070b48739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6" name="Image_104" descr="Image_10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7" name="Image_105" descr="Image_10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8" name="Image_106" descr="Image_10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4" name="Image_112" descr="Image_11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5" name="Image_113" descr="Image_11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1" name="Image_160" descr="Image_16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2" name="Image_161" descr="Image_16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3" name="Image_162" descr="Image_16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4" name="Image_163" descr="Image_16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5" name="Image_164" descr="Image_16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6" name="Image_165" descr="Image_16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7" name="Image_166" descr="Image_16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8" name="Image_167" descr="Image_16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9" name="Image_168" descr="Image_16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0" name="Image_169" descr="Image_16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1" name="Image_170" descr="Image_17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2" name="Image_171" descr="Image_17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3" name="Image_172" descr="Image_17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4" name="Image_173" descr="Image_17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5" name="Image_174" descr="Image_17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6" name="Image_175" descr="Image_17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7" name="Image_176" descr="Image_17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8" name="Image_177" descr="Image_17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9" name="Image_178" descr="Image_17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0" name="Image_179" descr="Image_17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1" name="Image_180" descr="Image_18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2" name="Image_181" descr="Image_18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3" name="Image_182" descr="Image_18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4" name="Image_183" descr="Image_18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5" name="Image_184" descr="Image_18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6" name="Image_185" descr="Image_18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7" name="Image_186" descr="Image_18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8" name="Image_187" descr="Image_18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9" name="Image_188" descr="Image_18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0" name="Image_189" descr="Image_18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1" name="Image_190" descr="Image_19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2" name="Image_191" descr="Image_19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3" name="Image_192" descr="Image_19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4" name="Image_193" descr="Image_19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5" name="Image_194" descr="Image_19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6" name="Image_195" descr="Image_19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7" name="Image_196" descr="Image_19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8" name="Image_197" descr="Image_19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9" name="Image_198" descr="Image_19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0" name="Image_199" descr="Image_19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1" name="Image_200" descr="Image_20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2" name="Image_201" descr="Image_20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3" name="Image_202" descr="Image_20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4" name="Image_203" descr="Image_20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5" name="Image_204" descr="Image_20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6" name="Image_205" descr="Image_20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7" name="Image_206" descr="Image_20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8" name="Image_207" descr="Image_20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9" name="Image_208" descr="Image_20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0" name="Image_209" descr="Image_20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1" name="Image_212" descr="Image_21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2" name="Image_213" descr="Image_21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3" name="Image_214" descr="Image_21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4" name="Image_215" descr="Image_21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5" name="Image_216" descr="Image_21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6" name="Image_217" descr="Image_21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7" name="Image_218" descr="Image_21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8" name="Image_219" descr="Image_21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9" name="Image_220" descr="Image_22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0" name="Image_221" descr="Image_22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1" name="Image_222" descr="Image_22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2" name="Image_223" descr="Image_22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3" name="Image_224" descr="Image_224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4" name="Image_225" descr="Image_225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5" name="Image_226" descr="Image_226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6" name="Image_227" descr="Image_227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7" name="Image_228" descr="Image_228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8" name="Image_229" descr="Image_229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9" name="Image_230" descr="Image_230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0" name="Image_231" descr="Image_231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1" name="Image_232" descr="Image_232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2" name="Image_233" descr="Image_233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3" name="Image_234" descr="Image_234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4" name="Image_235" descr="Image_235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5" name="Image_236" descr="Image_236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6" name="Image_237" descr="Image_23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7" name="Image_238" descr="Image_238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8" name="Image_239" descr="Image_239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9" name="Image_240" descr="Image_240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0" name="Image_241" descr="Image_241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1" name="Image_242" descr="Image_242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2" name="Image_243" descr="Image_243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3" name="Image_244" descr="Image_244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4" name="Image_245" descr="Image_245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5" name="Image_246" descr="Image_246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6" name="Image_247" descr="Image_24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7" name="Image_248" descr="Image_24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8" name="Image_249" descr="Image_24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9" name="Image_250" descr="Image_25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0" name="Image_251" descr="Image_251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1" name="Image_252" descr="Image_252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2" name="Image_253" descr="Image_253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3" name="Image_254" descr="Image_254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4" name="Image_255" descr="Image_255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5" name="Image_256" descr="Image_256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6" name="Image_257" descr="Image_257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7" name="Image_258" descr="Image_258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8" name="Image_259" descr="Image_259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9" name="Image_260" descr="Image_260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0" name="Image_261" descr="Image_26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1" name="Image_262" descr="Image_26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2" name="Image_263" descr="Image_263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3" name="Image_264" descr="Image_264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4" name="Image_265" descr="Image_265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5" name="Image_266" descr="Image_266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6" name="Image_267" descr="Image_267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7" name="Image_268" descr="Image_268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8" name="Image_269" descr="Image_26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9" name="Image_270" descr="Image_27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0" name="Image_271" descr="Image_271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1" name="Image_272" descr="Image_272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2" name="Image_273" descr="Image_273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3" name="Image_274" descr="Image_27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4" name="Image_275" descr="Image_275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5" name="Image_276" descr="Image_276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6" name="Image_277" descr="Image_277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7" name="Image_278" descr="Image_278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8" name="Image_279" descr="Image_279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9" name="Image_280" descr="Image_280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0" name="Image_281" descr="Image_281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1" name="Image_282" descr="Image_282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2" name="Image_283" descr="Image_283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3" name="Image_284" descr="Image_284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4" name="Image_285" descr="Image_285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5" name="Image_286" descr="Image_286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6" name="Image_287" descr="Image_287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7" name="Image_288" descr="Image_288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8" name="Image_289" descr="Image_289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9" name="Image_290" descr="Image_290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0" name="Image_291" descr="Image_291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1" name="Image_292" descr="Image_292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2" name="Image_293" descr="Image_293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3" name="Image_294" descr="Image_294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4" name="Image_295" descr="Image_295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5" name="Image_296" descr="Image_296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6" name="Image_297" descr="Image_297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7" name="Image_298" descr="Image_298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8" name="Image_299" descr="Image_299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9" name="Image_300" descr="Image_300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0" name="Image_301" descr="Image_301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1" name="Image_302" descr="Image_302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2" name="Image_303" descr="Image_303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3" name="Image_304" descr="Image_304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4" name="Image_305" descr="Image_30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5" name="Image_306" descr="Image_30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6" name="Image_307" descr="Image_30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7" name="Image_308" descr="Image_308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8" name="Image_309" descr="Image_309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9" name="Image_310" descr="Image_31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0" name="Image_311" descr="Image_311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1" name="Image_312" descr="Image_312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2" name="Image_313" descr="Image_313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3" name="Image_314" descr="Image_314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4" name="Image_315" descr="Image_315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5" name="Image_316" descr="Image_316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6" name="Image_317" descr="Image_317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7" name="Image_318" descr="Image_318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8" name="Image_319" descr="Image_319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9" name="Image_320" descr="Image_320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0" name="Image_321" descr="Image_321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1" name="Image_322" descr="Image_322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2" name="Image_323" descr="Image_323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3" name="Image_324" descr="Image_324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4" name="Image_325" descr="Image_325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5" name="Image_326" descr="Image_326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6" name="Image_327" descr="Image_327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7" name="Image_328" descr="Image_328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8" name="Image_329" descr="Image_329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9" name="Image_330" descr="Image_330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0" name="Image_331" descr="Image_331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1" name="Image_332" descr="Image_332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2" name="Image_333" descr="Image_333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3" name="Image_334" descr="Image_334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4" name="Image_335" descr="Image_335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5" name="Image_336" descr="Image_336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6" name="Image_337" descr="Image_337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7" name="Image_338" descr="Image_338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8" name="Image_339" descr="Image_339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9" name="Image_340" descr="Image_340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0" name="Image_341" descr="Image_341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1" name="Image_342" descr="Image_342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2" name="Image_343" descr="Image_343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3" name="Image_344" descr="Image_34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4" name="Image_345" descr="Image_34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5" name="Image_347" descr="Image_347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6" name="Image_348" descr="Image_348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7" name="Image_349" descr="Image_349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8" name="Image_350" descr="Image_350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9" name="Image_351" descr="Image_351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0" name="Image_352" descr="Image_352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1" name="Image_353" descr="Image_353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2" name="Image_354" descr="Image_354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3" name="Image_355" descr="Image_355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4" name="Image_356" descr="Image_356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5" name="Image_357" descr="Image_357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6" name="Image_358" descr="Image_358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7" name="Image_359" descr="Image_359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8" name="Image_360" descr="Image_360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9" name="Image_361" descr="Image_361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0" name="Image_362" descr="Image_362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1" name="Image_363" descr="Image_363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2" name="Image_364" descr="Image_364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3" name="Image_365" descr="Image_365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4" name="Image_366" descr="Image_366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5" name="Image_367" descr="Image_367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6" name="Image_368" descr="Image_368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7" name="Image_369" descr="Image_369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8" name="Image_370" descr="Image_370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9" name="Image_371" descr="Image_371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0" name="Image_372" descr="Image_372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1" name="Image_373" descr="Image_373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2" name="Image_374" descr="Image_374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3" name="Image_375" descr="Image_375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4" name="Image_376" descr="Image_376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5" name="Image_377" descr="Image_377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6" name="Image_378" descr="Image_37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7" name="Image_379" descr="Image_379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8" name="Image_380" descr="Image_380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9" name="Image_381" descr="Image_381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0" name="Image_382" descr="Image_38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1" name="Image_383" descr="Image_38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2" name="Image_384" descr="Image_38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3" name="Image_385" descr="Image_38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4" name="Image_386" descr="Image_38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5" name="Image_387" descr="Image_38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6" name="Image_388" descr="Image_38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7" name="Image_389" descr="Image_38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8" name="Image_390" descr="Image_390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9" name="Image_391" descr="Image_391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0" name="Image_392" descr="Image_392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1" name="Image_393" descr="Image_393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2" name="Image_394" descr="Image_394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3" name="Image_395" descr="Image_395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4" name="Image_396" descr="Image_396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5" name="Image_397" descr="Image_397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6" name="Image_398" descr="Image_398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7" name="Image_399" descr="Image_399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8" name="Image_400" descr="Image_400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9" name="Image_401" descr="Image_401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0" name="Image_402" descr="Image_402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1" name="Image_403" descr="Image_403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2" name="Image_404" descr="Image_404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3" name="Image_405" descr="Image_405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4" name="Image_406" descr="Image_406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823086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J5*63.96</f>
        <v>0</v>
      </c>
      <c r="L5" s="5"/>
    </row>
    <row r="6" spans="1:12" customHeight="1" ht="105" outlineLevel="4">
      <c r="A6" s="1"/>
      <c r="B6" s="1">
        <v>819451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J6*96.69</f>
        <v>0</v>
      </c>
      <c r="L6" s="5"/>
    </row>
    <row r="7" spans="1:12" customHeight="1" ht="105" outlineLevel="4">
      <c r="A7" s="1"/>
      <c r="B7" s="1">
        <v>826655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J7*185.94</f>
        <v>0</v>
      </c>
      <c r="L7" s="5"/>
    </row>
    <row r="8" spans="1:12" customHeight="1" ht="105" outlineLevel="4">
      <c r="A8" s="1"/>
      <c r="B8" s="1">
        <v>826656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J8*290.06</f>
        <v>0</v>
      </c>
      <c r="L8" s="5"/>
    </row>
    <row r="9" spans="1:12" customHeight="1" ht="105" outlineLevel="4">
      <c r="A9" s="1"/>
      <c r="B9" s="1">
        <v>827847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J9*65.45</f>
        <v>0</v>
      </c>
      <c r="L9" s="5"/>
    </row>
    <row r="10" spans="1:12" outlineLevel="2">
      <c r="A10" s="8" t="s">
        <v>35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819441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40</v>
      </c>
      <c r="H11" s="2" t="s">
        <v>41</v>
      </c>
      <c r="I11" s="1">
        <v>0</v>
      </c>
      <c r="J11" s="3" t="s">
        <v>18</v>
      </c>
      <c r="K11" s="2" t="str">
        <f>J11*125.00</f>
        <v>0</v>
      </c>
      <c r="L11" s="5"/>
    </row>
    <row r="12" spans="1:12" customHeight="1" ht="105" outlineLevel="4">
      <c r="A12" s="1"/>
      <c r="B12" s="1">
        <v>819442</v>
      </c>
      <c r="C12" s="1" t="s">
        <v>42</v>
      </c>
      <c r="D12" s="1" t="s">
        <v>43</v>
      </c>
      <c r="E12" s="2" t="s">
        <v>44</v>
      </c>
      <c r="F12" s="2" t="s">
        <v>39</v>
      </c>
      <c r="G12" s="2" t="s">
        <v>45</v>
      </c>
      <c r="H12" s="2" t="s">
        <v>41</v>
      </c>
      <c r="I12" s="1">
        <v>0</v>
      </c>
      <c r="J12" s="3" t="s">
        <v>18</v>
      </c>
      <c r="K12" s="2" t="str">
        <f>J12*125.00</f>
        <v>0</v>
      </c>
      <c r="L12" s="5"/>
    </row>
    <row r="13" spans="1:12" customHeight="1" ht="105" outlineLevel="4">
      <c r="A13" s="1"/>
      <c r="B13" s="1">
        <v>819443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45</v>
      </c>
      <c r="H13" s="2">
        <v>0</v>
      </c>
      <c r="I13" s="1">
        <v>0</v>
      </c>
      <c r="J13" s="3" t="s">
        <v>18</v>
      </c>
      <c r="K13" s="2" t="str">
        <f>J13*160.00</f>
        <v>0</v>
      </c>
      <c r="L13" s="5"/>
    </row>
    <row r="14" spans="1:12" customHeight="1" ht="105" outlineLevel="4">
      <c r="A14" s="1"/>
      <c r="B14" s="1">
        <v>819444</v>
      </c>
      <c r="C14" s="1" t="s">
        <v>50</v>
      </c>
      <c r="D14" s="1" t="s">
        <v>51</v>
      </c>
      <c r="E14" s="2" t="s">
        <v>52</v>
      </c>
      <c r="F14" s="2" t="s">
        <v>53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J14*311.00</f>
        <v>0</v>
      </c>
      <c r="L14" s="5"/>
    </row>
    <row r="15" spans="1:12" customHeight="1" ht="105" outlineLevel="4">
      <c r="A15" s="1"/>
      <c r="B15" s="1">
        <v>819445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58</v>
      </c>
      <c r="H15" s="2">
        <v>0</v>
      </c>
      <c r="I15" s="1">
        <v>0</v>
      </c>
      <c r="J15" s="3" t="s">
        <v>18</v>
      </c>
      <c r="K15" s="2" t="str">
        <f>J15*435.00</f>
        <v>0</v>
      </c>
      <c r="L15" s="5"/>
    </row>
    <row r="16" spans="1:12" customHeight="1" ht="105" outlineLevel="4">
      <c r="A16" s="1"/>
      <c r="B16" s="1">
        <v>819446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J16*676.00</f>
        <v>0</v>
      </c>
      <c r="L16" s="5"/>
    </row>
    <row r="17" spans="1:12" customHeight="1" ht="105" outlineLevel="4">
      <c r="A17" s="1"/>
      <c r="B17" s="1">
        <v>824456</v>
      </c>
      <c r="C17" s="1" t="s">
        <v>63</v>
      </c>
      <c r="D17" s="1" t="s">
        <v>64</v>
      </c>
      <c r="E17" s="2" t="s">
        <v>65</v>
      </c>
      <c r="F17" s="2" t="s">
        <v>39</v>
      </c>
      <c r="G17" s="2" t="s">
        <v>17</v>
      </c>
      <c r="H17" s="2" t="s">
        <v>40</v>
      </c>
      <c r="I17" s="1">
        <v>0</v>
      </c>
      <c r="J17" s="3" t="s">
        <v>18</v>
      </c>
      <c r="K17" s="2" t="str">
        <f>J17*125.00</f>
        <v>0</v>
      </c>
      <c r="L17" s="5"/>
    </row>
    <row r="18" spans="1:12" customHeight="1" ht="105" outlineLevel="4">
      <c r="A18" s="1"/>
      <c r="B18" s="1">
        <v>824457</v>
      </c>
      <c r="C18" s="1" t="s">
        <v>66</v>
      </c>
      <c r="D18" s="1" t="s">
        <v>67</v>
      </c>
      <c r="E18" s="2" t="s">
        <v>68</v>
      </c>
      <c r="F18" s="2" t="s">
        <v>39</v>
      </c>
      <c r="G18" s="2" t="s">
        <v>17</v>
      </c>
      <c r="H18" s="2" t="s">
        <v>40</v>
      </c>
      <c r="I18" s="1">
        <v>0</v>
      </c>
      <c r="J18" s="3" t="s">
        <v>18</v>
      </c>
      <c r="K18" s="2" t="str">
        <f>J18*125.00</f>
        <v>0</v>
      </c>
      <c r="L18" s="5"/>
    </row>
    <row r="19" spans="1:12" customHeight="1" ht="105" outlineLevel="4">
      <c r="A19" s="1"/>
      <c r="B19" s="1">
        <v>824458</v>
      </c>
      <c r="C19" s="1" t="s">
        <v>69</v>
      </c>
      <c r="D19" s="1" t="s">
        <v>70</v>
      </c>
      <c r="E19" s="2" t="s">
        <v>71</v>
      </c>
      <c r="F19" s="2" t="s">
        <v>39</v>
      </c>
      <c r="G19" s="2" t="s">
        <v>17</v>
      </c>
      <c r="H19" s="2" t="s">
        <v>45</v>
      </c>
      <c r="I19" s="1">
        <v>0</v>
      </c>
      <c r="J19" s="3" t="s">
        <v>18</v>
      </c>
      <c r="K19" s="2" t="str">
        <f>J19*125.00</f>
        <v>0</v>
      </c>
      <c r="L19" s="5"/>
    </row>
    <row r="20" spans="1:12" customHeight="1" ht="105" outlineLevel="4">
      <c r="A20" s="1"/>
      <c r="B20" s="1">
        <v>824459</v>
      </c>
      <c r="C20" s="1" t="s">
        <v>72</v>
      </c>
      <c r="D20" s="1" t="s">
        <v>73</v>
      </c>
      <c r="E20" s="2" t="s">
        <v>74</v>
      </c>
      <c r="F20" s="2" t="s">
        <v>49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J20*160.00</f>
        <v>0</v>
      </c>
      <c r="L20" s="5"/>
    </row>
    <row r="21" spans="1:12" customHeight="1" ht="105" outlineLevel="4">
      <c r="A21" s="1"/>
      <c r="B21" s="1">
        <v>824460</v>
      </c>
      <c r="C21" s="1" t="s">
        <v>75</v>
      </c>
      <c r="D21" s="1" t="s">
        <v>76</v>
      </c>
      <c r="E21" s="2" t="s">
        <v>77</v>
      </c>
      <c r="F21" s="2" t="s">
        <v>49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J21*160.00</f>
        <v>0</v>
      </c>
      <c r="L21" s="5"/>
    </row>
    <row r="22" spans="1:12" customHeight="1" ht="105" outlineLevel="4">
      <c r="A22" s="1"/>
      <c r="B22" s="1">
        <v>824461</v>
      </c>
      <c r="C22" s="1" t="s">
        <v>78</v>
      </c>
      <c r="D22" s="1" t="s">
        <v>79</v>
      </c>
      <c r="E22" s="2" t="s">
        <v>80</v>
      </c>
      <c r="F22" s="2" t="s">
        <v>49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J22*160.00</f>
        <v>0</v>
      </c>
      <c r="L22" s="5"/>
    </row>
    <row r="23" spans="1:12" customHeight="1" ht="105" outlineLevel="4">
      <c r="A23" s="1"/>
      <c r="B23" s="1">
        <v>824462</v>
      </c>
      <c r="C23" s="1" t="s">
        <v>81</v>
      </c>
      <c r="D23" s="1" t="s">
        <v>82</v>
      </c>
      <c r="E23" s="2" t="s">
        <v>83</v>
      </c>
      <c r="F23" s="2" t="s">
        <v>53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J23*311.00</f>
        <v>0</v>
      </c>
      <c r="L23" s="5"/>
    </row>
    <row r="24" spans="1:12" customHeight="1" ht="105" outlineLevel="4">
      <c r="A24" s="1"/>
      <c r="B24" s="1">
        <v>824463</v>
      </c>
      <c r="C24" s="1" t="s">
        <v>84</v>
      </c>
      <c r="D24" s="1" t="s">
        <v>85</v>
      </c>
      <c r="E24" s="2" t="s">
        <v>86</v>
      </c>
      <c r="F24" s="2" t="s">
        <v>53</v>
      </c>
      <c r="G24" s="2">
        <v>0</v>
      </c>
      <c r="H24" s="2">
        <v>0</v>
      </c>
      <c r="I24" s="1">
        <v>0</v>
      </c>
      <c r="J24" s="3" t="s">
        <v>18</v>
      </c>
      <c r="K24" s="2" t="str">
        <f>J24*311.00</f>
        <v>0</v>
      </c>
      <c r="L24" s="5"/>
    </row>
    <row r="25" spans="1:12" customHeight="1" ht="105" outlineLevel="4">
      <c r="A25" s="1"/>
      <c r="B25" s="1">
        <v>824464</v>
      </c>
      <c r="C25" s="1" t="s">
        <v>87</v>
      </c>
      <c r="D25" s="1" t="s">
        <v>88</v>
      </c>
      <c r="E25" s="2" t="s">
        <v>89</v>
      </c>
      <c r="F25" s="2" t="s">
        <v>57</v>
      </c>
      <c r="G25" s="2" t="s">
        <v>58</v>
      </c>
      <c r="H25" s="2" t="s">
        <v>90</v>
      </c>
      <c r="I25" s="1">
        <v>0</v>
      </c>
      <c r="J25" s="3" t="s">
        <v>18</v>
      </c>
      <c r="K25" s="2" t="str">
        <f>J25*435.00</f>
        <v>0</v>
      </c>
      <c r="L25" s="5"/>
    </row>
    <row r="26" spans="1:12" customHeight="1" ht="105" outlineLevel="4">
      <c r="A26" s="1"/>
      <c r="B26" s="1">
        <v>824465</v>
      </c>
      <c r="C26" s="1" t="s">
        <v>91</v>
      </c>
      <c r="D26" s="1" t="s">
        <v>92</v>
      </c>
      <c r="E26" s="2" t="s">
        <v>93</v>
      </c>
      <c r="F26" s="2" t="s">
        <v>57</v>
      </c>
      <c r="G26" s="2">
        <v>0</v>
      </c>
      <c r="H26" s="2">
        <v>0</v>
      </c>
      <c r="I26" s="1">
        <v>0</v>
      </c>
      <c r="J26" s="3" t="s">
        <v>18</v>
      </c>
      <c r="K26" s="2" t="str">
        <f>J26*435.00</f>
        <v>0</v>
      </c>
      <c r="L26" s="5"/>
    </row>
    <row r="27" spans="1:12" outlineLevel="2">
      <c r="A27" s="8" t="s">
        <v>94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827848</v>
      </c>
      <c r="C28" s="1" t="s">
        <v>95</v>
      </c>
      <c r="D28" s="1" t="s">
        <v>96</v>
      </c>
      <c r="E28" s="2" t="s">
        <v>97</v>
      </c>
      <c r="F28" s="2" t="s">
        <v>98</v>
      </c>
      <c r="G28" s="2" t="s">
        <v>17</v>
      </c>
      <c r="H28" s="2">
        <v>0</v>
      </c>
      <c r="I28" s="1">
        <v>0</v>
      </c>
      <c r="J28" s="3" t="s">
        <v>18</v>
      </c>
      <c r="K28" s="2" t="str">
        <f>J28*90.74</f>
        <v>0</v>
      </c>
      <c r="L28" s="5"/>
    </row>
    <row r="29" spans="1:12" customHeight="1" ht="105" outlineLevel="4">
      <c r="A29" s="1"/>
      <c r="B29" s="1">
        <v>824004</v>
      </c>
      <c r="C29" s="1" t="s">
        <v>99</v>
      </c>
      <c r="D29" s="1" t="s">
        <v>100</v>
      </c>
      <c r="E29" s="2" t="s">
        <v>101</v>
      </c>
      <c r="F29" s="2" t="s">
        <v>102</v>
      </c>
      <c r="G29" s="2" t="s">
        <v>45</v>
      </c>
      <c r="H29" s="2">
        <v>0</v>
      </c>
      <c r="I29" s="1">
        <v>0</v>
      </c>
      <c r="J29" s="3" t="s">
        <v>18</v>
      </c>
      <c r="K29" s="2" t="str">
        <f>J29*87.76</f>
        <v>0</v>
      </c>
      <c r="L29" s="5"/>
    </row>
    <row r="30" spans="1:12" customHeight="1" ht="105" outlineLevel="4">
      <c r="A30" s="1"/>
      <c r="B30" s="1">
        <v>824005</v>
      </c>
      <c r="C30" s="1" t="s">
        <v>103</v>
      </c>
      <c r="D30" s="1" t="s">
        <v>104</v>
      </c>
      <c r="E30" s="2" t="s">
        <v>105</v>
      </c>
      <c r="F30" s="2" t="s">
        <v>106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J30*119.00</f>
        <v>0</v>
      </c>
      <c r="L30" s="5"/>
    </row>
    <row r="31" spans="1:12" customHeight="1" ht="105" outlineLevel="4">
      <c r="A31" s="1"/>
      <c r="B31" s="1">
        <v>824006</v>
      </c>
      <c r="C31" s="1" t="s">
        <v>107</v>
      </c>
      <c r="D31" s="1" t="s">
        <v>108</v>
      </c>
      <c r="E31" s="2" t="s">
        <v>109</v>
      </c>
      <c r="F31" s="2" t="s">
        <v>110</v>
      </c>
      <c r="G31" s="2" t="s">
        <v>58</v>
      </c>
      <c r="H31" s="2">
        <v>0</v>
      </c>
      <c r="I31" s="1">
        <v>0</v>
      </c>
      <c r="J31" s="3" t="s">
        <v>18</v>
      </c>
      <c r="K31" s="2" t="str">
        <f>J31*209.74</f>
        <v>0</v>
      </c>
      <c r="L31" s="5"/>
    </row>
    <row r="32" spans="1:12" outlineLevel="1">
      <c r="A32" s="7" t="s">
        <v>111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112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819452</v>
      </c>
      <c r="C34" s="1" t="s">
        <v>113</v>
      </c>
      <c r="D34" s="1" t="s">
        <v>114</v>
      </c>
      <c r="E34" s="2" t="s">
        <v>115</v>
      </c>
      <c r="F34" s="2" t="s">
        <v>116</v>
      </c>
      <c r="G34" s="2" t="s">
        <v>40</v>
      </c>
      <c r="H34" s="2" t="s">
        <v>40</v>
      </c>
      <c r="I34" s="1">
        <v>0</v>
      </c>
      <c r="J34" s="3" t="s">
        <v>117</v>
      </c>
      <c r="K34" s="2" t="str">
        <f>J34*5.10</f>
        <v>0</v>
      </c>
      <c r="L34" s="5"/>
    </row>
    <row r="35" spans="1:12" customHeight="1" ht="105" outlineLevel="4">
      <c r="A35" s="1"/>
      <c r="B35" s="1">
        <v>819453</v>
      </c>
      <c r="C35" s="1" t="s">
        <v>118</v>
      </c>
      <c r="D35" s="1" t="s">
        <v>119</v>
      </c>
      <c r="E35" s="2" t="s">
        <v>120</v>
      </c>
      <c r="F35" s="2" t="s">
        <v>121</v>
      </c>
      <c r="G35" s="2" t="s">
        <v>45</v>
      </c>
      <c r="H35" s="2">
        <v>0</v>
      </c>
      <c r="I35" s="1">
        <v>0</v>
      </c>
      <c r="J35" s="3" t="s">
        <v>122</v>
      </c>
      <c r="K35" s="2" t="str">
        <f>J35*7.60</f>
        <v>0</v>
      </c>
      <c r="L35" s="5"/>
    </row>
    <row r="36" spans="1:12" customHeight="1" ht="105" outlineLevel="4">
      <c r="A36" s="1"/>
      <c r="B36" s="1">
        <v>819454</v>
      </c>
      <c r="C36" s="1" t="s">
        <v>123</v>
      </c>
      <c r="D36" s="1" t="s">
        <v>124</v>
      </c>
      <c r="E36" s="2" t="s">
        <v>125</v>
      </c>
      <c r="F36" s="2" t="s">
        <v>126</v>
      </c>
      <c r="G36" s="2" t="s">
        <v>45</v>
      </c>
      <c r="H36" s="2">
        <v>0</v>
      </c>
      <c r="I36" s="1">
        <v>0</v>
      </c>
      <c r="J36" s="3" t="s">
        <v>117</v>
      </c>
      <c r="K36" s="2" t="str">
        <f>J36*11.60</f>
        <v>0</v>
      </c>
      <c r="L36" s="5"/>
    </row>
    <row r="37" spans="1:12" customHeight="1" ht="105" outlineLevel="4">
      <c r="A37" s="1"/>
      <c r="B37" s="1">
        <v>819455</v>
      </c>
      <c r="C37" s="1" t="s">
        <v>127</v>
      </c>
      <c r="D37" s="1" t="s">
        <v>128</v>
      </c>
      <c r="E37" s="2" t="s">
        <v>129</v>
      </c>
      <c r="F37" s="2" t="s">
        <v>130</v>
      </c>
      <c r="G37" s="2" t="s">
        <v>17</v>
      </c>
      <c r="H37" s="2" t="s">
        <v>17</v>
      </c>
      <c r="I37" s="1">
        <v>0</v>
      </c>
      <c r="J37" s="3" t="s">
        <v>117</v>
      </c>
      <c r="K37" s="2" t="str">
        <f>J37*14.20</f>
        <v>0</v>
      </c>
      <c r="L37" s="5"/>
    </row>
    <row r="38" spans="1:12" customHeight="1" ht="105" outlineLevel="4">
      <c r="A38" s="1"/>
      <c r="B38" s="1">
        <v>819456</v>
      </c>
      <c r="C38" s="1" t="s">
        <v>131</v>
      </c>
      <c r="D38" s="1" t="s">
        <v>132</v>
      </c>
      <c r="E38" s="2" t="s">
        <v>133</v>
      </c>
      <c r="F38" s="2" t="s">
        <v>134</v>
      </c>
      <c r="G38" s="2" t="s">
        <v>17</v>
      </c>
      <c r="H38" s="2" t="s">
        <v>41</v>
      </c>
      <c r="I38" s="1">
        <v>0</v>
      </c>
      <c r="J38" s="3" t="s">
        <v>117</v>
      </c>
      <c r="K38" s="2" t="str">
        <f>J38*203.00</f>
        <v>0</v>
      </c>
      <c r="L38" s="5"/>
    </row>
    <row r="39" spans="1:12" customHeight="1" ht="105" outlineLevel="4">
      <c r="A39" s="1"/>
      <c r="B39" s="1">
        <v>819457</v>
      </c>
      <c r="C39" s="1" t="s">
        <v>135</v>
      </c>
      <c r="D39" s="1" t="s">
        <v>136</v>
      </c>
      <c r="E39" s="2" t="s">
        <v>137</v>
      </c>
      <c r="F39" s="2" t="s">
        <v>138</v>
      </c>
      <c r="G39" s="2" t="s">
        <v>139</v>
      </c>
      <c r="H39" s="2" t="s">
        <v>45</v>
      </c>
      <c r="I39" s="1">
        <v>0</v>
      </c>
      <c r="J39" s="3" t="s">
        <v>117</v>
      </c>
      <c r="K39" s="2" t="str">
        <f>J39*260.00</f>
        <v>0</v>
      </c>
      <c r="L39" s="5"/>
    </row>
    <row r="40" spans="1:12" customHeight="1" ht="105" outlineLevel="4">
      <c r="A40" s="1"/>
      <c r="B40" s="1">
        <v>819458</v>
      </c>
      <c r="C40" s="1" t="s">
        <v>140</v>
      </c>
      <c r="D40" s="1" t="s">
        <v>141</v>
      </c>
      <c r="E40" s="2" t="s">
        <v>142</v>
      </c>
      <c r="F40" s="2" t="s">
        <v>143</v>
      </c>
      <c r="G40" s="2" t="s">
        <v>58</v>
      </c>
      <c r="H40" s="2" t="s">
        <v>41</v>
      </c>
      <c r="I40" s="1">
        <v>0</v>
      </c>
      <c r="J40" s="3" t="s">
        <v>117</v>
      </c>
      <c r="K40" s="2" t="str">
        <f>J40*326.00</f>
        <v>0</v>
      </c>
      <c r="L40" s="5"/>
    </row>
    <row r="41" spans="1:12" customHeight="1" ht="105" outlineLevel="4">
      <c r="A41" s="1"/>
      <c r="B41" s="1">
        <v>819459</v>
      </c>
      <c r="C41" s="1" t="s">
        <v>144</v>
      </c>
      <c r="D41" s="1" t="s">
        <v>145</v>
      </c>
      <c r="E41" s="2" t="s">
        <v>146</v>
      </c>
      <c r="F41" s="2" t="s">
        <v>147</v>
      </c>
      <c r="G41" s="2" t="s">
        <v>58</v>
      </c>
      <c r="H41" s="2" t="s">
        <v>40</v>
      </c>
      <c r="I41" s="1">
        <v>0</v>
      </c>
      <c r="J41" s="3" t="s">
        <v>117</v>
      </c>
      <c r="K41" s="2" t="str">
        <f>J41*329.00</f>
        <v>0</v>
      </c>
      <c r="L41" s="5"/>
    </row>
    <row r="42" spans="1:12" customHeight="1" ht="105" outlineLevel="4">
      <c r="A42" s="1"/>
      <c r="B42" s="1">
        <v>819460</v>
      </c>
      <c r="C42" s="1" t="s">
        <v>148</v>
      </c>
      <c r="D42" s="1" t="s">
        <v>149</v>
      </c>
      <c r="E42" s="2" t="s">
        <v>150</v>
      </c>
      <c r="F42" s="2" t="s">
        <v>151</v>
      </c>
      <c r="G42" s="2" t="s">
        <v>90</v>
      </c>
      <c r="H42" s="2" t="s">
        <v>45</v>
      </c>
      <c r="I42" s="1">
        <v>0</v>
      </c>
      <c r="J42" s="3" t="s">
        <v>117</v>
      </c>
      <c r="K42" s="2" t="str">
        <f>J42*503.00</f>
        <v>0</v>
      </c>
      <c r="L42" s="5"/>
    </row>
    <row r="43" spans="1:12" customHeight="1" ht="105" outlineLevel="4">
      <c r="A43" s="1"/>
      <c r="B43" s="1">
        <v>819461</v>
      </c>
      <c r="C43" s="1" t="s">
        <v>152</v>
      </c>
      <c r="D43" s="1" t="s">
        <v>153</v>
      </c>
      <c r="E43" s="2" t="s">
        <v>154</v>
      </c>
      <c r="F43" s="2" t="s">
        <v>155</v>
      </c>
      <c r="G43" s="2" t="s">
        <v>90</v>
      </c>
      <c r="H43" s="2" t="s">
        <v>40</v>
      </c>
      <c r="I43" s="1">
        <v>0</v>
      </c>
      <c r="J43" s="3" t="s">
        <v>117</v>
      </c>
      <c r="K43" s="2" t="str">
        <f>J43*510.00</f>
        <v>0</v>
      </c>
      <c r="L43" s="5"/>
    </row>
    <row r="44" spans="1:12" customHeight="1" ht="105" outlineLevel="4">
      <c r="A44" s="1"/>
      <c r="B44" s="1">
        <v>819462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8</v>
      </c>
      <c r="H44" s="2" t="s">
        <v>139</v>
      </c>
      <c r="I44" s="1">
        <v>0</v>
      </c>
      <c r="J44" s="3" t="s">
        <v>117</v>
      </c>
      <c r="K44" s="2" t="str">
        <f>J44*1215.00</f>
        <v>0</v>
      </c>
      <c r="L44" s="5"/>
    </row>
    <row r="45" spans="1:12" customHeight="1" ht="105" outlineLevel="4">
      <c r="A45" s="1"/>
      <c r="B45" s="1">
        <v>819463</v>
      </c>
      <c r="C45" s="1" t="s">
        <v>160</v>
      </c>
      <c r="D45" s="1" t="s">
        <v>161</v>
      </c>
      <c r="E45" s="2" t="s">
        <v>162</v>
      </c>
      <c r="F45" s="2" t="s">
        <v>163</v>
      </c>
      <c r="G45" s="2">
        <v>3</v>
      </c>
      <c r="H45" s="2" t="s">
        <v>17</v>
      </c>
      <c r="I45" s="1">
        <v>0</v>
      </c>
      <c r="J45" s="3" t="s">
        <v>117</v>
      </c>
      <c r="K45" s="2" t="str">
        <f>J45*1108.00</f>
        <v>0</v>
      </c>
      <c r="L45" s="5"/>
    </row>
    <row r="46" spans="1:12" customHeight="1" ht="105" outlineLevel="4">
      <c r="A46" s="1"/>
      <c r="B46" s="1">
        <v>819464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6</v>
      </c>
      <c r="H46" s="2" t="s">
        <v>17</v>
      </c>
      <c r="I46" s="1">
        <v>0</v>
      </c>
      <c r="J46" s="3" t="s">
        <v>117</v>
      </c>
      <c r="K46" s="2" t="str">
        <f>J46*1231.00</f>
        <v>0</v>
      </c>
      <c r="L46" s="5"/>
    </row>
    <row r="47" spans="1:12" customHeight="1" ht="105" outlineLevel="4">
      <c r="A47" s="1"/>
      <c r="B47" s="1">
        <v>819465</v>
      </c>
      <c r="C47" s="1" t="s">
        <v>168</v>
      </c>
      <c r="D47" s="1" t="s">
        <v>169</v>
      </c>
      <c r="E47" s="2" t="s">
        <v>170</v>
      </c>
      <c r="F47" s="2" t="s">
        <v>171</v>
      </c>
      <c r="G47" s="2" t="s">
        <v>17</v>
      </c>
      <c r="H47" s="2" t="s">
        <v>41</v>
      </c>
      <c r="I47" s="1">
        <v>0</v>
      </c>
      <c r="J47" s="3" t="s">
        <v>117</v>
      </c>
      <c r="K47" s="2" t="str">
        <f>J47*219.00</f>
        <v>0</v>
      </c>
      <c r="L47" s="5"/>
    </row>
    <row r="48" spans="1:12" customHeight="1" ht="105" outlineLevel="4">
      <c r="A48" s="1"/>
      <c r="B48" s="1">
        <v>819466</v>
      </c>
      <c r="C48" s="1" t="s">
        <v>172</v>
      </c>
      <c r="D48" s="1" t="s">
        <v>173</v>
      </c>
      <c r="E48" s="2" t="s">
        <v>174</v>
      </c>
      <c r="F48" s="2" t="s">
        <v>175</v>
      </c>
      <c r="G48" s="2" t="s">
        <v>90</v>
      </c>
      <c r="H48" s="2" t="s">
        <v>45</v>
      </c>
      <c r="I48" s="1">
        <v>0</v>
      </c>
      <c r="J48" s="3" t="s">
        <v>117</v>
      </c>
      <c r="K48" s="2" t="str">
        <f>J48*315.00</f>
        <v>0</v>
      </c>
      <c r="L48" s="5"/>
    </row>
    <row r="49" spans="1:12" customHeight="1" ht="105" outlineLevel="4">
      <c r="A49" s="1"/>
      <c r="B49" s="1">
        <v>819467</v>
      </c>
      <c r="C49" s="1" t="s">
        <v>176</v>
      </c>
      <c r="D49" s="1" t="s">
        <v>177</v>
      </c>
      <c r="E49" s="2" t="s">
        <v>178</v>
      </c>
      <c r="F49" s="2" t="s">
        <v>179</v>
      </c>
      <c r="G49" s="2" t="s">
        <v>58</v>
      </c>
      <c r="H49" s="2" t="s">
        <v>40</v>
      </c>
      <c r="I49" s="1">
        <v>0</v>
      </c>
      <c r="J49" s="3" t="s">
        <v>117</v>
      </c>
      <c r="K49" s="2" t="str">
        <f>J49*312.00</f>
        <v>0</v>
      </c>
      <c r="L49" s="5"/>
    </row>
    <row r="50" spans="1:12" customHeight="1" ht="105" outlineLevel="4">
      <c r="A50" s="1"/>
      <c r="B50" s="1">
        <v>819468</v>
      </c>
      <c r="C50" s="1" t="s">
        <v>180</v>
      </c>
      <c r="D50" s="1" t="s">
        <v>181</v>
      </c>
      <c r="E50" s="2" t="s">
        <v>182</v>
      </c>
      <c r="F50" s="2" t="s">
        <v>183</v>
      </c>
      <c r="G50" s="2" t="s">
        <v>58</v>
      </c>
      <c r="H50" s="2" t="s">
        <v>40</v>
      </c>
      <c r="I50" s="1">
        <v>0</v>
      </c>
      <c r="J50" s="3" t="s">
        <v>117</v>
      </c>
      <c r="K50" s="2" t="str">
        <f>J50*387.00</f>
        <v>0</v>
      </c>
      <c r="L50" s="5"/>
    </row>
    <row r="51" spans="1:12" customHeight="1" ht="105" outlineLevel="4">
      <c r="A51" s="1"/>
      <c r="B51" s="1">
        <v>819469</v>
      </c>
      <c r="C51" s="1" t="s">
        <v>184</v>
      </c>
      <c r="D51" s="1" t="s">
        <v>185</v>
      </c>
      <c r="E51" s="2" t="s">
        <v>186</v>
      </c>
      <c r="F51" s="2" t="s">
        <v>187</v>
      </c>
      <c r="G51" s="2" t="s">
        <v>139</v>
      </c>
      <c r="H51" s="2" t="s">
        <v>45</v>
      </c>
      <c r="I51" s="1">
        <v>0</v>
      </c>
      <c r="J51" s="3" t="s">
        <v>117</v>
      </c>
      <c r="K51" s="2" t="str">
        <f>J51*474.00</f>
        <v>0</v>
      </c>
      <c r="L51" s="5"/>
    </row>
    <row r="52" spans="1:12" customHeight="1" ht="105" outlineLevel="4">
      <c r="A52" s="1"/>
      <c r="B52" s="1">
        <v>819470</v>
      </c>
      <c r="C52" s="1" t="s">
        <v>188</v>
      </c>
      <c r="D52" s="1" t="s">
        <v>189</v>
      </c>
      <c r="E52" s="2" t="s">
        <v>190</v>
      </c>
      <c r="F52" s="2" t="s">
        <v>191</v>
      </c>
      <c r="G52" s="2" t="s">
        <v>90</v>
      </c>
      <c r="H52" s="2" t="s">
        <v>45</v>
      </c>
      <c r="I52" s="1">
        <v>0</v>
      </c>
      <c r="J52" s="3" t="s">
        <v>117</v>
      </c>
      <c r="K52" s="2" t="str">
        <f>J52*545.00</f>
        <v>0</v>
      </c>
      <c r="L52" s="5"/>
    </row>
    <row r="53" spans="1:12" customHeight="1" ht="105" outlineLevel="4">
      <c r="A53" s="1"/>
      <c r="B53" s="1">
        <v>819471</v>
      </c>
      <c r="C53" s="1" t="s">
        <v>192</v>
      </c>
      <c r="D53" s="1" t="s">
        <v>193</v>
      </c>
      <c r="E53" s="2" t="s">
        <v>194</v>
      </c>
      <c r="F53" s="2" t="s">
        <v>195</v>
      </c>
      <c r="G53" s="2" t="s">
        <v>139</v>
      </c>
      <c r="H53" s="2" t="s">
        <v>58</v>
      </c>
      <c r="I53" s="1">
        <v>0</v>
      </c>
      <c r="J53" s="3" t="s">
        <v>117</v>
      </c>
      <c r="K53" s="2" t="str">
        <f>J53*1115.00</f>
        <v>0</v>
      </c>
      <c r="L53" s="5"/>
    </row>
    <row r="54" spans="1:12" customHeight="1" ht="105" outlineLevel="4">
      <c r="A54" s="1"/>
      <c r="B54" s="1">
        <v>819472</v>
      </c>
      <c r="C54" s="1" t="s">
        <v>196</v>
      </c>
      <c r="D54" s="1" t="s">
        <v>197</v>
      </c>
      <c r="E54" s="2" t="s">
        <v>198</v>
      </c>
      <c r="F54" s="2" t="s">
        <v>199</v>
      </c>
      <c r="G54" s="2">
        <v>3</v>
      </c>
      <c r="H54" s="2" t="s">
        <v>17</v>
      </c>
      <c r="I54" s="1">
        <v>0</v>
      </c>
      <c r="J54" s="3" t="s">
        <v>117</v>
      </c>
      <c r="K54" s="2" t="str">
        <f>J54*1154.00</f>
        <v>0</v>
      </c>
      <c r="L54" s="5"/>
    </row>
    <row r="55" spans="1:12" customHeight="1" ht="105" outlineLevel="4">
      <c r="A55" s="1"/>
      <c r="B55" s="1">
        <v>819473</v>
      </c>
      <c r="C55" s="1" t="s">
        <v>200</v>
      </c>
      <c r="D55" s="1" t="s">
        <v>201</v>
      </c>
      <c r="E55" s="2" t="s">
        <v>202</v>
      </c>
      <c r="F55" s="2" t="s">
        <v>203</v>
      </c>
      <c r="G55" s="2">
        <v>7</v>
      </c>
      <c r="H55" s="2" t="s">
        <v>17</v>
      </c>
      <c r="I55" s="1">
        <v>0</v>
      </c>
      <c r="J55" s="3" t="s">
        <v>117</v>
      </c>
      <c r="K55" s="2" t="str">
        <f>J55*1087.00</f>
        <v>0</v>
      </c>
      <c r="L55" s="5"/>
    </row>
    <row r="56" spans="1:12" customHeight="1" ht="105" outlineLevel="4">
      <c r="A56" s="1"/>
      <c r="B56" s="1">
        <v>819474</v>
      </c>
      <c r="C56" s="1" t="s">
        <v>204</v>
      </c>
      <c r="D56" s="1" t="s">
        <v>205</v>
      </c>
      <c r="E56" s="2" t="s">
        <v>206</v>
      </c>
      <c r="F56" s="2" t="s">
        <v>207</v>
      </c>
      <c r="G56" s="2" t="s">
        <v>58</v>
      </c>
      <c r="H56" s="2" t="s">
        <v>40</v>
      </c>
      <c r="I56" s="1">
        <v>0</v>
      </c>
      <c r="J56" s="3" t="s">
        <v>117</v>
      </c>
      <c r="K56" s="2" t="str">
        <f>J56*331.00</f>
        <v>0</v>
      </c>
      <c r="L56" s="5"/>
    </row>
    <row r="57" spans="1:12" customHeight="1" ht="105" outlineLevel="4">
      <c r="A57" s="1"/>
      <c r="B57" s="1">
        <v>819475</v>
      </c>
      <c r="C57" s="1" t="s">
        <v>208</v>
      </c>
      <c r="D57" s="1" t="s">
        <v>209</v>
      </c>
      <c r="E57" s="2" t="s">
        <v>210</v>
      </c>
      <c r="F57" s="2" t="s">
        <v>211</v>
      </c>
      <c r="G57" s="2" t="s">
        <v>58</v>
      </c>
      <c r="H57" s="2" t="s">
        <v>45</v>
      </c>
      <c r="I57" s="1">
        <v>0</v>
      </c>
      <c r="J57" s="3" t="s">
        <v>117</v>
      </c>
      <c r="K57" s="2" t="str">
        <f>J57*515.00</f>
        <v>0</v>
      </c>
      <c r="L57" s="5"/>
    </row>
    <row r="58" spans="1:12" customHeight="1" ht="105" outlineLevel="4">
      <c r="A58" s="1"/>
      <c r="B58" s="1">
        <v>819476</v>
      </c>
      <c r="C58" s="1" t="s">
        <v>212</v>
      </c>
      <c r="D58" s="1" t="s">
        <v>213</v>
      </c>
      <c r="E58" s="2" t="s">
        <v>214</v>
      </c>
      <c r="F58" s="2" t="s">
        <v>215</v>
      </c>
      <c r="G58" s="2">
        <v>10</v>
      </c>
      <c r="H58" s="2" t="s">
        <v>17</v>
      </c>
      <c r="I58" s="1">
        <v>0</v>
      </c>
      <c r="J58" s="3" t="s">
        <v>117</v>
      </c>
      <c r="K58" s="2" t="str">
        <f>J58*426.00</f>
        <v>0</v>
      </c>
      <c r="L58" s="5"/>
    </row>
    <row r="59" spans="1:12" customHeight="1" ht="105" outlineLevel="4">
      <c r="A59" s="1"/>
      <c r="B59" s="1">
        <v>819477</v>
      </c>
      <c r="C59" s="1" t="s">
        <v>216</v>
      </c>
      <c r="D59" s="1" t="s">
        <v>217</v>
      </c>
      <c r="E59" s="2" t="s">
        <v>218</v>
      </c>
      <c r="F59" s="2" t="s">
        <v>219</v>
      </c>
      <c r="G59" s="2" t="s">
        <v>90</v>
      </c>
      <c r="H59" s="2" t="s">
        <v>17</v>
      </c>
      <c r="I59" s="1">
        <v>0</v>
      </c>
      <c r="J59" s="3" t="s">
        <v>117</v>
      </c>
      <c r="K59" s="2" t="str">
        <f>J59*806.00</f>
        <v>0</v>
      </c>
      <c r="L59" s="5"/>
    </row>
    <row r="60" spans="1:12" customHeight="1" ht="105" outlineLevel="4">
      <c r="A60" s="1"/>
      <c r="B60" s="1">
        <v>819478</v>
      </c>
      <c r="C60" s="1" t="s">
        <v>220</v>
      </c>
      <c r="D60" s="1" t="s">
        <v>221</v>
      </c>
      <c r="E60" s="2" t="s">
        <v>222</v>
      </c>
      <c r="F60" s="2" t="s">
        <v>223</v>
      </c>
      <c r="G60" s="2">
        <v>10</v>
      </c>
      <c r="H60" s="2" t="s">
        <v>90</v>
      </c>
      <c r="I60" s="1">
        <v>0</v>
      </c>
      <c r="J60" s="3" t="s">
        <v>117</v>
      </c>
      <c r="K60" s="2" t="str">
        <f>J60*689.00</f>
        <v>0</v>
      </c>
      <c r="L60" s="5"/>
    </row>
    <row r="61" spans="1:12" customHeight="1" ht="105" outlineLevel="4">
      <c r="A61" s="1"/>
      <c r="B61" s="1">
        <v>819479</v>
      </c>
      <c r="C61" s="1" t="s">
        <v>224</v>
      </c>
      <c r="D61" s="1" t="s">
        <v>225</v>
      </c>
      <c r="E61" s="2" t="s">
        <v>226</v>
      </c>
      <c r="F61" s="2" t="s">
        <v>227</v>
      </c>
      <c r="G61" s="2">
        <v>1</v>
      </c>
      <c r="H61" s="2">
        <v>0</v>
      </c>
      <c r="I61" s="1">
        <v>0</v>
      </c>
      <c r="J61" s="3" t="s">
        <v>117</v>
      </c>
      <c r="K61" s="2" t="str">
        <f>J61*768.00</f>
        <v>0</v>
      </c>
      <c r="L61" s="5"/>
    </row>
    <row r="62" spans="1:12" customHeight="1" ht="105" outlineLevel="4">
      <c r="A62" s="1"/>
      <c r="B62" s="1">
        <v>819480</v>
      </c>
      <c r="C62" s="1" t="s">
        <v>228</v>
      </c>
      <c r="D62" s="1" t="s">
        <v>229</v>
      </c>
      <c r="E62" s="2" t="s">
        <v>230</v>
      </c>
      <c r="F62" s="2" t="s">
        <v>231</v>
      </c>
      <c r="G62" s="2">
        <v>3</v>
      </c>
      <c r="H62" s="2" t="s">
        <v>58</v>
      </c>
      <c r="I62" s="1">
        <v>0</v>
      </c>
      <c r="J62" s="3" t="s">
        <v>117</v>
      </c>
      <c r="K62" s="2" t="str">
        <f>J62*1796.00</f>
        <v>0</v>
      </c>
      <c r="L62" s="5"/>
    </row>
    <row r="63" spans="1:12" customHeight="1" ht="105" outlineLevel="4">
      <c r="A63" s="1"/>
      <c r="B63" s="1">
        <v>819481</v>
      </c>
      <c r="C63" s="1" t="s">
        <v>232</v>
      </c>
      <c r="D63" s="1" t="s">
        <v>233</v>
      </c>
      <c r="E63" s="2" t="s">
        <v>234</v>
      </c>
      <c r="F63" s="2" t="s">
        <v>235</v>
      </c>
      <c r="G63" s="2" t="s">
        <v>90</v>
      </c>
      <c r="H63" s="2" t="s">
        <v>17</v>
      </c>
      <c r="I63" s="1">
        <v>0</v>
      </c>
      <c r="J63" s="3" t="s">
        <v>117</v>
      </c>
      <c r="K63" s="2" t="str">
        <f>J63*1222.00</f>
        <v>0</v>
      </c>
      <c r="L63" s="5"/>
    </row>
    <row r="64" spans="1:12" customHeight="1" ht="105" outlineLevel="4">
      <c r="A64" s="1"/>
      <c r="B64" s="1">
        <v>819482</v>
      </c>
      <c r="C64" s="1" t="s">
        <v>236</v>
      </c>
      <c r="D64" s="1" t="s">
        <v>237</v>
      </c>
      <c r="E64" s="2" t="s">
        <v>238</v>
      </c>
      <c r="F64" s="2" t="s">
        <v>239</v>
      </c>
      <c r="G64" s="2">
        <v>8</v>
      </c>
      <c r="H64" s="2" t="s">
        <v>58</v>
      </c>
      <c r="I64" s="1">
        <v>0</v>
      </c>
      <c r="J64" s="3" t="s">
        <v>117</v>
      </c>
      <c r="K64" s="2" t="str">
        <f>J64*1360.00</f>
        <v>0</v>
      </c>
      <c r="L64" s="5"/>
    </row>
    <row r="65" spans="1:12" customHeight="1" ht="105" outlineLevel="4">
      <c r="A65" s="1"/>
      <c r="B65" s="1">
        <v>819483</v>
      </c>
      <c r="C65" s="1" t="s">
        <v>240</v>
      </c>
      <c r="D65" s="1" t="s">
        <v>241</v>
      </c>
      <c r="E65" s="2" t="s">
        <v>242</v>
      </c>
      <c r="F65" s="2" t="s">
        <v>243</v>
      </c>
      <c r="G65" s="2">
        <v>2</v>
      </c>
      <c r="H65" s="2" t="s">
        <v>58</v>
      </c>
      <c r="I65" s="1">
        <v>0</v>
      </c>
      <c r="J65" s="3" t="s">
        <v>117</v>
      </c>
      <c r="K65" s="2" t="str">
        <f>J65*1429.00</f>
        <v>0</v>
      </c>
      <c r="L65" s="5"/>
    </row>
    <row r="66" spans="1:12" customHeight="1" ht="105" outlineLevel="4">
      <c r="A66" s="1"/>
      <c r="B66" s="1">
        <v>819484</v>
      </c>
      <c r="C66" s="1" t="s">
        <v>244</v>
      </c>
      <c r="D66" s="1" t="s">
        <v>245</v>
      </c>
      <c r="E66" s="2" t="s">
        <v>246</v>
      </c>
      <c r="F66" s="2" t="s">
        <v>247</v>
      </c>
      <c r="G66" s="2" t="s">
        <v>58</v>
      </c>
      <c r="H66" s="2" t="s">
        <v>17</v>
      </c>
      <c r="I66" s="1">
        <v>0</v>
      </c>
      <c r="J66" s="3" t="s">
        <v>117</v>
      </c>
      <c r="K66" s="2" t="str">
        <f>J66*267.00</f>
        <v>0</v>
      </c>
      <c r="L66" s="5"/>
    </row>
    <row r="67" spans="1:12" customHeight="1" ht="105" outlineLevel="4">
      <c r="A67" s="1"/>
      <c r="B67" s="1">
        <v>819485</v>
      </c>
      <c r="C67" s="1" t="s">
        <v>248</v>
      </c>
      <c r="D67" s="1" t="s">
        <v>249</v>
      </c>
      <c r="E67" s="2" t="s">
        <v>250</v>
      </c>
      <c r="F67" s="2" t="s">
        <v>251</v>
      </c>
      <c r="G67" s="2" t="s">
        <v>58</v>
      </c>
      <c r="H67" s="2" t="s">
        <v>40</v>
      </c>
      <c r="I67" s="1">
        <v>0</v>
      </c>
      <c r="J67" s="3" t="s">
        <v>117</v>
      </c>
      <c r="K67" s="2" t="str">
        <f>J67*448.00</f>
        <v>0</v>
      </c>
      <c r="L67" s="5"/>
    </row>
    <row r="68" spans="1:12" customHeight="1" ht="105" outlineLevel="4">
      <c r="A68" s="1"/>
      <c r="B68" s="1">
        <v>819486</v>
      </c>
      <c r="C68" s="1" t="s">
        <v>252</v>
      </c>
      <c r="D68" s="1" t="s">
        <v>253</v>
      </c>
      <c r="E68" s="2" t="s">
        <v>254</v>
      </c>
      <c r="F68" s="2" t="s">
        <v>255</v>
      </c>
      <c r="G68" s="2" t="s">
        <v>139</v>
      </c>
      <c r="H68" s="2" t="s">
        <v>40</v>
      </c>
      <c r="I68" s="1">
        <v>0</v>
      </c>
      <c r="J68" s="3" t="s">
        <v>117</v>
      </c>
      <c r="K68" s="2" t="str">
        <f>J68*808.00</f>
        <v>0</v>
      </c>
      <c r="L68" s="5"/>
    </row>
    <row r="69" spans="1:12" customHeight="1" ht="105" outlineLevel="4">
      <c r="A69" s="1"/>
      <c r="B69" s="1">
        <v>819487</v>
      </c>
      <c r="C69" s="1" t="s">
        <v>256</v>
      </c>
      <c r="D69" s="1" t="s">
        <v>257</v>
      </c>
      <c r="E69" s="2" t="s">
        <v>258</v>
      </c>
      <c r="F69" s="2" t="s">
        <v>259</v>
      </c>
      <c r="G69" s="2" t="s">
        <v>139</v>
      </c>
      <c r="H69" s="2" t="s">
        <v>139</v>
      </c>
      <c r="I69" s="1">
        <v>0</v>
      </c>
      <c r="J69" s="3" t="s">
        <v>117</v>
      </c>
      <c r="K69" s="2" t="str">
        <f>J69*809.00</f>
        <v>0</v>
      </c>
      <c r="L69" s="5"/>
    </row>
    <row r="70" spans="1:12" customHeight="1" ht="105" outlineLevel="4">
      <c r="A70" s="1"/>
      <c r="B70" s="1">
        <v>819488</v>
      </c>
      <c r="C70" s="1" t="s">
        <v>260</v>
      </c>
      <c r="D70" s="1" t="s">
        <v>261</v>
      </c>
      <c r="E70" s="2" t="s">
        <v>262</v>
      </c>
      <c r="F70" s="2" t="s">
        <v>263</v>
      </c>
      <c r="G70" s="2" t="s">
        <v>90</v>
      </c>
      <c r="H70" s="2" t="s">
        <v>58</v>
      </c>
      <c r="I70" s="1">
        <v>0</v>
      </c>
      <c r="J70" s="3" t="s">
        <v>117</v>
      </c>
      <c r="K70" s="2" t="str">
        <f>J70*829.00</f>
        <v>0</v>
      </c>
      <c r="L70" s="5"/>
    </row>
    <row r="71" spans="1:12" customHeight="1" ht="105" outlineLevel="4">
      <c r="A71" s="1"/>
      <c r="B71" s="1">
        <v>819489</v>
      </c>
      <c r="C71" s="1" t="s">
        <v>264</v>
      </c>
      <c r="D71" s="1" t="s">
        <v>265</v>
      </c>
      <c r="E71" s="2" t="s">
        <v>266</v>
      </c>
      <c r="F71" s="2" t="s">
        <v>267</v>
      </c>
      <c r="G71" s="2">
        <v>5</v>
      </c>
      <c r="H71" s="2" t="s">
        <v>17</v>
      </c>
      <c r="I71" s="1">
        <v>0</v>
      </c>
      <c r="J71" s="3" t="s">
        <v>117</v>
      </c>
      <c r="K71" s="2" t="str">
        <f>J71*883.00</f>
        <v>0</v>
      </c>
      <c r="L71" s="5"/>
    </row>
    <row r="72" spans="1:12" customHeight="1" ht="105" outlineLevel="4">
      <c r="A72" s="1"/>
      <c r="B72" s="1">
        <v>819490</v>
      </c>
      <c r="C72" s="1" t="s">
        <v>268</v>
      </c>
      <c r="D72" s="1" t="s">
        <v>269</v>
      </c>
      <c r="E72" s="2" t="s">
        <v>270</v>
      </c>
      <c r="F72" s="2" t="s">
        <v>271</v>
      </c>
      <c r="G72" s="2" t="s">
        <v>90</v>
      </c>
      <c r="H72" s="2" t="s">
        <v>17</v>
      </c>
      <c r="I72" s="1">
        <v>0</v>
      </c>
      <c r="J72" s="3" t="s">
        <v>117</v>
      </c>
      <c r="K72" s="2" t="str">
        <f>J72*940.00</f>
        <v>0</v>
      </c>
      <c r="L72" s="5"/>
    </row>
    <row r="73" spans="1:12" customHeight="1" ht="105" outlineLevel="4">
      <c r="A73" s="1"/>
      <c r="B73" s="1">
        <v>819491</v>
      </c>
      <c r="C73" s="1" t="s">
        <v>272</v>
      </c>
      <c r="D73" s="1" t="s">
        <v>273</v>
      </c>
      <c r="E73" s="2" t="s">
        <v>274</v>
      </c>
      <c r="F73" s="2" t="s">
        <v>275</v>
      </c>
      <c r="G73" s="2" t="s">
        <v>139</v>
      </c>
      <c r="H73" s="2" t="s">
        <v>17</v>
      </c>
      <c r="I73" s="1">
        <v>0</v>
      </c>
      <c r="J73" s="3" t="s">
        <v>117</v>
      </c>
      <c r="K73" s="2" t="str">
        <f>J73*1289.00</f>
        <v>0</v>
      </c>
      <c r="L73" s="5"/>
    </row>
    <row r="74" spans="1:12" customHeight="1" ht="105" outlineLevel="4">
      <c r="A74" s="1"/>
      <c r="B74" s="1">
        <v>819492</v>
      </c>
      <c r="C74" s="1" t="s">
        <v>276</v>
      </c>
      <c r="D74" s="1" t="s">
        <v>277</v>
      </c>
      <c r="E74" s="2" t="s">
        <v>278</v>
      </c>
      <c r="F74" s="2" t="s">
        <v>279</v>
      </c>
      <c r="G74" s="2">
        <v>6</v>
      </c>
      <c r="H74" s="2" t="s">
        <v>17</v>
      </c>
      <c r="I74" s="1">
        <v>0</v>
      </c>
      <c r="J74" s="3" t="s">
        <v>117</v>
      </c>
      <c r="K74" s="2" t="str">
        <f>J74*1176.00</f>
        <v>0</v>
      </c>
      <c r="L74" s="5"/>
    </row>
    <row r="75" spans="1:12" customHeight="1" ht="105" outlineLevel="4">
      <c r="A75" s="1"/>
      <c r="B75" s="1">
        <v>819493</v>
      </c>
      <c r="C75" s="1" t="s">
        <v>280</v>
      </c>
      <c r="D75" s="1" t="s">
        <v>281</v>
      </c>
      <c r="E75" s="2" t="s">
        <v>282</v>
      </c>
      <c r="F75" s="2" t="s">
        <v>283</v>
      </c>
      <c r="G75" s="2" t="s">
        <v>90</v>
      </c>
      <c r="H75" s="2" t="s">
        <v>90</v>
      </c>
      <c r="I75" s="1">
        <v>0</v>
      </c>
      <c r="J75" s="3" t="s">
        <v>117</v>
      </c>
      <c r="K75" s="2" t="str">
        <f>J75*1068.00</f>
        <v>0</v>
      </c>
      <c r="L75" s="5"/>
    </row>
    <row r="76" spans="1:12" customHeight="1" ht="105" outlineLevel="4">
      <c r="A76" s="1"/>
      <c r="B76" s="1">
        <v>819494</v>
      </c>
      <c r="C76" s="1" t="s">
        <v>284</v>
      </c>
      <c r="D76" s="1" t="s">
        <v>285</v>
      </c>
      <c r="E76" s="2" t="s">
        <v>286</v>
      </c>
      <c r="F76" s="2" t="s">
        <v>287</v>
      </c>
      <c r="G76" s="2">
        <v>5</v>
      </c>
      <c r="H76" s="2" t="s">
        <v>139</v>
      </c>
      <c r="I76" s="1">
        <v>0</v>
      </c>
      <c r="J76" s="3" t="s">
        <v>117</v>
      </c>
      <c r="K76" s="2" t="str">
        <f>J76*1044.00</f>
        <v>0</v>
      </c>
      <c r="L76" s="5"/>
    </row>
    <row r="77" spans="1:12" customHeight="1" ht="105" outlineLevel="4">
      <c r="A77" s="1"/>
      <c r="B77" s="1">
        <v>819495</v>
      </c>
      <c r="C77" s="1" t="s">
        <v>288</v>
      </c>
      <c r="D77" s="1" t="s">
        <v>289</v>
      </c>
      <c r="E77" s="2" t="s">
        <v>290</v>
      </c>
      <c r="F77" s="2" t="s">
        <v>291</v>
      </c>
      <c r="G77" s="2" t="s">
        <v>90</v>
      </c>
      <c r="H77" s="2" t="s">
        <v>17</v>
      </c>
      <c r="I77" s="1">
        <v>0</v>
      </c>
      <c r="J77" s="3" t="s">
        <v>117</v>
      </c>
      <c r="K77" s="2" t="str">
        <f>J77*972.00</f>
        <v>0</v>
      </c>
      <c r="L77" s="5"/>
    </row>
    <row r="78" spans="1:12" customHeight="1" ht="105" outlineLevel="4">
      <c r="A78" s="1"/>
      <c r="B78" s="1">
        <v>819496</v>
      </c>
      <c r="C78" s="1" t="s">
        <v>292</v>
      </c>
      <c r="D78" s="1" t="s">
        <v>293</v>
      </c>
      <c r="E78" s="2" t="s">
        <v>294</v>
      </c>
      <c r="F78" s="2" t="s">
        <v>295</v>
      </c>
      <c r="G78" s="2" t="s">
        <v>90</v>
      </c>
      <c r="H78" s="2" t="s">
        <v>139</v>
      </c>
      <c r="I78" s="1">
        <v>0</v>
      </c>
      <c r="J78" s="3" t="s">
        <v>117</v>
      </c>
      <c r="K78" s="2" t="str">
        <f>J78*1187.00</f>
        <v>0</v>
      </c>
      <c r="L78" s="5"/>
    </row>
    <row r="79" spans="1:12" customHeight="1" ht="105" outlineLevel="4">
      <c r="A79" s="1"/>
      <c r="B79" s="1">
        <v>819497</v>
      </c>
      <c r="C79" s="1" t="s">
        <v>296</v>
      </c>
      <c r="D79" s="1" t="s">
        <v>297</v>
      </c>
      <c r="E79" s="2" t="s">
        <v>298</v>
      </c>
      <c r="F79" s="2" t="s">
        <v>299</v>
      </c>
      <c r="G79" s="2">
        <v>4</v>
      </c>
      <c r="H79" s="2" t="s">
        <v>139</v>
      </c>
      <c r="I79" s="1">
        <v>0</v>
      </c>
      <c r="J79" s="3" t="s">
        <v>117</v>
      </c>
      <c r="K79" s="2" t="str">
        <f>J79*1137.00</f>
        <v>0</v>
      </c>
      <c r="L79" s="5"/>
    </row>
    <row r="80" spans="1:12" customHeight="1" ht="105" outlineLevel="4">
      <c r="A80" s="1"/>
      <c r="B80" s="1">
        <v>819498</v>
      </c>
      <c r="C80" s="1" t="s">
        <v>300</v>
      </c>
      <c r="D80" s="1" t="s">
        <v>301</v>
      </c>
      <c r="E80" s="2" t="s">
        <v>302</v>
      </c>
      <c r="F80" s="2" t="s">
        <v>303</v>
      </c>
      <c r="G80" s="2" t="s">
        <v>139</v>
      </c>
      <c r="H80" s="2" t="s">
        <v>139</v>
      </c>
      <c r="I80" s="1">
        <v>0</v>
      </c>
      <c r="J80" s="3" t="s">
        <v>117</v>
      </c>
      <c r="K80" s="2" t="str">
        <f>J80*1242.00</f>
        <v>0</v>
      </c>
      <c r="L80" s="5"/>
    </row>
    <row r="81" spans="1:12" customHeight="1" ht="105" outlineLevel="4">
      <c r="A81" s="1"/>
      <c r="B81" s="1">
        <v>819499</v>
      </c>
      <c r="C81" s="1" t="s">
        <v>304</v>
      </c>
      <c r="D81" s="1" t="s">
        <v>305</v>
      </c>
      <c r="E81" s="2" t="s">
        <v>306</v>
      </c>
      <c r="F81" s="2" t="s">
        <v>307</v>
      </c>
      <c r="G81" s="2">
        <v>3</v>
      </c>
      <c r="H81" s="2" t="s">
        <v>58</v>
      </c>
      <c r="I81" s="1">
        <v>0</v>
      </c>
      <c r="J81" s="3" t="s">
        <v>117</v>
      </c>
      <c r="K81" s="2" t="str">
        <f>J81*3124.00</f>
        <v>0</v>
      </c>
      <c r="L81" s="5"/>
    </row>
    <row r="82" spans="1:12" customHeight="1" ht="105" outlineLevel="4">
      <c r="A82" s="1"/>
      <c r="B82" s="1">
        <v>819500</v>
      </c>
      <c r="C82" s="1" t="s">
        <v>308</v>
      </c>
      <c r="D82" s="1" t="s">
        <v>309</v>
      </c>
      <c r="E82" s="2" t="s">
        <v>310</v>
      </c>
      <c r="F82" s="2" t="s">
        <v>311</v>
      </c>
      <c r="G82" s="2" t="s">
        <v>139</v>
      </c>
      <c r="H82" s="2" t="s">
        <v>17</v>
      </c>
      <c r="I82" s="1">
        <v>0</v>
      </c>
      <c r="J82" s="3" t="s">
        <v>117</v>
      </c>
      <c r="K82" s="2" t="str">
        <f>J82*2142.00</f>
        <v>0</v>
      </c>
      <c r="L82" s="5"/>
    </row>
    <row r="83" spans="1:12" customHeight="1" ht="105" outlineLevel="4">
      <c r="A83" s="1"/>
      <c r="B83" s="1">
        <v>819501</v>
      </c>
      <c r="C83" s="1" t="s">
        <v>312</v>
      </c>
      <c r="D83" s="1" t="s">
        <v>313</v>
      </c>
      <c r="E83" s="2" t="s">
        <v>314</v>
      </c>
      <c r="F83" s="2" t="s">
        <v>315</v>
      </c>
      <c r="G83" s="2" t="s">
        <v>90</v>
      </c>
      <c r="H83" s="2" t="s">
        <v>90</v>
      </c>
      <c r="I83" s="1">
        <v>0</v>
      </c>
      <c r="J83" s="3" t="s">
        <v>117</v>
      </c>
      <c r="K83" s="2" t="str">
        <f>J83*2317.00</f>
        <v>0</v>
      </c>
      <c r="L83" s="5"/>
    </row>
    <row r="84" spans="1:12" customHeight="1" ht="105" outlineLevel="4">
      <c r="A84" s="1"/>
      <c r="B84" s="1">
        <v>819502</v>
      </c>
      <c r="C84" s="1" t="s">
        <v>316</v>
      </c>
      <c r="D84" s="1" t="s">
        <v>317</v>
      </c>
      <c r="E84" s="2" t="s">
        <v>318</v>
      </c>
      <c r="F84" s="2" t="s">
        <v>319</v>
      </c>
      <c r="G84" s="2">
        <v>0</v>
      </c>
      <c r="H84" s="2" t="s">
        <v>139</v>
      </c>
      <c r="I84" s="1">
        <v>0</v>
      </c>
      <c r="J84" s="3" t="s">
        <v>117</v>
      </c>
      <c r="K84" s="2" t="str">
        <f>J84*2530.00</f>
        <v>0</v>
      </c>
      <c r="L84" s="5"/>
    </row>
    <row r="85" spans="1:12" customHeight="1" ht="105" outlineLevel="4">
      <c r="A85" s="1"/>
      <c r="B85" s="1">
        <v>819503</v>
      </c>
      <c r="C85" s="1" t="s">
        <v>320</v>
      </c>
      <c r="D85" s="1" t="s">
        <v>321</v>
      </c>
      <c r="E85" s="2" t="s">
        <v>322</v>
      </c>
      <c r="F85" s="2" t="s">
        <v>323</v>
      </c>
      <c r="G85" s="2" t="s">
        <v>90</v>
      </c>
      <c r="H85" s="2" t="s">
        <v>90</v>
      </c>
      <c r="I85" s="1">
        <v>0</v>
      </c>
      <c r="J85" s="3" t="s">
        <v>117</v>
      </c>
      <c r="K85" s="2" t="str">
        <f>J85*2281.00</f>
        <v>0</v>
      </c>
      <c r="L85" s="5"/>
    </row>
    <row r="86" spans="1:12" customHeight="1" ht="105" outlineLevel="4">
      <c r="A86" s="1"/>
      <c r="B86" s="1">
        <v>819504</v>
      </c>
      <c r="C86" s="1" t="s">
        <v>324</v>
      </c>
      <c r="D86" s="1" t="s">
        <v>325</v>
      </c>
      <c r="E86" s="2" t="s">
        <v>326</v>
      </c>
      <c r="F86" s="2" t="s">
        <v>327</v>
      </c>
      <c r="G86" s="2">
        <v>5</v>
      </c>
      <c r="H86" s="2" t="s">
        <v>58</v>
      </c>
      <c r="I86" s="1">
        <v>0</v>
      </c>
      <c r="J86" s="3" t="s">
        <v>117</v>
      </c>
      <c r="K86" s="2" t="str">
        <f>J86*2601.00</f>
        <v>0</v>
      </c>
      <c r="L86" s="5"/>
    </row>
    <row r="87" spans="1:12" customHeight="1" ht="105" outlineLevel="4">
      <c r="A87" s="1"/>
      <c r="B87" s="1">
        <v>819505</v>
      </c>
      <c r="C87" s="1" t="s">
        <v>328</v>
      </c>
      <c r="D87" s="1" t="s">
        <v>329</v>
      </c>
      <c r="E87" s="2" t="s">
        <v>330</v>
      </c>
      <c r="F87" s="2" t="s">
        <v>331</v>
      </c>
      <c r="G87" s="2">
        <v>9</v>
      </c>
      <c r="H87" s="2" t="s">
        <v>58</v>
      </c>
      <c r="I87" s="1">
        <v>0</v>
      </c>
      <c r="J87" s="3" t="s">
        <v>117</v>
      </c>
      <c r="K87" s="2" t="str">
        <f>J87*2504.00</f>
        <v>0</v>
      </c>
      <c r="L87" s="5"/>
    </row>
    <row r="88" spans="1:12" customHeight="1" ht="105" outlineLevel="4">
      <c r="A88" s="1"/>
      <c r="B88" s="1">
        <v>819506</v>
      </c>
      <c r="C88" s="1" t="s">
        <v>332</v>
      </c>
      <c r="D88" s="1" t="s">
        <v>333</v>
      </c>
      <c r="E88" s="2" t="s">
        <v>334</v>
      </c>
      <c r="F88" s="2" t="s">
        <v>335</v>
      </c>
      <c r="G88" s="2" t="s">
        <v>139</v>
      </c>
      <c r="H88" s="2" t="s">
        <v>45</v>
      </c>
      <c r="I88" s="1">
        <v>0</v>
      </c>
      <c r="J88" s="3" t="s">
        <v>117</v>
      </c>
      <c r="K88" s="2" t="str">
        <f>J88*401.00</f>
        <v>0</v>
      </c>
      <c r="L88" s="5"/>
    </row>
    <row r="89" spans="1:12" customHeight="1" ht="105" outlineLevel="4">
      <c r="A89" s="1"/>
      <c r="B89" s="1">
        <v>819507</v>
      </c>
      <c r="C89" s="1" t="s">
        <v>336</v>
      </c>
      <c r="D89" s="1" t="s">
        <v>337</v>
      </c>
      <c r="E89" s="2" t="s">
        <v>338</v>
      </c>
      <c r="F89" s="2" t="s">
        <v>339</v>
      </c>
      <c r="G89" s="2" t="s">
        <v>17</v>
      </c>
      <c r="H89" s="2" t="s">
        <v>17</v>
      </c>
      <c r="I89" s="1">
        <v>0</v>
      </c>
      <c r="J89" s="3" t="s">
        <v>117</v>
      </c>
      <c r="K89" s="2" t="str">
        <f>J89*703.00</f>
        <v>0</v>
      </c>
      <c r="L89" s="5"/>
    </row>
    <row r="90" spans="1:12" customHeight="1" ht="105" outlineLevel="4">
      <c r="A90" s="1"/>
      <c r="B90" s="1">
        <v>819508</v>
      </c>
      <c r="C90" s="1" t="s">
        <v>340</v>
      </c>
      <c r="D90" s="1" t="s">
        <v>341</v>
      </c>
      <c r="E90" s="2" t="s">
        <v>342</v>
      </c>
      <c r="F90" s="2" t="s">
        <v>343</v>
      </c>
      <c r="G90" s="2" t="s">
        <v>17</v>
      </c>
      <c r="H90" s="2" t="s">
        <v>139</v>
      </c>
      <c r="I90" s="1">
        <v>0</v>
      </c>
      <c r="J90" s="3" t="s">
        <v>117</v>
      </c>
      <c r="K90" s="2" t="str">
        <f>J90*727.00</f>
        <v>0</v>
      </c>
      <c r="L90" s="5"/>
    </row>
    <row r="91" spans="1:12" customHeight="1" ht="105" outlineLevel="4">
      <c r="A91" s="1"/>
      <c r="B91" s="1">
        <v>819509</v>
      </c>
      <c r="C91" s="1" t="s">
        <v>344</v>
      </c>
      <c r="D91" s="1" t="s">
        <v>345</v>
      </c>
      <c r="E91" s="2" t="s">
        <v>346</v>
      </c>
      <c r="F91" s="2" t="s">
        <v>347</v>
      </c>
      <c r="G91" s="2">
        <v>4</v>
      </c>
      <c r="H91" s="2" t="s">
        <v>58</v>
      </c>
      <c r="I91" s="1">
        <v>0</v>
      </c>
      <c r="J91" s="3" t="s">
        <v>117</v>
      </c>
      <c r="K91" s="2" t="str">
        <f>J91*974.00</f>
        <v>0</v>
      </c>
      <c r="L91" s="5"/>
    </row>
    <row r="92" spans="1:12" customHeight="1" ht="105" outlineLevel="4">
      <c r="A92" s="1"/>
      <c r="B92" s="1">
        <v>819510</v>
      </c>
      <c r="C92" s="1" t="s">
        <v>348</v>
      </c>
      <c r="D92" s="1" t="s">
        <v>349</v>
      </c>
      <c r="E92" s="2" t="s">
        <v>350</v>
      </c>
      <c r="F92" s="2" t="s">
        <v>351</v>
      </c>
      <c r="G92" s="2" t="s">
        <v>58</v>
      </c>
      <c r="H92" s="2" t="s">
        <v>58</v>
      </c>
      <c r="I92" s="1">
        <v>0</v>
      </c>
      <c r="J92" s="3" t="s">
        <v>117</v>
      </c>
      <c r="K92" s="2" t="str">
        <f>J92*1214.00</f>
        <v>0</v>
      </c>
      <c r="L92" s="5"/>
    </row>
    <row r="93" spans="1:12" customHeight="1" ht="105" outlineLevel="4">
      <c r="A93" s="1"/>
      <c r="B93" s="1">
        <v>819511</v>
      </c>
      <c r="C93" s="1" t="s">
        <v>352</v>
      </c>
      <c r="D93" s="1" t="s">
        <v>353</v>
      </c>
      <c r="E93" s="2" t="s">
        <v>354</v>
      </c>
      <c r="F93" s="2" t="s">
        <v>355</v>
      </c>
      <c r="G93" s="2">
        <v>6</v>
      </c>
      <c r="H93" s="2" t="s">
        <v>58</v>
      </c>
      <c r="I93" s="1">
        <v>0</v>
      </c>
      <c r="J93" s="3" t="s">
        <v>117</v>
      </c>
      <c r="K93" s="2" t="str">
        <f>J93*2302.00</f>
        <v>0</v>
      </c>
      <c r="L93" s="5"/>
    </row>
    <row r="94" spans="1:12" customHeight="1" ht="105" outlineLevel="4">
      <c r="A94" s="1"/>
      <c r="B94" s="1">
        <v>819512</v>
      </c>
      <c r="C94" s="1" t="s">
        <v>356</v>
      </c>
      <c r="D94" s="1" t="s">
        <v>357</v>
      </c>
      <c r="E94" s="2" t="s">
        <v>358</v>
      </c>
      <c r="F94" s="2" t="s">
        <v>359</v>
      </c>
      <c r="G94" s="2" t="s">
        <v>90</v>
      </c>
      <c r="H94" s="2" t="s">
        <v>58</v>
      </c>
      <c r="I94" s="1">
        <v>0</v>
      </c>
      <c r="J94" s="3" t="s">
        <v>117</v>
      </c>
      <c r="K94" s="2" t="str">
        <f>J94*2638.00</f>
        <v>0</v>
      </c>
      <c r="L94" s="5"/>
    </row>
    <row r="95" spans="1:12" customHeight="1" ht="105" outlineLevel="4">
      <c r="A95" s="1"/>
      <c r="B95" s="1">
        <v>819513</v>
      </c>
      <c r="C95" s="1" t="s">
        <v>360</v>
      </c>
      <c r="D95" s="1" t="s">
        <v>361</v>
      </c>
      <c r="E95" s="2" t="s">
        <v>362</v>
      </c>
      <c r="F95" s="2" t="s">
        <v>363</v>
      </c>
      <c r="G95" s="2" t="s">
        <v>58</v>
      </c>
      <c r="H95" s="2" t="s">
        <v>40</v>
      </c>
      <c r="I95" s="1">
        <v>0</v>
      </c>
      <c r="J95" s="3" t="s">
        <v>117</v>
      </c>
      <c r="K95" s="2" t="str">
        <f>J95*430.00</f>
        <v>0</v>
      </c>
      <c r="L95" s="5"/>
    </row>
    <row r="96" spans="1:12" customHeight="1" ht="105" outlineLevel="4">
      <c r="A96" s="1"/>
      <c r="B96" s="1">
        <v>819514</v>
      </c>
      <c r="C96" s="1" t="s">
        <v>364</v>
      </c>
      <c r="D96" s="1" t="s">
        <v>365</v>
      </c>
      <c r="E96" s="2" t="s">
        <v>366</v>
      </c>
      <c r="F96" s="2" t="s">
        <v>367</v>
      </c>
      <c r="G96" s="2" t="s">
        <v>90</v>
      </c>
      <c r="H96" s="2" t="s">
        <v>17</v>
      </c>
      <c r="I96" s="1">
        <v>0</v>
      </c>
      <c r="J96" s="3" t="s">
        <v>117</v>
      </c>
      <c r="K96" s="2" t="str">
        <f>J96*696.00</f>
        <v>0</v>
      </c>
      <c r="L96" s="5"/>
    </row>
    <row r="97" spans="1:12" customHeight="1" ht="105" outlineLevel="4">
      <c r="A97" s="1"/>
      <c r="B97" s="1">
        <v>819515</v>
      </c>
      <c r="C97" s="1" t="s">
        <v>368</v>
      </c>
      <c r="D97" s="1" t="s">
        <v>369</v>
      </c>
      <c r="E97" s="2" t="s">
        <v>370</v>
      </c>
      <c r="F97" s="2" t="s">
        <v>371</v>
      </c>
      <c r="G97" s="2" t="s">
        <v>17</v>
      </c>
      <c r="H97" s="2" t="s">
        <v>58</v>
      </c>
      <c r="I97" s="1">
        <v>0</v>
      </c>
      <c r="J97" s="3" t="s">
        <v>117</v>
      </c>
      <c r="K97" s="2" t="str">
        <f>J97*671.00</f>
        <v>0</v>
      </c>
      <c r="L97" s="5"/>
    </row>
    <row r="98" spans="1:12" customHeight="1" ht="105" outlineLevel="4">
      <c r="A98" s="1"/>
      <c r="B98" s="1">
        <v>819516</v>
      </c>
      <c r="C98" s="1" t="s">
        <v>372</v>
      </c>
      <c r="D98" s="1" t="s">
        <v>373</v>
      </c>
      <c r="E98" s="2" t="s">
        <v>374</v>
      </c>
      <c r="F98" s="2" t="s">
        <v>375</v>
      </c>
      <c r="G98" s="2" t="s">
        <v>90</v>
      </c>
      <c r="H98" s="2" t="s">
        <v>139</v>
      </c>
      <c r="I98" s="1">
        <v>0</v>
      </c>
      <c r="J98" s="3" t="s">
        <v>117</v>
      </c>
      <c r="K98" s="2" t="str">
        <f>J98*982.00</f>
        <v>0</v>
      </c>
      <c r="L98" s="5"/>
    </row>
    <row r="99" spans="1:12" customHeight="1" ht="105" outlineLevel="4">
      <c r="A99" s="1"/>
      <c r="B99" s="1">
        <v>819517</v>
      </c>
      <c r="C99" s="1" t="s">
        <v>376</v>
      </c>
      <c r="D99" s="1" t="s">
        <v>377</v>
      </c>
      <c r="E99" s="2" t="s">
        <v>378</v>
      </c>
      <c r="F99" s="2" t="s">
        <v>379</v>
      </c>
      <c r="G99" s="2" t="s">
        <v>58</v>
      </c>
      <c r="H99" s="2" t="s">
        <v>17</v>
      </c>
      <c r="I99" s="1">
        <v>0</v>
      </c>
      <c r="J99" s="3" t="s">
        <v>117</v>
      </c>
      <c r="K99" s="2" t="str">
        <f>J99*975.00</f>
        <v>0</v>
      </c>
      <c r="L99" s="5"/>
    </row>
    <row r="100" spans="1:12" customHeight="1" ht="105" outlineLevel="4">
      <c r="A100" s="1"/>
      <c r="B100" s="1">
        <v>819518</v>
      </c>
      <c r="C100" s="1" t="s">
        <v>380</v>
      </c>
      <c r="D100" s="1" t="s">
        <v>381</v>
      </c>
      <c r="E100" s="2" t="s">
        <v>382</v>
      </c>
      <c r="F100" s="2" t="s">
        <v>383</v>
      </c>
      <c r="G100" s="2" t="s">
        <v>90</v>
      </c>
      <c r="H100" s="2" t="s">
        <v>58</v>
      </c>
      <c r="I100" s="1">
        <v>0</v>
      </c>
      <c r="J100" s="3" t="s">
        <v>117</v>
      </c>
      <c r="K100" s="2" t="str">
        <f>J100*2244.00</f>
        <v>0</v>
      </c>
      <c r="L100" s="5"/>
    </row>
    <row r="101" spans="1:12" customHeight="1" ht="105" outlineLevel="4">
      <c r="A101" s="1"/>
      <c r="B101" s="1">
        <v>819519</v>
      </c>
      <c r="C101" s="1" t="s">
        <v>384</v>
      </c>
      <c r="D101" s="1" t="s">
        <v>385</v>
      </c>
      <c r="E101" s="2" t="s">
        <v>386</v>
      </c>
      <c r="F101" s="2" t="s">
        <v>387</v>
      </c>
      <c r="G101" s="2">
        <v>10</v>
      </c>
      <c r="H101" s="2" t="s">
        <v>90</v>
      </c>
      <c r="I101" s="1">
        <v>0</v>
      </c>
      <c r="J101" s="3" t="s">
        <v>117</v>
      </c>
      <c r="K101" s="2" t="str">
        <f>J101*2634.00</f>
        <v>0</v>
      </c>
      <c r="L101" s="5"/>
    </row>
    <row r="102" spans="1:12" customHeight="1" ht="105" outlineLevel="4">
      <c r="A102" s="1"/>
      <c r="B102" s="1">
        <v>819520</v>
      </c>
      <c r="C102" s="1" t="s">
        <v>388</v>
      </c>
      <c r="D102" s="1" t="s">
        <v>389</v>
      </c>
      <c r="E102" s="2" t="s">
        <v>390</v>
      </c>
      <c r="F102" s="2" t="s">
        <v>391</v>
      </c>
      <c r="G102" s="2" t="s">
        <v>139</v>
      </c>
      <c r="H102" s="2" t="s">
        <v>139</v>
      </c>
      <c r="I102" s="1">
        <v>0</v>
      </c>
      <c r="J102" s="3" t="s">
        <v>117</v>
      </c>
      <c r="K102" s="2" t="str">
        <f>J102*722.00</f>
        <v>0</v>
      </c>
      <c r="L102" s="5"/>
    </row>
    <row r="103" spans="1:12" customHeight="1" ht="105" outlineLevel="4">
      <c r="A103" s="1"/>
      <c r="B103" s="1">
        <v>819521</v>
      </c>
      <c r="C103" s="1" t="s">
        <v>392</v>
      </c>
      <c r="D103" s="1" t="s">
        <v>393</v>
      </c>
      <c r="E103" s="2" t="s">
        <v>394</v>
      </c>
      <c r="F103" s="2" t="s">
        <v>395</v>
      </c>
      <c r="G103" s="2" t="s">
        <v>90</v>
      </c>
      <c r="H103" s="2" t="s">
        <v>139</v>
      </c>
      <c r="I103" s="1">
        <v>0</v>
      </c>
      <c r="J103" s="3" t="s">
        <v>117</v>
      </c>
      <c r="K103" s="2" t="str">
        <f>J103*967.00</f>
        <v>0</v>
      </c>
      <c r="L103" s="5"/>
    </row>
    <row r="104" spans="1:12" customHeight="1" ht="105" outlineLevel="4">
      <c r="A104" s="1"/>
      <c r="B104" s="1">
        <v>819522</v>
      </c>
      <c r="C104" s="1" t="s">
        <v>396</v>
      </c>
      <c r="D104" s="1" t="s">
        <v>397</v>
      </c>
      <c r="E104" s="2" t="s">
        <v>398</v>
      </c>
      <c r="F104" s="2" t="s">
        <v>399</v>
      </c>
      <c r="G104" s="2" t="s">
        <v>90</v>
      </c>
      <c r="H104" s="2" t="s">
        <v>58</v>
      </c>
      <c r="I104" s="1">
        <v>0</v>
      </c>
      <c r="J104" s="3" t="s">
        <v>117</v>
      </c>
      <c r="K104" s="2" t="str">
        <f>J104*827.00</f>
        <v>0</v>
      </c>
      <c r="L104" s="5"/>
    </row>
    <row r="105" spans="1:12" customHeight="1" ht="105" outlineLevel="4">
      <c r="A105" s="1"/>
      <c r="B105" s="1">
        <v>819523</v>
      </c>
      <c r="C105" s="1" t="s">
        <v>400</v>
      </c>
      <c r="D105" s="1" t="s">
        <v>401</v>
      </c>
      <c r="E105" s="2" t="s">
        <v>402</v>
      </c>
      <c r="F105" s="2" t="s">
        <v>403</v>
      </c>
      <c r="G105" s="2" t="s">
        <v>90</v>
      </c>
      <c r="H105" s="2" t="s">
        <v>139</v>
      </c>
      <c r="I105" s="1">
        <v>0</v>
      </c>
      <c r="J105" s="3" t="s">
        <v>117</v>
      </c>
      <c r="K105" s="2" t="str">
        <f>J105*1202.00</f>
        <v>0</v>
      </c>
      <c r="L105" s="5"/>
    </row>
    <row r="106" spans="1:12" customHeight="1" ht="105" outlineLevel="4">
      <c r="A106" s="1"/>
      <c r="B106" s="1">
        <v>819524</v>
      </c>
      <c r="C106" s="1" t="s">
        <v>404</v>
      </c>
      <c r="D106" s="1" t="s">
        <v>405</v>
      </c>
      <c r="E106" s="2" t="s">
        <v>406</v>
      </c>
      <c r="F106" s="2" t="s">
        <v>407</v>
      </c>
      <c r="G106" s="2" t="s">
        <v>139</v>
      </c>
      <c r="H106" s="2" t="s">
        <v>17</v>
      </c>
      <c r="I106" s="1">
        <v>0</v>
      </c>
      <c r="J106" s="3" t="s">
        <v>117</v>
      </c>
      <c r="K106" s="2" t="str">
        <f>J106*1174.00</f>
        <v>0</v>
      </c>
      <c r="L106" s="5"/>
    </row>
    <row r="107" spans="1:12" customHeight="1" ht="105" outlineLevel="4">
      <c r="A107" s="1"/>
      <c r="B107" s="1">
        <v>819525</v>
      </c>
      <c r="C107" s="1" t="s">
        <v>408</v>
      </c>
      <c r="D107" s="1" t="s">
        <v>409</v>
      </c>
      <c r="E107" s="2" t="s">
        <v>410</v>
      </c>
      <c r="F107" s="2" t="s">
        <v>411</v>
      </c>
      <c r="G107" s="2" t="s">
        <v>90</v>
      </c>
      <c r="H107" s="2" t="s">
        <v>17</v>
      </c>
      <c r="I107" s="1">
        <v>0</v>
      </c>
      <c r="J107" s="3" t="s">
        <v>117</v>
      </c>
      <c r="K107" s="2" t="str">
        <f>J107*1455.00</f>
        <v>0</v>
      </c>
      <c r="L107" s="5"/>
    </row>
    <row r="108" spans="1:12" customHeight="1" ht="105" outlineLevel="4">
      <c r="A108" s="1"/>
      <c r="B108" s="1">
        <v>819526</v>
      </c>
      <c r="C108" s="1" t="s">
        <v>412</v>
      </c>
      <c r="D108" s="1" t="s">
        <v>413</v>
      </c>
      <c r="E108" s="2" t="s">
        <v>414</v>
      </c>
      <c r="F108" s="2" t="s">
        <v>415</v>
      </c>
      <c r="G108" s="2" t="s">
        <v>90</v>
      </c>
      <c r="H108" s="2" t="s">
        <v>90</v>
      </c>
      <c r="I108" s="1">
        <v>0</v>
      </c>
      <c r="J108" s="3" t="s">
        <v>117</v>
      </c>
      <c r="K108" s="2" t="str">
        <f>J108*1597.00</f>
        <v>0</v>
      </c>
      <c r="L108" s="5"/>
    </row>
    <row r="109" spans="1:12" customHeight="1" ht="105" outlineLevel="4">
      <c r="A109" s="1"/>
      <c r="B109" s="1">
        <v>819527</v>
      </c>
      <c r="C109" s="1" t="s">
        <v>416</v>
      </c>
      <c r="D109" s="1" t="s">
        <v>417</v>
      </c>
      <c r="E109" s="2" t="s">
        <v>418</v>
      </c>
      <c r="F109" s="2" t="s">
        <v>419</v>
      </c>
      <c r="G109" s="2" t="s">
        <v>17</v>
      </c>
      <c r="H109" s="2" t="s">
        <v>40</v>
      </c>
      <c r="I109" s="1">
        <v>0</v>
      </c>
      <c r="J109" s="3" t="s">
        <v>117</v>
      </c>
      <c r="K109" s="2" t="str">
        <f>J109*316.00</f>
        <v>0</v>
      </c>
      <c r="L109" s="5"/>
    </row>
    <row r="110" spans="1:12" customHeight="1" ht="105" outlineLevel="4">
      <c r="A110" s="1"/>
      <c r="B110" s="1">
        <v>819528</v>
      </c>
      <c r="C110" s="1" t="s">
        <v>420</v>
      </c>
      <c r="D110" s="1" t="s">
        <v>421</v>
      </c>
      <c r="E110" s="2" t="s">
        <v>422</v>
      </c>
      <c r="F110" s="2" t="s">
        <v>423</v>
      </c>
      <c r="G110" s="2" t="s">
        <v>58</v>
      </c>
      <c r="H110" s="2" t="s">
        <v>40</v>
      </c>
      <c r="I110" s="1">
        <v>0</v>
      </c>
      <c r="J110" s="3" t="s">
        <v>117</v>
      </c>
      <c r="K110" s="2" t="str">
        <f>J110*584.00</f>
        <v>0</v>
      </c>
      <c r="L110" s="5"/>
    </row>
    <row r="111" spans="1:12" customHeight="1" ht="105" outlineLevel="4">
      <c r="A111" s="1"/>
      <c r="B111" s="1">
        <v>819529</v>
      </c>
      <c r="C111" s="1" t="s">
        <v>424</v>
      </c>
      <c r="D111" s="1" t="s">
        <v>425</v>
      </c>
      <c r="E111" s="2" t="s">
        <v>426</v>
      </c>
      <c r="F111" s="2" t="s">
        <v>427</v>
      </c>
      <c r="G111" s="2" t="s">
        <v>90</v>
      </c>
      <c r="H111" s="2" t="s">
        <v>17</v>
      </c>
      <c r="I111" s="1">
        <v>0</v>
      </c>
      <c r="J111" s="3" t="s">
        <v>117</v>
      </c>
      <c r="K111" s="2" t="str">
        <f>J111*780.00</f>
        <v>0</v>
      </c>
      <c r="L111" s="5"/>
    </row>
    <row r="112" spans="1:12" customHeight="1" ht="105" outlineLevel="4">
      <c r="A112" s="1"/>
      <c r="B112" s="1">
        <v>819530</v>
      </c>
      <c r="C112" s="1" t="s">
        <v>428</v>
      </c>
      <c r="D112" s="1" t="s">
        <v>429</v>
      </c>
      <c r="E112" s="2" t="s">
        <v>430</v>
      </c>
      <c r="F112" s="2" t="s">
        <v>431</v>
      </c>
      <c r="G112" s="2">
        <v>4</v>
      </c>
      <c r="H112" s="2" t="s">
        <v>17</v>
      </c>
      <c r="I112" s="1">
        <v>0</v>
      </c>
      <c r="J112" s="3" t="s">
        <v>117</v>
      </c>
      <c r="K112" s="2" t="str">
        <f>J112*1975.00</f>
        <v>0</v>
      </c>
      <c r="L112" s="5"/>
    </row>
    <row r="113" spans="1:12" customHeight="1" ht="105" outlineLevel="4">
      <c r="A113" s="1"/>
      <c r="B113" s="1">
        <v>819531</v>
      </c>
      <c r="C113" s="1" t="s">
        <v>432</v>
      </c>
      <c r="D113" s="1" t="s">
        <v>433</v>
      </c>
      <c r="E113" s="2" t="s">
        <v>434</v>
      </c>
      <c r="F113" s="2" t="s">
        <v>435</v>
      </c>
      <c r="G113" s="2" t="s">
        <v>58</v>
      </c>
      <c r="H113" s="2" t="s">
        <v>40</v>
      </c>
      <c r="I113" s="1">
        <v>0</v>
      </c>
      <c r="J113" s="3" t="s">
        <v>117</v>
      </c>
      <c r="K113" s="2" t="str">
        <f>J113*277.00</f>
        <v>0</v>
      </c>
      <c r="L113" s="5"/>
    </row>
    <row r="114" spans="1:12" customHeight="1" ht="105" outlineLevel="4">
      <c r="A114" s="1"/>
      <c r="B114" s="1">
        <v>819532</v>
      </c>
      <c r="C114" s="1" t="s">
        <v>436</v>
      </c>
      <c r="D114" s="1" t="s">
        <v>437</v>
      </c>
      <c r="E114" s="2" t="s">
        <v>438</v>
      </c>
      <c r="F114" s="2" t="s">
        <v>439</v>
      </c>
      <c r="G114" s="2">
        <v>8</v>
      </c>
      <c r="H114" s="2" t="s">
        <v>17</v>
      </c>
      <c r="I114" s="1">
        <v>0</v>
      </c>
      <c r="J114" s="3" t="s">
        <v>117</v>
      </c>
      <c r="K114" s="2" t="str">
        <f>J114*410.00</f>
        <v>0</v>
      </c>
      <c r="L114" s="5"/>
    </row>
    <row r="115" spans="1:12" customHeight="1" ht="105" outlineLevel="4">
      <c r="A115" s="1"/>
      <c r="B115" s="1">
        <v>819533</v>
      </c>
      <c r="C115" s="1" t="s">
        <v>440</v>
      </c>
      <c r="D115" s="1" t="s">
        <v>441</v>
      </c>
      <c r="E115" s="2" t="s">
        <v>442</v>
      </c>
      <c r="F115" s="2" t="s">
        <v>443</v>
      </c>
      <c r="G115" s="2">
        <v>6</v>
      </c>
      <c r="H115" s="2" t="s">
        <v>17</v>
      </c>
      <c r="I115" s="1">
        <v>0</v>
      </c>
      <c r="J115" s="3" t="s">
        <v>117</v>
      </c>
      <c r="K115" s="2" t="str">
        <f>J115*437.00</f>
        <v>0</v>
      </c>
      <c r="L115" s="5"/>
    </row>
    <row r="116" spans="1:12" customHeight="1" ht="105" outlineLevel="4">
      <c r="A116" s="1"/>
      <c r="B116" s="1">
        <v>819534</v>
      </c>
      <c r="C116" s="1" t="s">
        <v>444</v>
      </c>
      <c r="D116" s="1" t="s">
        <v>445</v>
      </c>
      <c r="E116" s="2" t="s">
        <v>446</v>
      </c>
      <c r="F116" s="2" t="s">
        <v>447</v>
      </c>
      <c r="G116" s="2">
        <v>8</v>
      </c>
      <c r="H116" s="2" t="s">
        <v>17</v>
      </c>
      <c r="I116" s="1">
        <v>0</v>
      </c>
      <c r="J116" s="3" t="s">
        <v>117</v>
      </c>
      <c r="K116" s="2" t="str">
        <f>J116*477.00</f>
        <v>0</v>
      </c>
      <c r="L116" s="5"/>
    </row>
    <row r="117" spans="1:12" customHeight="1" ht="105" outlineLevel="4">
      <c r="A117" s="1"/>
      <c r="B117" s="1">
        <v>819535</v>
      </c>
      <c r="C117" s="1" t="s">
        <v>448</v>
      </c>
      <c r="D117" s="1" t="s">
        <v>449</v>
      </c>
      <c r="E117" s="2" t="s">
        <v>450</v>
      </c>
      <c r="F117" s="2" t="s">
        <v>451</v>
      </c>
      <c r="G117" s="2" t="s">
        <v>17</v>
      </c>
      <c r="H117" s="2" t="s">
        <v>58</v>
      </c>
      <c r="I117" s="1">
        <v>0</v>
      </c>
      <c r="J117" s="3" t="s">
        <v>117</v>
      </c>
      <c r="K117" s="2" t="str">
        <f>J117*612.00</f>
        <v>0</v>
      </c>
      <c r="L117" s="5"/>
    </row>
    <row r="118" spans="1:12" customHeight="1" ht="105" outlineLevel="4">
      <c r="A118" s="1"/>
      <c r="B118" s="1">
        <v>819536</v>
      </c>
      <c r="C118" s="1" t="s">
        <v>452</v>
      </c>
      <c r="D118" s="1" t="s">
        <v>453</v>
      </c>
      <c r="E118" s="2" t="s">
        <v>454</v>
      </c>
      <c r="F118" s="2" t="s">
        <v>455</v>
      </c>
      <c r="G118" s="2" t="s">
        <v>139</v>
      </c>
      <c r="H118" s="2" t="s">
        <v>139</v>
      </c>
      <c r="I118" s="1">
        <v>0</v>
      </c>
      <c r="J118" s="3" t="s">
        <v>117</v>
      </c>
      <c r="K118" s="2" t="str">
        <f>J118*787.00</f>
        <v>0</v>
      </c>
      <c r="L118" s="5"/>
    </row>
    <row r="119" spans="1:12" customHeight="1" ht="105" outlineLevel="4">
      <c r="A119" s="1"/>
      <c r="B119" s="1">
        <v>819537</v>
      </c>
      <c r="C119" s="1" t="s">
        <v>456</v>
      </c>
      <c r="D119" s="1" t="s">
        <v>457</v>
      </c>
      <c r="E119" s="2" t="s">
        <v>458</v>
      </c>
      <c r="F119" s="2" t="s">
        <v>459</v>
      </c>
      <c r="G119" s="2">
        <v>10</v>
      </c>
      <c r="H119" s="2" t="s">
        <v>90</v>
      </c>
      <c r="I119" s="1">
        <v>0</v>
      </c>
      <c r="J119" s="3" t="s">
        <v>117</v>
      </c>
      <c r="K119" s="2" t="str">
        <f>J119*1526.00</f>
        <v>0</v>
      </c>
      <c r="L119" s="5"/>
    </row>
    <row r="120" spans="1:12" customHeight="1" ht="105" outlineLevel="4">
      <c r="A120" s="1"/>
      <c r="B120" s="1">
        <v>819538</v>
      </c>
      <c r="C120" s="1" t="s">
        <v>460</v>
      </c>
      <c r="D120" s="1" t="s">
        <v>461</v>
      </c>
      <c r="E120" s="2" t="s">
        <v>462</v>
      </c>
      <c r="F120" s="2" t="s">
        <v>463</v>
      </c>
      <c r="G120" s="2">
        <v>7</v>
      </c>
      <c r="H120" s="2" t="s">
        <v>90</v>
      </c>
      <c r="I120" s="1">
        <v>0</v>
      </c>
      <c r="J120" s="3" t="s">
        <v>117</v>
      </c>
      <c r="K120" s="2" t="str">
        <f>J120*1761.00</f>
        <v>0</v>
      </c>
      <c r="L120" s="5"/>
    </row>
    <row r="121" spans="1:12" customHeight="1" ht="105" outlineLevel="4">
      <c r="A121" s="1"/>
      <c r="B121" s="1">
        <v>819539</v>
      </c>
      <c r="C121" s="1" t="s">
        <v>464</v>
      </c>
      <c r="D121" s="1" t="s">
        <v>465</v>
      </c>
      <c r="E121" s="2" t="s">
        <v>466</v>
      </c>
      <c r="F121" s="2" t="s">
        <v>467</v>
      </c>
      <c r="G121" s="2" t="s">
        <v>58</v>
      </c>
      <c r="H121" s="2" t="s">
        <v>40</v>
      </c>
      <c r="I121" s="1">
        <v>0</v>
      </c>
      <c r="J121" s="3" t="s">
        <v>117</v>
      </c>
      <c r="K121" s="2" t="str">
        <f>J121*246.00</f>
        <v>0</v>
      </c>
      <c r="L121" s="5"/>
    </row>
    <row r="122" spans="1:12" customHeight="1" ht="105" outlineLevel="4">
      <c r="A122" s="1"/>
      <c r="B122" s="1">
        <v>819540</v>
      </c>
      <c r="C122" s="1" t="s">
        <v>468</v>
      </c>
      <c r="D122" s="1" t="s">
        <v>469</v>
      </c>
      <c r="E122" s="2" t="s">
        <v>470</v>
      </c>
      <c r="F122" s="2" t="s">
        <v>471</v>
      </c>
      <c r="G122" s="2" t="s">
        <v>139</v>
      </c>
      <c r="H122" s="2" t="s">
        <v>17</v>
      </c>
      <c r="I122" s="1">
        <v>0</v>
      </c>
      <c r="J122" s="3" t="s">
        <v>117</v>
      </c>
      <c r="K122" s="2" t="str">
        <f>J122*394.00</f>
        <v>0</v>
      </c>
      <c r="L122" s="5"/>
    </row>
    <row r="123" spans="1:12" customHeight="1" ht="105" outlineLevel="4">
      <c r="A123" s="1"/>
      <c r="B123" s="1">
        <v>819541</v>
      </c>
      <c r="C123" s="1" t="s">
        <v>472</v>
      </c>
      <c r="D123" s="1" t="s">
        <v>473</v>
      </c>
      <c r="E123" s="2" t="s">
        <v>474</v>
      </c>
      <c r="F123" s="2" t="s">
        <v>475</v>
      </c>
      <c r="G123" s="2" t="s">
        <v>90</v>
      </c>
      <c r="H123" s="2" t="s">
        <v>17</v>
      </c>
      <c r="I123" s="1">
        <v>0</v>
      </c>
      <c r="J123" s="3" t="s">
        <v>117</v>
      </c>
      <c r="K123" s="2" t="str">
        <f>J123*431.00</f>
        <v>0</v>
      </c>
      <c r="L123" s="5"/>
    </row>
    <row r="124" spans="1:12" customHeight="1" ht="105" outlineLevel="4">
      <c r="A124" s="1"/>
      <c r="B124" s="1">
        <v>819542</v>
      </c>
      <c r="C124" s="1" t="s">
        <v>476</v>
      </c>
      <c r="D124" s="1" t="s">
        <v>477</v>
      </c>
      <c r="E124" s="2" t="s">
        <v>478</v>
      </c>
      <c r="F124" s="2" t="s">
        <v>479</v>
      </c>
      <c r="G124" s="2">
        <v>7</v>
      </c>
      <c r="H124" s="2" t="s">
        <v>17</v>
      </c>
      <c r="I124" s="1">
        <v>0</v>
      </c>
      <c r="J124" s="3" t="s">
        <v>117</v>
      </c>
      <c r="K124" s="2" t="str">
        <f>J124*455.00</f>
        <v>0</v>
      </c>
      <c r="L124" s="5"/>
    </row>
    <row r="125" spans="1:12" customHeight="1" ht="105" outlineLevel="4">
      <c r="A125" s="1"/>
      <c r="B125" s="1">
        <v>819543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6</v>
      </c>
      <c r="H125" s="2" t="s">
        <v>17</v>
      </c>
      <c r="I125" s="1">
        <v>0</v>
      </c>
      <c r="J125" s="3" t="s">
        <v>117</v>
      </c>
      <c r="K125" s="2" t="str">
        <f>J125*594.00</f>
        <v>0</v>
      </c>
      <c r="L125" s="5"/>
    </row>
    <row r="126" spans="1:12" customHeight="1" ht="105" outlineLevel="4">
      <c r="A126" s="1"/>
      <c r="B126" s="1">
        <v>819544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 t="s">
        <v>17</v>
      </c>
      <c r="H126" s="2" t="s">
        <v>139</v>
      </c>
      <c r="I126" s="1">
        <v>0</v>
      </c>
      <c r="J126" s="3" t="s">
        <v>117</v>
      </c>
      <c r="K126" s="2" t="str">
        <f>J126*673.00</f>
        <v>0</v>
      </c>
      <c r="L126" s="5"/>
    </row>
    <row r="127" spans="1:12" customHeight="1" ht="105" outlineLevel="4">
      <c r="A127" s="1"/>
      <c r="B127" s="1">
        <v>819545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5</v>
      </c>
      <c r="H127" s="2" t="s">
        <v>90</v>
      </c>
      <c r="I127" s="1">
        <v>0</v>
      </c>
      <c r="J127" s="3" t="s">
        <v>117</v>
      </c>
      <c r="K127" s="2" t="str">
        <f>J127*1317.00</f>
        <v>0</v>
      </c>
      <c r="L127" s="5"/>
    </row>
    <row r="128" spans="1:12" customHeight="1" ht="105" outlineLevel="4">
      <c r="A128" s="1"/>
      <c r="B128" s="1">
        <v>819546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 t="s">
        <v>90</v>
      </c>
      <c r="H128" s="2" t="s">
        <v>90</v>
      </c>
      <c r="I128" s="1">
        <v>0</v>
      </c>
      <c r="J128" s="3" t="s">
        <v>117</v>
      </c>
      <c r="K128" s="2" t="str">
        <f>J128*1551.00</f>
        <v>0</v>
      </c>
      <c r="L128" s="5"/>
    </row>
    <row r="129" spans="1:12" customHeight="1" ht="105" outlineLevel="4">
      <c r="A129" s="1"/>
      <c r="B129" s="1">
        <v>819547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 t="s">
        <v>58</v>
      </c>
      <c r="H129" s="2" t="s">
        <v>40</v>
      </c>
      <c r="I129" s="1">
        <v>0</v>
      </c>
      <c r="J129" s="3" t="s">
        <v>117</v>
      </c>
      <c r="K129" s="2" t="str">
        <f>J129*400.00</f>
        <v>0</v>
      </c>
      <c r="L129" s="5"/>
    </row>
    <row r="130" spans="1:12" customHeight="1" ht="105" outlineLevel="4">
      <c r="A130" s="1"/>
      <c r="B130" s="1">
        <v>819548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7</v>
      </c>
      <c r="H130" s="2" t="s">
        <v>17</v>
      </c>
      <c r="I130" s="1">
        <v>0</v>
      </c>
      <c r="J130" s="3" t="s">
        <v>117</v>
      </c>
      <c r="K130" s="2" t="str">
        <f>J130*581.00</f>
        <v>0</v>
      </c>
      <c r="L130" s="5"/>
    </row>
    <row r="131" spans="1:12" customHeight="1" ht="105" outlineLevel="4">
      <c r="A131" s="1"/>
      <c r="B131" s="1">
        <v>819549</v>
      </c>
      <c r="C131" s="1" t="s">
        <v>504</v>
      </c>
      <c r="D131" s="1" t="s">
        <v>505</v>
      </c>
      <c r="E131" s="2" t="s">
        <v>506</v>
      </c>
      <c r="F131" s="2" t="s">
        <v>507</v>
      </c>
      <c r="G131" s="2" t="s">
        <v>90</v>
      </c>
      <c r="H131" s="2" t="s">
        <v>139</v>
      </c>
      <c r="I131" s="1">
        <v>0</v>
      </c>
      <c r="J131" s="3" t="s">
        <v>117</v>
      </c>
      <c r="K131" s="2" t="str">
        <f>J131*684.00</f>
        <v>0</v>
      </c>
      <c r="L131" s="5"/>
    </row>
    <row r="132" spans="1:12" customHeight="1" ht="105" outlineLevel="4">
      <c r="A132" s="1"/>
      <c r="B132" s="1">
        <v>819550</v>
      </c>
      <c r="C132" s="1" t="s">
        <v>508</v>
      </c>
      <c r="D132" s="1" t="s">
        <v>509</v>
      </c>
      <c r="E132" s="2" t="s">
        <v>510</v>
      </c>
      <c r="F132" s="2" t="s">
        <v>511</v>
      </c>
      <c r="G132" s="2" t="s">
        <v>139</v>
      </c>
      <c r="H132" s="2" t="s">
        <v>45</v>
      </c>
      <c r="I132" s="1">
        <v>0</v>
      </c>
      <c r="J132" s="3" t="s">
        <v>117</v>
      </c>
      <c r="K132" s="2" t="str">
        <f>J132*379.00</f>
        <v>0</v>
      </c>
      <c r="L132" s="5"/>
    </row>
    <row r="133" spans="1:12" outlineLevel="2">
      <c r="A133" s="8" t="s">
        <v>512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823188</v>
      </c>
      <c r="C134" s="1" t="s">
        <v>513</v>
      </c>
      <c r="D134" s="1" t="s">
        <v>514</v>
      </c>
      <c r="E134" s="2" t="s">
        <v>515</v>
      </c>
      <c r="F134" s="2" t="s">
        <v>516</v>
      </c>
      <c r="G134" s="2" t="s">
        <v>90</v>
      </c>
      <c r="H134" s="2">
        <v>0</v>
      </c>
      <c r="I134" s="1">
        <v>0</v>
      </c>
      <c r="J134" s="3" t="s">
        <v>117</v>
      </c>
      <c r="K134" s="2" t="str">
        <f>J134*685.74</f>
        <v>0</v>
      </c>
      <c r="L134" s="5"/>
    </row>
    <row r="135" spans="1:12" customHeight="1" ht="105" outlineLevel="4">
      <c r="A135" s="1"/>
      <c r="B135" s="1">
        <v>819551</v>
      </c>
      <c r="C135" s="1" t="s">
        <v>517</v>
      </c>
      <c r="D135" s="1" t="s">
        <v>518</v>
      </c>
      <c r="E135" s="2" t="s">
        <v>519</v>
      </c>
      <c r="F135" s="2" t="s">
        <v>520</v>
      </c>
      <c r="G135" s="2" t="s">
        <v>17</v>
      </c>
      <c r="H135" s="2">
        <v>0</v>
      </c>
      <c r="I135" s="1">
        <v>0</v>
      </c>
      <c r="J135" s="3" t="s">
        <v>117</v>
      </c>
      <c r="K135" s="2" t="str">
        <f>J135*110.08</f>
        <v>0</v>
      </c>
      <c r="L135" s="5"/>
    </row>
    <row r="136" spans="1:12" customHeight="1" ht="105" outlineLevel="4">
      <c r="A136" s="1"/>
      <c r="B136" s="1">
        <v>819552</v>
      </c>
      <c r="C136" s="1" t="s">
        <v>521</v>
      </c>
      <c r="D136" s="1" t="s">
        <v>522</v>
      </c>
      <c r="E136" s="2" t="s">
        <v>523</v>
      </c>
      <c r="F136" s="2" t="s">
        <v>524</v>
      </c>
      <c r="G136" s="2" t="s">
        <v>139</v>
      </c>
      <c r="H136" s="2">
        <v>0</v>
      </c>
      <c r="I136" s="1">
        <v>0</v>
      </c>
      <c r="J136" s="3" t="s">
        <v>117</v>
      </c>
      <c r="K136" s="2" t="str">
        <f>J136*150.24</f>
        <v>0</v>
      </c>
      <c r="L136" s="5"/>
    </row>
    <row r="137" spans="1:12" customHeight="1" ht="105" outlineLevel="4">
      <c r="A137" s="1"/>
      <c r="B137" s="1">
        <v>819553</v>
      </c>
      <c r="C137" s="1" t="s">
        <v>525</v>
      </c>
      <c r="D137" s="1" t="s">
        <v>526</v>
      </c>
      <c r="E137" s="2" t="s">
        <v>527</v>
      </c>
      <c r="F137" s="2" t="s">
        <v>528</v>
      </c>
      <c r="G137" s="2" t="s">
        <v>58</v>
      </c>
      <c r="H137" s="2">
        <v>0</v>
      </c>
      <c r="I137" s="1">
        <v>0</v>
      </c>
      <c r="J137" s="3" t="s">
        <v>117</v>
      </c>
      <c r="K137" s="2" t="str">
        <f>J137*171.06</f>
        <v>0</v>
      </c>
      <c r="L137" s="5"/>
    </row>
    <row r="138" spans="1:12" customHeight="1" ht="105" outlineLevel="4">
      <c r="A138" s="1"/>
      <c r="B138" s="1">
        <v>819554</v>
      </c>
      <c r="C138" s="1" t="s">
        <v>529</v>
      </c>
      <c r="D138" s="1" t="s">
        <v>530</v>
      </c>
      <c r="E138" s="2" t="s">
        <v>531</v>
      </c>
      <c r="F138" s="2" t="s">
        <v>528</v>
      </c>
      <c r="G138" s="2" t="s">
        <v>58</v>
      </c>
      <c r="H138" s="2">
        <v>0</v>
      </c>
      <c r="I138" s="1">
        <v>0</v>
      </c>
      <c r="J138" s="3" t="s">
        <v>117</v>
      </c>
      <c r="K138" s="2" t="str">
        <f>J138*171.06</f>
        <v>0</v>
      </c>
      <c r="L138" s="5"/>
    </row>
    <row r="139" spans="1:12" customHeight="1" ht="105" outlineLevel="4">
      <c r="A139" s="1"/>
      <c r="B139" s="1">
        <v>819555</v>
      </c>
      <c r="C139" s="1" t="s">
        <v>532</v>
      </c>
      <c r="D139" s="1" t="s">
        <v>533</v>
      </c>
      <c r="E139" s="2" t="s">
        <v>534</v>
      </c>
      <c r="F139" s="2" t="s">
        <v>535</v>
      </c>
      <c r="G139" s="2" t="s">
        <v>90</v>
      </c>
      <c r="H139" s="2">
        <v>0</v>
      </c>
      <c r="I139" s="1">
        <v>0</v>
      </c>
      <c r="J139" s="3" t="s">
        <v>117</v>
      </c>
      <c r="K139" s="2" t="str">
        <f>J139*331.71</f>
        <v>0</v>
      </c>
      <c r="L139" s="5"/>
    </row>
    <row r="140" spans="1:12" customHeight="1" ht="105" outlineLevel="4">
      <c r="A140" s="1"/>
      <c r="B140" s="1">
        <v>819556</v>
      </c>
      <c r="C140" s="1" t="s">
        <v>536</v>
      </c>
      <c r="D140" s="1" t="s">
        <v>537</v>
      </c>
      <c r="E140" s="2" t="s">
        <v>538</v>
      </c>
      <c r="F140" s="2" t="s">
        <v>539</v>
      </c>
      <c r="G140" s="2" t="s">
        <v>139</v>
      </c>
      <c r="H140" s="2">
        <v>0</v>
      </c>
      <c r="I140" s="1">
        <v>0</v>
      </c>
      <c r="J140" s="3" t="s">
        <v>117</v>
      </c>
      <c r="K140" s="2" t="str">
        <f>J140*260.31</f>
        <v>0</v>
      </c>
      <c r="L140" s="5"/>
    </row>
    <row r="141" spans="1:12" customHeight="1" ht="105" outlineLevel="4">
      <c r="A141" s="1"/>
      <c r="B141" s="1">
        <v>819557</v>
      </c>
      <c r="C141" s="1" t="s">
        <v>540</v>
      </c>
      <c r="D141" s="1" t="s">
        <v>541</v>
      </c>
      <c r="E141" s="2" t="s">
        <v>542</v>
      </c>
      <c r="F141" s="2" t="s">
        <v>543</v>
      </c>
      <c r="G141" s="2">
        <v>0</v>
      </c>
      <c r="H141" s="2">
        <v>0</v>
      </c>
      <c r="I141" s="1">
        <v>0</v>
      </c>
      <c r="J141" s="3" t="s">
        <v>117</v>
      </c>
      <c r="K141" s="2" t="str">
        <f>J141*243.27</f>
        <v>0</v>
      </c>
      <c r="L141" s="5"/>
    </row>
    <row r="142" spans="1:12" customHeight="1" ht="105" outlineLevel="4">
      <c r="A142" s="1"/>
      <c r="B142" s="1">
        <v>819558</v>
      </c>
      <c r="C142" s="1" t="s">
        <v>544</v>
      </c>
      <c r="D142" s="1" t="s">
        <v>545</v>
      </c>
      <c r="E142" s="2" t="s">
        <v>546</v>
      </c>
      <c r="F142" s="2" t="s">
        <v>547</v>
      </c>
      <c r="G142" s="2" t="s">
        <v>17</v>
      </c>
      <c r="H142" s="2">
        <v>0</v>
      </c>
      <c r="I142" s="1">
        <v>0</v>
      </c>
      <c r="J142" s="3" t="s">
        <v>117</v>
      </c>
      <c r="K142" s="2" t="str">
        <f>J142*114.54</f>
        <v>0</v>
      </c>
      <c r="L142" s="5"/>
    </row>
    <row r="143" spans="1:12" customHeight="1" ht="105" outlineLevel="4">
      <c r="A143" s="1"/>
      <c r="B143" s="1">
        <v>819559</v>
      </c>
      <c r="C143" s="1" t="s">
        <v>548</v>
      </c>
      <c r="D143" s="1" t="s">
        <v>549</v>
      </c>
      <c r="E143" s="2" t="s">
        <v>550</v>
      </c>
      <c r="F143" s="2" t="s">
        <v>524</v>
      </c>
      <c r="G143" s="2" t="s">
        <v>139</v>
      </c>
      <c r="H143" s="2">
        <v>0</v>
      </c>
      <c r="I143" s="1">
        <v>0</v>
      </c>
      <c r="J143" s="3" t="s">
        <v>117</v>
      </c>
      <c r="K143" s="2" t="str">
        <f>J143*150.24</f>
        <v>0</v>
      </c>
      <c r="L143" s="5"/>
    </row>
    <row r="144" spans="1:12" customHeight="1" ht="105" outlineLevel="4">
      <c r="A144" s="1"/>
      <c r="B144" s="1">
        <v>819560</v>
      </c>
      <c r="C144" s="1" t="s">
        <v>551</v>
      </c>
      <c r="D144" s="1" t="s">
        <v>552</v>
      </c>
      <c r="E144" s="2" t="s">
        <v>553</v>
      </c>
      <c r="F144" s="2" t="s">
        <v>554</v>
      </c>
      <c r="G144" s="2" t="s">
        <v>17</v>
      </c>
      <c r="H144" s="2">
        <v>0</v>
      </c>
      <c r="I144" s="1">
        <v>0</v>
      </c>
      <c r="J144" s="3" t="s">
        <v>117</v>
      </c>
      <c r="K144" s="2" t="str">
        <f>J144*168.09</f>
        <v>0</v>
      </c>
      <c r="L144" s="5"/>
    </row>
    <row r="145" spans="1:12" customHeight="1" ht="105" outlineLevel="4">
      <c r="A145" s="1"/>
      <c r="B145" s="1">
        <v>819561</v>
      </c>
      <c r="C145" s="1" t="s">
        <v>555</v>
      </c>
      <c r="D145" s="1" t="s">
        <v>556</v>
      </c>
      <c r="E145" s="2" t="s">
        <v>557</v>
      </c>
      <c r="F145" s="2" t="s">
        <v>558</v>
      </c>
      <c r="G145" s="2" t="s">
        <v>17</v>
      </c>
      <c r="H145" s="2">
        <v>0</v>
      </c>
      <c r="I145" s="1">
        <v>0</v>
      </c>
      <c r="J145" s="3" t="s">
        <v>117</v>
      </c>
      <c r="K145" s="2" t="str">
        <f>J145*187.43</f>
        <v>0</v>
      </c>
      <c r="L145" s="5"/>
    </row>
    <row r="146" spans="1:12" customHeight="1" ht="105" outlineLevel="4">
      <c r="A146" s="1"/>
      <c r="B146" s="1">
        <v>819562</v>
      </c>
      <c r="C146" s="1" t="s">
        <v>559</v>
      </c>
      <c r="D146" s="1" t="s">
        <v>560</v>
      </c>
      <c r="E146" s="2" t="s">
        <v>561</v>
      </c>
      <c r="F146" s="2" t="s">
        <v>562</v>
      </c>
      <c r="G146" s="2" t="s">
        <v>139</v>
      </c>
      <c r="H146" s="2">
        <v>0</v>
      </c>
      <c r="I146" s="1">
        <v>0</v>
      </c>
      <c r="J146" s="3" t="s">
        <v>117</v>
      </c>
      <c r="K146" s="2" t="str">
        <f>J146*368.90</f>
        <v>0</v>
      </c>
      <c r="L146" s="5"/>
    </row>
    <row r="147" spans="1:12" customHeight="1" ht="105" outlineLevel="4">
      <c r="A147" s="1"/>
      <c r="B147" s="1">
        <v>819563</v>
      </c>
      <c r="C147" s="1" t="s">
        <v>563</v>
      </c>
      <c r="D147" s="1" t="s">
        <v>564</v>
      </c>
      <c r="E147" s="2" t="s">
        <v>565</v>
      </c>
      <c r="F147" s="2" t="s">
        <v>539</v>
      </c>
      <c r="G147" s="2" t="s">
        <v>90</v>
      </c>
      <c r="H147" s="2">
        <v>0</v>
      </c>
      <c r="I147" s="1">
        <v>0</v>
      </c>
      <c r="J147" s="3" t="s">
        <v>117</v>
      </c>
      <c r="K147" s="2" t="str">
        <f>J147*260.31</f>
        <v>0</v>
      </c>
      <c r="L147" s="5"/>
    </row>
    <row r="148" spans="1:12" customHeight="1" ht="105" outlineLevel="4">
      <c r="A148" s="1"/>
      <c r="B148" s="1">
        <v>819564</v>
      </c>
      <c r="C148" s="1" t="s">
        <v>566</v>
      </c>
      <c r="D148" s="1" t="s">
        <v>567</v>
      </c>
      <c r="E148" s="2" t="s">
        <v>568</v>
      </c>
      <c r="F148" s="2" t="s">
        <v>543</v>
      </c>
      <c r="G148" s="2">
        <v>0</v>
      </c>
      <c r="H148" s="2">
        <v>0</v>
      </c>
      <c r="I148" s="1">
        <v>0</v>
      </c>
      <c r="J148" s="3" t="s">
        <v>117</v>
      </c>
      <c r="K148" s="2" t="str">
        <f>J148*243.27</f>
        <v>0</v>
      </c>
      <c r="L148" s="5"/>
    </row>
    <row r="149" spans="1:12" customHeight="1" ht="105" outlineLevel="4">
      <c r="A149" s="1"/>
      <c r="B149" s="1">
        <v>819565</v>
      </c>
      <c r="C149" s="1" t="s">
        <v>569</v>
      </c>
      <c r="D149" s="1" t="s">
        <v>570</v>
      </c>
      <c r="E149" s="2" t="s">
        <v>571</v>
      </c>
      <c r="F149" s="2" t="s">
        <v>572</v>
      </c>
      <c r="G149" s="2" t="s">
        <v>90</v>
      </c>
      <c r="H149" s="2">
        <v>0</v>
      </c>
      <c r="I149" s="1">
        <v>0</v>
      </c>
      <c r="J149" s="3" t="s">
        <v>117</v>
      </c>
      <c r="K149" s="2" t="str">
        <f>J149*193.38</f>
        <v>0</v>
      </c>
      <c r="L149" s="5"/>
    </row>
    <row r="150" spans="1:12" customHeight="1" ht="105" outlineLevel="4">
      <c r="A150" s="1"/>
      <c r="B150" s="1">
        <v>819566</v>
      </c>
      <c r="C150" s="1" t="s">
        <v>573</v>
      </c>
      <c r="D150" s="1" t="s">
        <v>574</v>
      </c>
      <c r="E150" s="2" t="s">
        <v>575</v>
      </c>
      <c r="F150" s="2" t="s">
        <v>576</v>
      </c>
      <c r="G150" s="2" t="s">
        <v>90</v>
      </c>
      <c r="H150" s="2">
        <v>0</v>
      </c>
      <c r="I150" s="1">
        <v>0</v>
      </c>
      <c r="J150" s="3" t="s">
        <v>117</v>
      </c>
      <c r="K150" s="2" t="str">
        <f>J150*223.13</f>
        <v>0</v>
      </c>
      <c r="L150" s="5"/>
    </row>
    <row r="151" spans="1:12" customHeight="1" ht="105" outlineLevel="4">
      <c r="A151" s="1"/>
      <c r="B151" s="1">
        <v>819567</v>
      </c>
      <c r="C151" s="1" t="s">
        <v>577</v>
      </c>
      <c r="D151" s="1" t="s">
        <v>578</v>
      </c>
      <c r="E151" s="2" t="s">
        <v>579</v>
      </c>
      <c r="F151" s="2" t="s">
        <v>580</v>
      </c>
      <c r="G151" s="2" t="s">
        <v>90</v>
      </c>
      <c r="H151" s="2">
        <v>0</v>
      </c>
      <c r="I151" s="1">
        <v>0</v>
      </c>
      <c r="J151" s="3" t="s">
        <v>117</v>
      </c>
      <c r="K151" s="2" t="str">
        <f>J151*264.78</f>
        <v>0</v>
      </c>
      <c r="L151" s="5"/>
    </row>
    <row r="152" spans="1:12" customHeight="1" ht="105" outlineLevel="4">
      <c r="A152" s="1"/>
      <c r="B152" s="1">
        <v>819568</v>
      </c>
      <c r="C152" s="1" t="s">
        <v>581</v>
      </c>
      <c r="D152" s="1" t="s">
        <v>582</v>
      </c>
      <c r="E152" s="2" t="s">
        <v>583</v>
      </c>
      <c r="F152" s="2" t="s">
        <v>584</v>
      </c>
      <c r="G152" s="2">
        <v>0</v>
      </c>
      <c r="H152" s="2">
        <v>0</v>
      </c>
      <c r="I152" s="1">
        <v>0</v>
      </c>
      <c r="J152" s="3" t="s">
        <v>117</v>
      </c>
      <c r="K152" s="2" t="str">
        <f>J152*195.67</f>
        <v>0</v>
      </c>
      <c r="L152" s="5"/>
    </row>
    <row r="153" spans="1:12" customHeight="1" ht="105" outlineLevel="4">
      <c r="A153" s="1"/>
      <c r="B153" s="1">
        <v>819569</v>
      </c>
      <c r="C153" s="1" t="s">
        <v>585</v>
      </c>
      <c r="D153" s="1" t="s">
        <v>586</v>
      </c>
      <c r="E153" s="2" t="s">
        <v>587</v>
      </c>
      <c r="F153" s="2" t="s">
        <v>588</v>
      </c>
      <c r="G153" s="2">
        <v>0</v>
      </c>
      <c r="H153" s="2">
        <v>0</v>
      </c>
      <c r="I153" s="1">
        <v>0</v>
      </c>
      <c r="J153" s="3" t="s">
        <v>117</v>
      </c>
      <c r="K153" s="2" t="str">
        <f>J153*0.00</f>
        <v>0</v>
      </c>
      <c r="L153" s="5"/>
    </row>
    <row r="154" spans="1:12" customHeight="1" ht="105" outlineLevel="4">
      <c r="A154" s="1"/>
      <c r="B154" s="1">
        <v>819570</v>
      </c>
      <c r="C154" s="1" t="s">
        <v>589</v>
      </c>
      <c r="D154" s="1" t="s">
        <v>590</v>
      </c>
      <c r="E154" s="2" t="s">
        <v>591</v>
      </c>
      <c r="F154" s="2" t="s">
        <v>592</v>
      </c>
      <c r="G154" s="2" t="s">
        <v>90</v>
      </c>
      <c r="H154" s="2">
        <v>0</v>
      </c>
      <c r="I154" s="1">
        <v>0</v>
      </c>
      <c r="J154" s="3" t="s">
        <v>117</v>
      </c>
      <c r="K154" s="2" t="str">
        <f>J154*499.80</f>
        <v>0</v>
      </c>
      <c r="L154" s="5"/>
    </row>
    <row r="155" spans="1:12" customHeight="1" ht="105" outlineLevel="4">
      <c r="A155" s="1"/>
      <c r="B155" s="1">
        <v>819571</v>
      </c>
      <c r="C155" s="1" t="s">
        <v>593</v>
      </c>
      <c r="D155" s="1" t="s">
        <v>594</v>
      </c>
      <c r="E155" s="2" t="s">
        <v>595</v>
      </c>
      <c r="F155" s="2" t="s">
        <v>596</v>
      </c>
      <c r="G155" s="2">
        <v>0</v>
      </c>
      <c r="H155" s="2">
        <v>0</v>
      </c>
      <c r="I155" s="1">
        <v>0</v>
      </c>
      <c r="J155" s="3" t="s">
        <v>117</v>
      </c>
      <c r="K155" s="2" t="str">
        <f>J155*361.76</f>
        <v>0</v>
      </c>
      <c r="L155" s="5"/>
    </row>
    <row r="156" spans="1:12" customHeight="1" ht="105" outlineLevel="4">
      <c r="A156" s="1"/>
      <c r="B156" s="1">
        <v>819572</v>
      </c>
      <c r="C156" s="1" t="s">
        <v>597</v>
      </c>
      <c r="D156" s="1" t="s">
        <v>598</v>
      </c>
      <c r="E156" s="2" t="s">
        <v>599</v>
      </c>
      <c r="F156" s="2" t="s">
        <v>600</v>
      </c>
      <c r="G156" s="2" t="s">
        <v>139</v>
      </c>
      <c r="H156" s="2">
        <v>0</v>
      </c>
      <c r="I156" s="1">
        <v>0</v>
      </c>
      <c r="J156" s="3" t="s">
        <v>117</v>
      </c>
      <c r="K156" s="2" t="str">
        <f>J156*238.00</f>
        <v>0</v>
      </c>
      <c r="L156" s="5"/>
    </row>
    <row r="157" spans="1:12" customHeight="1" ht="105" outlineLevel="4">
      <c r="A157" s="1"/>
      <c r="B157" s="1">
        <v>819573</v>
      </c>
      <c r="C157" s="1" t="s">
        <v>601</v>
      </c>
      <c r="D157" s="1" t="s">
        <v>602</v>
      </c>
      <c r="E157" s="2" t="s">
        <v>603</v>
      </c>
      <c r="F157" s="2" t="s">
        <v>588</v>
      </c>
      <c r="G157" s="2">
        <v>5</v>
      </c>
      <c r="H157" s="2">
        <v>0</v>
      </c>
      <c r="I157" s="1">
        <v>0</v>
      </c>
      <c r="J157" s="3" t="s">
        <v>117</v>
      </c>
      <c r="K157" s="2" t="str">
        <f>J157*0.00</f>
        <v>0</v>
      </c>
      <c r="L157" s="5"/>
    </row>
    <row r="158" spans="1:12" customHeight="1" ht="105" outlineLevel="4">
      <c r="A158" s="1"/>
      <c r="B158" s="1">
        <v>819574</v>
      </c>
      <c r="C158" s="1" t="s">
        <v>604</v>
      </c>
      <c r="D158" s="1" t="s">
        <v>605</v>
      </c>
      <c r="E158" s="2" t="s">
        <v>606</v>
      </c>
      <c r="F158" s="2" t="s">
        <v>607</v>
      </c>
      <c r="G158" s="2" t="s">
        <v>90</v>
      </c>
      <c r="H158" s="2">
        <v>0</v>
      </c>
      <c r="I158" s="1">
        <v>0</v>
      </c>
      <c r="J158" s="3" t="s">
        <v>117</v>
      </c>
      <c r="K158" s="2" t="str">
        <f>J158*345.10</f>
        <v>0</v>
      </c>
      <c r="L158" s="5"/>
    </row>
    <row r="159" spans="1:12" customHeight="1" ht="105" outlineLevel="4">
      <c r="A159" s="1"/>
      <c r="B159" s="1">
        <v>819575</v>
      </c>
      <c r="C159" s="1" t="s">
        <v>608</v>
      </c>
      <c r="D159" s="1" t="s">
        <v>609</v>
      </c>
      <c r="E159" s="2" t="s">
        <v>610</v>
      </c>
      <c r="F159" s="2" t="s">
        <v>611</v>
      </c>
      <c r="G159" s="2" t="s">
        <v>90</v>
      </c>
      <c r="H159" s="2">
        <v>0</v>
      </c>
      <c r="I159" s="1">
        <v>0</v>
      </c>
      <c r="J159" s="3" t="s">
        <v>117</v>
      </c>
      <c r="K159" s="2" t="str">
        <f>J159*388.24</f>
        <v>0</v>
      </c>
      <c r="L159" s="5"/>
    </row>
    <row r="160" spans="1:12" customHeight="1" ht="105" outlineLevel="4">
      <c r="A160" s="1"/>
      <c r="B160" s="1">
        <v>819576</v>
      </c>
      <c r="C160" s="1" t="s">
        <v>612</v>
      </c>
      <c r="D160" s="1" t="s">
        <v>613</v>
      </c>
      <c r="E160" s="2" t="s">
        <v>614</v>
      </c>
      <c r="F160" s="2" t="s">
        <v>588</v>
      </c>
      <c r="G160" s="2">
        <v>4</v>
      </c>
      <c r="H160" s="2">
        <v>0</v>
      </c>
      <c r="I160" s="1">
        <v>0</v>
      </c>
      <c r="J160" s="3" t="s">
        <v>117</v>
      </c>
      <c r="K160" s="2" t="str">
        <f>J160*0.00</f>
        <v>0</v>
      </c>
      <c r="L160" s="5"/>
    </row>
    <row r="161" spans="1:12" customHeight="1" ht="105" outlineLevel="4">
      <c r="A161" s="1"/>
      <c r="B161" s="1">
        <v>819577</v>
      </c>
      <c r="C161" s="1" t="s">
        <v>615</v>
      </c>
      <c r="D161" s="1" t="s">
        <v>616</v>
      </c>
      <c r="E161" s="2" t="s">
        <v>617</v>
      </c>
      <c r="F161" s="2" t="s">
        <v>588</v>
      </c>
      <c r="G161" s="2">
        <v>0</v>
      </c>
      <c r="H161" s="2">
        <v>0</v>
      </c>
      <c r="I161" s="1">
        <v>0</v>
      </c>
      <c r="J161" s="3" t="s">
        <v>117</v>
      </c>
      <c r="K161" s="2" t="str">
        <f>J161*0.00</f>
        <v>0</v>
      </c>
      <c r="L161" s="5"/>
    </row>
    <row r="162" spans="1:12" customHeight="1" ht="105" outlineLevel="4">
      <c r="A162" s="1"/>
      <c r="B162" s="1">
        <v>819578</v>
      </c>
      <c r="C162" s="1" t="s">
        <v>618</v>
      </c>
      <c r="D162" s="1" t="s">
        <v>619</v>
      </c>
      <c r="E162" s="2" t="s">
        <v>620</v>
      </c>
      <c r="F162" s="2" t="s">
        <v>621</v>
      </c>
      <c r="G162" s="2" t="s">
        <v>139</v>
      </c>
      <c r="H162" s="2">
        <v>0</v>
      </c>
      <c r="I162" s="1">
        <v>0</v>
      </c>
      <c r="J162" s="3" t="s">
        <v>117</v>
      </c>
      <c r="K162" s="2" t="str">
        <f>J162*230.56</f>
        <v>0</v>
      </c>
      <c r="L162" s="5"/>
    </row>
    <row r="163" spans="1:12" customHeight="1" ht="105" outlineLevel="4">
      <c r="A163" s="1"/>
      <c r="B163" s="1">
        <v>819579</v>
      </c>
      <c r="C163" s="1" t="s">
        <v>622</v>
      </c>
      <c r="D163" s="1" t="s">
        <v>623</v>
      </c>
      <c r="E163" s="2" t="s">
        <v>624</v>
      </c>
      <c r="F163" s="2" t="s">
        <v>625</v>
      </c>
      <c r="G163" s="2">
        <v>0</v>
      </c>
      <c r="H163" s="2">
        <v>0</v>
      </c>
      <c r="I163" s="1">
        <v>0</v>
      </c>
      <c r="J163" s="3" t="s">
        <v>117</v>
      </c>
      <c r="K163" s="2" t="str">
        <f>J163*394.91</f>
        <v>0</v>
      </c>
      <c r="L163" s="5"/>
    </row>
    <row r="164" spans="1:12" customHeight="1" ht="105" outlineLevel="4">
      <c r="A164" s="1"/>
      <c r="B164" s="1">
        <v>819580</v>
      </c>
      <c r="C164" s="1" t="s">
        <v>626</v>
      </c>
      <c r="D164" s="1" t="s">
        <v>627</v>
      </c>
      <c r="E164" s="2" t="s">
        <v>628</v>
      </c>
      <c r="F164" s="2" t="s">
        <v>629</v>
      </c>
      <c r="G164" s="2">
        <v>10</v>
      </c>
      <c r="H164" s="2">
        <v>0</v>
      </c>
      <c r="I164" s="1">
        <v>0</v>
      </c>
      <c r="J164" s="3" t="s">
        <v>117</v>
      </c>
      <c r="K164" s="2" t="str">
        <f>J164*324.28</f>
        <v>0</v>
      </c>
      <c r="L164" s="5"/>
    </row>
    <row r="165" spans="1:12" customHeight="1" ht="105" outlineLevel="4">
      <c r="A165" s="1"/>
      <c r="B165" s="1">
        <v>819581</v>
      </c>
      <c r="C165" s="1" t="s">
        <v>630</v>
      </c>
      <c r="D165" s="1" t="s">
        <v>631</v>
      </c>
      <c r="E165" s="2" t="s">
        <v>632</v>
      </c>
      <c r="F165" s="2" t="s">
        <v>633</v>
      </c>
      <c r="G165" s="2" t="s">
        <v>90</v>
      </c>
      <c r="H165" s="2">
        <v>0</v>
      </c>
      <c r="I165" s="1">
        <v>0</v>
      </c>
      <c r="J165" s="3" t="s">
        <v>117</v>
      </c>
      <c r="K165" s="2" t="str">
        <f>J165*349.56</f>
        <v>0</v>
      </c>
      <c r="L165" s="5"/>
    </row>
    <row r="166" spans="1:12" customHeight="1" ht="105" outlineLevel="4">
      <c r="A166" s="1"/>
      <c r="B166" s="1">
        <v>819582</v>
      </c>
      <c r="C166" s="1" t="s">
        <v>634</v>
      </c>
      <c r="D166" s="1" t="s">
        <v>635</v>
      </c>
      <c r="E166" s="2" t="s">
        <v>636</v>
      </c>
      <c r="F166" s="2" t="s">
        <v>637</v>
      </c>
      <c r="G166" s="2">
        <v>1</v>
      </c>
      <c r="H166" s="2">
        <v>0</v>
      </c>
      <c r="I166" s="1">
        <v>0</v>
      </c>
      <c r="J166" s="3" t="s">
        <v>117</v>
      </c>
      <c r="K166" s="2" t="str">
        <f>J166*719.81</f>
        <v>0</v>
      </c>
      <c r="L166" s="5"/>
    </row>
    <row r="167" spans="1:12" customHeight="1" ht="105" outlineLevel="4">
      <c r="A167" s="1"/>
      <c r="B167" s="1">
        <v>819583</v>
      </c>
      <c r="C167" s="1" t="s">
        <v>638</v>
      </c>
      <c r="D167" s="1" t="s">
        <v>639</v>
      </c>
      <c r="E167" s="2" t="s">
        <v>640</v>
      </c>
      <c r="F167" s="2" t="s">
        <v>543</v>
      </c>
      <c r="G167" s="2">
        <v>0</v>
      </c>
      <c r="H167" s="2">
        <v>0</v>
      </c>
      <c r="I167" s="1">
        <v>0</v>
      </c>
      <c r="J167" s="3" t="s">
        <v>117</v>
      </c>
      <c r="K167" s="2" t="str">
        <f>J167*243.27</f>
        <v>0</v>
      </c>
      <c r="L167" s="5"/>
    </row>
    <row r="168" spans="1:12" customHeight="1" ht="105" outlineLevel="4">
      <c r="A168" s="1"/>
      <c r="B168" s="1">
        <v>819584</v>
      </c>
      <c r="C168" s="1" t="s">
        <v>641</v>
      </c>
      <c r="D168" s="1" t="s">
        <v>642</v>
      </c>
      <c r="E168" s="2" t="s">
        <v>643</v>
      </c>
      <c r="F168" s="2" t="s">
        <v>539</v>
      </c>
      <c r="G168" s="2" t="s">
        <v>17</v>
      </c>
      <c r="H168" s="2">
        <v>0</v>
      </c>
      <c r="I168" s="1">
        <v>0</v>
      </c>
      <c r="J168" s="3" t="s">
        <v>117</v>
      </c>
      <c r="K168" s="2" t="str">
        <f>J168*260.31</f>
        <v>0</v>
      </c>
      <c r="L168" s="5"/>
    </row>
    <row r="169" spans="1:12" customHeight="1" ht="105" outlineLevel="4">
      <c r="A169" s="1"/>
      <c r="B169" s="1">
        <v>819585</v>
      </c>
      <c r="C169" s="1" t="s">
        <v>644</v>
      </c>
      <c r="D169" s="1" t="s">
        <v>645</v>
      </c>
      <c r="E169" s="2" t="s">
        <v>646</v>
      </c>
      <c r="F169" s="2" t="s">
        <v>647</v>
      </c>
      <c r="G169" s="2" t="s">
        <v>139</v>
      </c>
      <c r="H169" s="2">
        <v>0</v>
      </c>
      <c r="I169" s="1">
        <v>0</v>
      </c>
      <c r="J169" s="3" t="s">
        <v>117</v>
      </c>
      <c r="K169" s="2" t="str">
        <f>J169*426.91</f>
        <v>0</v>
      </c>
      <c r="L169" s="5"/>
    </row>
    <row r="170" spans="1:12" customHeight="1" ht="105" outlineLevel="4">
      <c r="A170" s="1"/>
      <c r="B170" s="1">
        <v>819586</v>
      </c>
      <c r="C170" s="1" t="s">
        <v>648</v>
      </c>
      <c r="D170" s="1" t="s">
        <v>649</v>
      </c>
      <c r="E170" s="2" t="s">
        <v>650</v>
      </c>
      <c r="F170" s="2" t="s">
        <v>651</v>
      </c>
      <c r="G170" s="2" t="s">
        <v>90</v>
      </c>
      <c r="H170" s="2">
        <v>0</v>
      </c>
      <c r="I170" s="1">
        <v>0</v>
      </c>
      <c r="J170" s="3" t="s">
        <v>117</v>
      </c>
      <c r="K170" s="2" t="str">
        <f>J170*609.88</f>
        <v>0</v>
      </c>
      <c r="L170" s="5"/>
    </row>
    <row r="171" spans="1:12" customHeight="1" ht="105" outlineLevel="4">
      <c r="A171" s="1"/>
      <c r="B171" s="1">
        <v>819587</v>
      </c>
      <c r="C171" s="1" t="s">
        <v>652</v>
      </c>
      <c r="D171" s="1" t="s">
        <v>653</v>
      </c>
      <c r="E171" s="2" t="s">
        <v>654</v>
      </c>
      <c r="F171" s="2" t="s">
        <v>655</v>
      </c>
      <c r="G171" s="2">
        <v>0</v>
      </c>
      <c r="H171" s="2">
        <v>0</v>
      </c>
      <c r="I171" s="1">
        <v>0</v>
      </c>
      <c r="J171" s="3" t="s">
        <v>117</v>
      </c>
      <c r="K171" s="2" t="str">
        <f>J171*918.85</f>
        <v>0</v>
      </c>
      <c r="L171" s="5"/>
    </row>
    <row r="172" spans="1:12" customHeight="1" ht="105" outlineLevel="4">
      <c r="A172" s="1"/>
      <c r="B172" s="1">
        <v>819588</v>
      </c>
      <c r="C172" s="1" t="s">
        <v>656</v>
      </c>
      <c r="D172" s="1" t="s">
        <v>657</v>
      </c>
      <c r="E172" s="2" t="s">
        <v>658</v>
      </c>
      <c r="F172" s="2" t="s">
        <v>659</v>
      </c>
      <c r="G172" s="2" t="s">
        <v>90</v>
      </c>
      <c r="H172" s="2">
        <v>0</v>
      </c>
      <c r="I172" s="1">
        <v>0</v>
      </c>
      <c r="J172" s="3" t="s">
        <v>117</v>
      </c>
      <c r="K172" s="2" t="str">
        <f>J172*359.98</f>
        <v>0</v>
      </c>
      <c r="L172" s="5"/>
    </row>
    <row r="173" spans="1:12" customHeight="1" ht="105" outlineLevel="4">
      <c r="A173" s="1"/>
      <c r="B173" s="1">
        <v>819589</v>
      </c>
      <c r="C173" s="1" t="s">
        <v>660</v>
      </c>
      <c r="D173" s="1" t="s">
        <v>661</v>
      </c>
      <c r="E173" s="2" t="s">
        <v>662</v>
      </c>
      <c r="F173" s="2" t="s">
        <v>663</v>
      </c>
      <c r="G173" s="2">
        <v>0</v>
      </c>
      <c r="H173" s="2">
        <v>0</v>
      </c>
      <c r="I173" s="1">
        <v>0</v>
      </c>
      <c r="J173" s="3" t="s">
        <v>117</v>
      </c>
      <c r="K173" s="2" t="str">
        <f>J173*454.07</f>
        <v>0</v>
      </c>
      <c r="L173" s="5"/>
    </row>
    <row r="174" spans="1:12" customHeight="1" ht="105" outlineLevel="4">
      <c r="A174" s="1"/>
      <c r="B174" s="1">
        <v>819590</v>
      </c>
      <c r="C174" s="1" t="s">
        <v>664</v>
      </c>
      <c r="D174" s="1" t="s">
        <v>665</v>
      </c>
      <c r="E174" s="2" t="s">
        <v>666</v>
      </c>
      <c r="F174" s="2" t="s">
        <v>667</v>
      </c>
      <c r="G174" s="2">
        <v>0</v>
      </c>
      <c r="H174" s="2">
        <v>0</v>
      </c>
      <c r="I174" s="1">
        <v>0</v>
      </c>
      <c r="J174" s="3" t="s">
        <v>117</v>
      </c>
      <c r="K174" s="2" t="str">
        <f>J174*489.09</f>
        <v>0</v>
      </c>
      <c r="L174" s="5"/>
    </row>
    <row r="175" spans="1:12" customHeight="1" ht="105" outlineLevel="4">
      <c r="A175" s="1"/>
      <c r="B175" s="1">
        <v>819591</v>
      </c>
      <c r="C175" s="1" t="s">
        <v>668</v>
      </c>
      <c r="D175" s="1" t="s">
        <v>669</v>
      </c>
      <c r="E175" s="2" t="s">
        <v>670</v>
      </c>
      <c r="F175" s="2" t="s">
        <v>528</v>
      </c>
      <c r="G175" s="2" t="s">
        <v>139</v>
      </c>
      <c r="H175" s="2">
        <v>0</v>
      </c>
      <c r="I175" s="1">
        <v>0</v>
      </c>
      <c r="J175" s="3" t="s">
        <v>117</v>
      </c>
      <c r="K175" s="2" t="str">
        <f>J175*171.06</f>
        <v>0</v>
      </c>
      <c r="L175" s="5"/>
    </row>
    <row r="176" spans="1:12" customHeight="1" ht="105" outlineLevel="4">
      <c r="A176" s="1"/>
      <c r="B176" s="1">
        <v>819592</v>
      </c>
      <c r="C176" s="1" t="s">
        <v>671</v>
      </c>
      <c r="D176" s="1" t="s">
        <v>672</v>
      </c>
      <c r="E176" s="2" t="s">
        <v>673</v>
      </c>
      <c r="F176" s="2" t="s">
        <v>674</v>
      </c>
      <c r="G176" s="2">
        <v>10</v>
      </c>
      <c r="H176" s="2">
        <v>0</v>
      </c>
      <c r="I176" s="1">
        <v>0</v>
      </c>
      <c r="J176" s="3" t="s">
        <v>117</v>
      </c>
      <c r="K176" s="2" t="str">
        <f>J176*239.49</f>
        <v>0</v>
      </c>
      <c r="L176" s="5"/>
    </row>
    <row r="177" spans="1:12" customHeight="1" ht="105" outlineLevel="4">
      <c r="A177" s="1"/>
      <c r="B177" s="1">
        <v>819593</v>
      </c>
      <c r="C177" s="1" t="s">
        <v>675</v>
      </c>
      <c r="D177" s="1" t="s">
        <v>676</v>
      </c>
      <c r="E177" s="2" t="s">
        <v>677</v>
      </c>
      <c r="F177" s="2" t="s">
        <v>678</v>
      </c>
      <c r="G177" s="2">
        <v>7</v>
      </c>
      <c r="H177" s="2">
        <v>0</v>
      </c>
      <c r="I177" s="1">
        <v>0</v>
      </c>
      <c r="J177" s="3" t="s">
        <v>117</v>
      </c>
      <c r="K177" s="2" t="str">
        <f>J177*203.79</f>
        <v>0</v>
      </c>
      <c r="L177" s="5"/>
    </row>
    <row r="178" spans="1:12" customHeight="1" ht="105" outlineLevel="4">
      <c r="A178" s="1"/>
      <c r="B178" s="1">
        <v>819594</v>
      </c>
      <c r="C178" s="1" t="s">
        <v>679</v>
      </c>
      <c r="D178" s="1" t="s">
        <v>680</v>
      </c>
      <c r="E178" s="2" t="s">
        <v>681</v>
      </c>
      <c r="F178" s="2" t="s">
        <v>682</v>
      </c>
      <c r="G178" s="2" t="s">
        <v>90</v>
      </c>
      <c r="H178" s="2">
        <v>0</v>
      </c>
      <c r="I178" s="1">
        <v>0</v>
      </c>
      <c r="J178" s="3" t="s">
        <v>117</v>
      </c>
      <c r="K178" s="2" t="str">
        <f>J178*243.95</f>
        <v>0</v>
      </c>
      <c r="L178" s="5"/>
    </row>
    <row r="179" spans="1:12" customHeight="1" ht="105" outlineLevel="4">
      <c r="A179" s="1"/>
      <c r="B179" s="1">
        <v>819595</v>
      </c>
      <c r="C179" s="1" t="s">
        <v>683</v>
      </c>
      <c r="D179" s="1" t="s">
        <v>684</v>
      </c>
      <c r="E179" s="2" t="s">
        <v>685</v>
      </c>
      <c r="F179" s="2" t="s">
        <v>686</v>
      </c>
      <c r="G179" s="2">
        <v>8</v>
      </c>
      <c r="H179" s="2">
        <v>0</v>
      </c>
      <c r="I179" s="1">
        <v>0</v>
      </c>
      <c r="J179" s="3" t="s">
        <v>117</v>
      </c>
      <c r="K179" s="2" t="str">
        <f>J179*400.14</f>
        <v>0</v>
      </c>
      <c r="L179" s="5"/>
    </row>
    <row r="180" spans="1:12" customHeight="1" ht="105" outlineLevel="4">
      <c r="A180" s="1"/>
      <c r="B180" s="1">
        <v>819596</v>
      </c>
      <c r="C180" s="1" t="s">
        <v>687</v>
      </c>
      <c r="D180" s="1" t="s">
        <v>688</v>
      </c>
      <c r="E180" s="2" t="s">
        <v>689</v>
      </c>
      <c r="F180" s="2" t="s">
        <v>690</v>
      </c>
      <c r="G180" s="2">
        <v>5</v>
      </c>
      <c r="H180" s="2">
        <v>0</v>
      </c>
      <c r="I180" s="1">
        <v>0</v>
      </c>
      <c r="J180" s="3" t="s">
        <v>117</v>
      </c>
      <c r="K180" s="2" t="str">
        <f>J180*357.00</f>
        <v>0</v>
      </c>
      <c r="L180" s="5"/>
    </row>
    <row r="181" spans="1:12" customHeight="1" ht="105" outlineLevel="4">
      <c r="A181" s="1"/>
      <c r="B181" s="1">
        <v>819597</v>
      </c>
      <c r="C181" s="1" t="s">
        <v>691</v>
      </c>
      <c r="D181" s="1" t="s">
        <v>692</v>
      </c>
      <c r="E181" s="2" t="s">
        <v>693</v>
      </c>
      <c r="F181" s="2" t="s">
        <v>694</v>
      </c>
      <c r="G181" s="2">
        <v>0</v>
      </c>
      <c r="H181" s="2">
        <v>0</v>
      </c>
      <c r="I181" s="1">
        <v>0</v>
      </c>
      <c r="J181" s="3" t="s">
        <v>117</v>
      </c>
      <c r="K181" s="2" t="str">
        <f>J181*491.81</f>
        <v>0</v>
      </c>
      <c r="L181" s="5"/>
    </row>
    <row r="182" spans="1:12" customHeight="1" ht="105" outlineLevel="4">
      <c r="A182" s="1"/>
      <c r="B182" s="1">
        <v>819598</v>
      </c>
      <c r="C182" s="1" t="s">
        <v>695</v>
      </c>
      <c r="D182" s="1" t="s">
        <v>696</v>
      </c>
      <c r="E182" s="2" t="s">
        <v>697</v>
      </c>
      <c r="F182" s="2" t="s">
        <v>524</v>
      </c>
      <c r="G182" s="2" t="s">
        <v>139</v>
      </c>
      <c r="H182" s="2">
        <v>0</v>
      </c>
      <c r="I182" s="1">
        <v>0</v>
      </c>
      <c r="J182" s="3" t="s">
        <v>117</v>
      </c>
      <c r="K182" s="2" t="str">
        <f>J182*150.24</f>
        <v>0</v>
      </c>
      <c r="L182" s="5"/>
    </row>
    <row r="183" spans="1:12" customHeight="1" ht="105" outlineLevel="4">
      <c r="A183" s="1"/>
      <c r="B183" s="1">
        <v>819599</v>
      </c>
      <c r="C183" s="1" t="s">
        <v>698</v>
      </c>
      <c r="D183" s="1" t="s">
        <v>699</v>
      </c>
      <c r="E183" s="2" t="s">
        <v>700</v>
      </c>
      <c r="F183" s="2" t="s">
        <v>701</v>
      </c>
      <c r="G183" s="2">
        <v>10</v>
      </c>
      <c r="H183" s="2">
        <v>0</v>
      </c>
      <c r="I183" s="1">
        <v>0</v>
      </c>
      <c r="J183" s="3" t="s">
        <v>117</v>
      </c>
      <c r="K183" s="2" t="str">
        <f>J183*153.21</f>
        <v>0</v>
      </c>
      <c r="L183" s="5"/>
    </row>
    <row r="184" spans="1:12" customHeight="1" ht="105" outlineLevel="4">
      <c r="A184" s="1"/>
      <c r="B184" s="1">
        <v>819600</v>
      </c>
      <c r="C184" s="1" t="s">
        <v>702</v>
      </c>
      <c r="D184" s="1" t="s">
        <v>703</v>
      </c>
      <c r="E184" s="2" t="s">
        <v>704</v>
      </c>
      <c r="F184" s="2" t="s">
        <v>705</v>
      </c>
      <c r="G184" s="2" t="s">
        <v>90</v>
      </c>
      <c r="H184" s="2">
        <v>0</v>
      </c>
      <c r="I184" s="1">
        <v>0</v>
      </c>
      <c r="J184" s="3" t="s">
        <v>117</v>
      </c>
      <c r="K184" s="2" t="str">
        <f>J184*194.86</f>
        <v>0</v>
      </c>
      <c r="L184" s="5"/>
    </row>
    <row r="185" spans="1:12" customHeight="1" ht="105" outlineLevel="4">
      <c r="A185" s="1"/>
      <c r="B185" s="1">
        <v>819601</v>
      </c>
      <c r="C185" s="1" t="s">
        <v>706</v>
      </c>
      <c r="D185" s="1" t="s">
        <v>707</v>
      </c>
      <c r="E185" s="2" t="s">
        <v>708</v>
      </c>
      <c r="F185" s="2" t="s">
        <v>709</v>
      </c>
      <c r="G185" s="2" t="s">
        <v>90</v>
      </c>
      <c r="H185" s="2">
        <v>0</v>
      </c>
      <c r="I185" s="1">
        <v>0</v>
      </c>
      <c r="J185" s="3" t="s">
        <v>117</v>
      </c>
      <c r="K185" s="2" t="str">
        <f>J185*229.08</f>
        <v>0</v>
      </c>
      <c r="L185" s="5"/>
    </row>
    <row r="186" spans="1:12" customHeight="1" ht="105" outlineLevel="4">
      <c r="A186" s="1"/>
      <c r="B186" s="1">
        <v>819602</v>
      </c>
      <c r="C186" s="1" t="s">
        <v>710</v>
      </c>
      <c r="D186" s="1" t="s">
        <v>711</v>
      </c>
      <c r="E186" s="2" t="s">
        <v>712</v>
      </c>
      <c r="F186" s="2" t="s">
        <v>713</v>
      </c>
      <c r="G186" s="2">
        <v>6</v>
      </c>
      <c r="H186" s="2">
        <v>0</v>
      </c>
      <c r="I186" s="1">
        <v>0</v>
      </c>
      <c r="J186" s="3" t="s">
        <v>117</v>
      </c>
      <c r="K186" s="2" t="str">
        <f>J186*377.83</f>
        <v>0</v>
      </c>
      <c r="L186" s="5"/>
    </row>
    <row r="187" spans="1:12" customHeight="1" ht="105" outlineLevel="4">
      <c r="A187" s="1"/>
      <c r="B187" s="1">
        <v>819603</v>
      </c>
      <c r="C187" s="1" t="s">
        <v>714</v>
      </c>
      <c r="D187" s="1" t="s">
        <v>715</v>
      </c>
      <c r="E187" s="2" t="s">
        <v>716</v>
      </c>
      <c r="F187" s="2" t="s">
        <v>717</v>
      </c>
      <c r="G187" s="2" t="s">
        <v>139</v>
      </c>
      <c r="H187" s="2">
        <v>0</v>
      </c>
      <c r="I187" s="1">
        <v>0</v>
      </c>
      <c r="J187" s="3" t="s">
        <v>117</v>
      </c>
      <c r="K187" s="2" t="str">
        <f>J187*188.91</f>
        <v>0</v>
      </c>
      <c r="L187" s="5"/>
    </row>
    <row r="188" spans="1:12" customHeight="1" ht="105" outlineLevel="4">
      <c r="A188" s="1"/>
      <c r="B188" s="1">
        <v>819604</v>
      </c>
      <c r="C188" s="1" t="s">
        <v>718</v>
      </c>
      <c r="D188" s="1" t="s">
        <v>719</v>
      </c>
      <c r="E188" s="2" t="s">
        <v>720</v>
      </c>
      <c r="F188" s="2" t="s">
        <v>721</v>
      </c>
      <c r="G188" s="2" t="s">
        <v>58</v>
      </c>
      <c r="H188" s="2">
        <v>0</v>
      </c>
      <c r="I188" s="1">
        <v>0</v>
      </c>
      <c r="J188" s="3" t="s">
        <v>117</v>
      </c>
      <c r="K188" s="2" t="str">
        <f>J188*269.24</f>
        <v>0</v>
      </c>
      <c r="L188" s="5"/>
    </row>
    <row r="189" spans="1:12" customHeight="1" ht="105" outlineLevel="4">
      <c r="A189" s="1"/>
      <c r="B189" s="1">
        <v>819605</v>
      </c>
      <c r="C189" s="1" t="s">
        <v>722</v>
      </c>
      <c r="D189" s="1" t="s">
        <v>723</v>
      </c>
      <c r="E189" s="2" t="s">
        <v>724</v>
      </c>
      <c r="F189" s="2" t="s">
        <v>725</v>
      </c>
      <c r="G189" s="2" t="s">
        <v>139</v>
      </c>
      <c r="H189" s="2">
        <v>0</v>
      </c>
      <c r="I189" s="1">
        <v>0</v>
      </c>
      <c r="J189" s="3" t="s">
        <v>117</v>
      </c>
      <c r="K189" s="2" t="str">
        <f>J189*416.50</f>
        <v>0</v>
      </c>
      <c r="L189" s="5"/>
    </row>
    <row r="190" spans="1:12" customHeight="1" ht="105" outlineLevel="4">
      <c r="A190" s="1"/>
      <c r="B190" s="1">
        <v>819606</v>
      </c>
      <c r="C190" s="1" t="s">
        <v>726</v>
      </c>
      <c r="D190" s="1" t="s">
        <v>727</v>
      </c>
      <c r="E190" s="2" t="s">
        <v>728</v>
      </c>
      <c r="F190" s="2" t="s">
        <v>588</v>
      </c>
      <c r="G190" s="2">
        <v>0</v>
      </c>
      <c r="H190" s="2">
        <v>0</v>
      </c>
      <c r="I190" s="1">
        <v>0</v>
      </c>
      <c r="J190" s="3" t="s">
        <v>117</v>
      </c>
      <c r="K190" s="2" t="str">
        <f>J190*0.00</f>
        <v>0</v>
      </c>
      <c r="L190" s="5"/>
    </row>
    <row r="191" spans="1:12" customHeight="1" ht="105" outlineLevel="4">
      <c r="A191" s="1"/>
      <c r="B191" s="1">
        <v>819607</v>
      </c>
      <c r="C191" s="1" t="s">
        <v>729</v>
      </c>
      <c r="D191" s="1" t="s">
        <v>730</v>
      </c>
      <c r="E191" s="2" t="s">
        <v>731</v>
      </c>
      <c r="F191" s="2" t="s">
        <v>732</v>
      </c>
      <c r="G191" s="2">
        <v>0</v>
      </c>
      <c r="H191" s="2">
        <v>0</v>
      </c>
      <c r="I191" s="1">
        <v>0</v>
      </c>
      <c r="J191" s="3" t="s">
        <v>117</v>
      </c>
      <c r="K191" s="2" t="str">
        <f>J191*202.30</f>
        <v>0</v>
      </c>
      <c r="L191" s="5"/>
    </row>
    <row r="192" spans="1:12" customHeight="1" ht="105" outlineLevel="4">
      <c r="A192" s="1"/>
      <c r="B192" s="1">
        <v>819608</v>
      </c>
      <c r="C192" s="1" t="s">
        <v>733</v>
      </c>
      <c r="D192" s="1"/>
      <c r="E192" s="2" t="s">
        <v>734</v>
      </c>
      <c r="F192" s="2" t="s">
        <v>735</v>
      </c>
      <c r="G192" s="2">
        <v>0</v>
      </c>
      <c r="H192" s="2">
        <v>0</v>
      </c>
      <c r="I192" s="1">
        <v>0</v>
      </c>
      <c r="J192" s="3" t="s">
        <v>117</v>
      </c>
      <c r="K192" s="2" t="str">
        <f>J192*186.83</f>
        <v>0</v>
      </c>
      <c r="L192" s="5"/>
    </row>
    <row r="193" spans="1:12" customHeight="1" ht="105" outlineLevel="4">
      <c r="A193" s="1"/>
      <c r="B193" s="1">
        <v>819609</v>
      </c>
      <c r="C193" s="1" t="s">
        <v>736</v>
      </c>
      <c r="D193" s="1"/>
      <c r="E193" s="2" t="s">
        <v>737</v>
      </c>
      <c r="F193" s="2" t="s">
        <v>738</v>
      </c>
      <c r="G193" s="2">
        <v>0</v>
      </c>
      <c r="H193" s="2">
        <v>0</v>
      </c>
      <c r="I193" s="1">
        <v>0</v>
      </c>
      <c r="J193" s="3" t="s">
        <v>117</v>
      </c>
      <c r="K193" s="2" t="str">
        <f>J193*375.53</f>
        <v>0</v>
      </c>
      <c r="L193" s="5"/>
    </row>
    <row r="194" spans="1:12" customHeight="1" ht="105" outlineLevel="4">
      <c r="A194" s="1"/>
      <c r="B194" s="1">
        <v>819610</v>
      </c>
      <c r="C194" s="1" t="s">
        <v>739</v>
      </c>
      <c r="D194" s="1" t="s">
        <v>740</v>
      </c>
      <c r="E194" s="2" t="s">
        <v>741</v>
      </c>
      <c r="F194" s="2" t="s">
        <v>742</v>
      </c>
      <c r="G194" s="2" t="s">
        <v>90</v>
      </c>
      <c r="H194" s="2">
        <v>0</v>
      </c>
      <c r="I194" s="1">
        <v>0</v>
      </c>
      <c r="J194" s="3" t="s">
        <v>117</v>
      </c>
      <c r="K194" s="2" t="str">
        <f>J194*374.85</f>
        <v>0</v>
      </c>
      <c r="L194" s="5"/>
    </row>
    <row r="195" spans="1:12" customHeight="1" ht="105" outlineLevel="4">
      <c r="A195" s="1"/>
      <c r="B195" s="1">
        <v>819611</v>
      </c>
      <c r="C195" s="1" t="s">
        <v>743</v>
      </c>
      <c r="D195" s="1" t="s">
        <v>744</v>
      </c>
      <c r="E195" s="2" t="s">
        <v>745</v>
      </c>
      <c r="F195" s="2" t="s">
        <v>746</v>
      </c>
      <c r="G195" s="2">
        <v>0</v>
      </c>
      <c r="H195" s="2">
        <v>0</v>
      </c>
      <c r="I195" s="1">
        <v>0</v>
      </c>
      <c r="J195" s="3" t="s">
        <v>117</v>
      </c>
      <c r="K195" s="2" t="str">
        <f>J195*562.53</f>
        <v>0</v>
      </c>
      <c r="L195" s="5"/>
    </row>
    <row r="196" spans="1:12" customHeight="1" ht="105" outlineLevel="4">
      <c r="A196" s="1"/>
      <c r="B196" s="1">
        <v>819612</v>
      </c>
      <c r="C196" s="1" t="s">
        <v>747</v>
      </c>
      <c r="D196" s="1" t="s">
        <v>748</v>
      </c>
      <c r="E196" s="2" t="s">
        <v>749</v>
      </c>
      <c r="F196" s="2" t="s">
        <v>750</v>
      </c>
      <c r="G196" s="2" t="s">
        <v>90</v>
      </c>
      <c r="H196" s="2">
        <v>0</v>
      </c>
      <c r="I196" s="1">
        <v>0</v>
      </c>
      <c r="J196" s="3" t="s">
        <v>117</v>
      </c>
      <c r="K196" s="2" t="str">
        <f>J196*495.34</f>
        <v>0</v>
      </c>
      <c r="L196" s="5"/>
    </row>
    <row r="197" spans="1:12" customHeight="1" ht="105" outlineLevel="4">
      <c r="A197" s="1"/>
      <c r="B197" s="1">
        <v>819613</v>
      </c>
      <c r="C197" s="1" t="s">
        <v>751</v>
      </c>
      <c r="D197" s="1" t="s">
        <v>752</v>
      </c>
      <c r="E197" s="2" t="s">
        <v>753</v>
      </c>
      <c r="F197" s="2" t="s">
        <v>750</v>
      </c>
      <c r="G197" s="2" t="s">
        <v>90</v>
      </c>
      <c r="H197" s="2">
        <v>0</v>
      </c>
      <c r="I197" s="1">
        <v>0</v>
      </c>
      <c r="J197" s="3" t="s">
        <v>117</v>
      </c>
      <c r="K197" s="2" t="str">
        <f>J197*495.34</f>
        <v>0</v>
      </c>
      <c r="L197" s="5"/>
    </row>
    <row r="198" spans="1:12" customHeight="1" ht="105" outlineLevel="4">
      <c r="A198" s="1"/>
      <c r="B198" s="1">
        <v>819614</v>
      </c>
      <c r="C198" s="1" t="s">
        <v>754</v>
      </c>
      <c r="D198" s="1" t="s">
        <v>755</v>
      </c>
      <c r="E198" s="2" t="s">
        <v>756</v>
      </c>
      <c r="F198" s="2" t="s">
        <v>757</v>
      </c>
      <c r="G198" s="2">
        <v>4</v>
      </c>
      <c r="H198" s="2">
        <v>0</v>
      </c>
      <c r="I198" s="1">
        <v>0</v>
      </c>
      <c r="J198" s="3" t="s">
        <v>117</v>
      </c>
      <c r="K198" s="2" t="str">
        <f>J198*581.06</f>
        <v>0</v>
      </c>
      <c r="L198" s="5"/>
    </row>
    <row r="199" spans="1:12" customHeight="1" ht="105" outlineLevel="4">
      <c r="A199" s="1"/>
      <c r="B199" s="1">
        <v>819615</v>
      </c>
      <c r="C199" s="1" t="s">
        <v>758</v>
      </c>
      <c r="D199" s="1" t="s">
        <v>759</v>
      </c>
      <c r="E199" s="2" t="s">
        <v>760</v>
      </c>
      <c r="F199" s="2" t="s">
        <v>761</v>
      </c>
      <c r="G199" s="2" t="s">
        <v>90</v>
      </c>
      <c r="H199" s="2">
        <v>0</v>
      </c>
      <c r="I199" s="1">
        <v>0</v>
      </c>
      <c r="J199" s="3" t="s">
        <v>117</v>
      </c>
      <c r="K199" s="2" t="str">
        <f>J199*507.24</f>
        <v>0</v>
      </c>
      <c r="L199" s="5"/>
    </row>
    <row r="200" spans="1:12" customHeight="1" ht="105" outlineLevel="4">
      <c r="A200" s="1"/>
      <c r="B200" s="1">
        <v>823142</v>
      </c>
      <c r="C200" s="1" t="s">
        <v>762</v>
      </c>
      <c r="D200" s="1" t="s">
        <v>763</v>
      </c>
      <c r="E200" s="2" t="s">
        <v>764</v>
      </c>
      <c r="F200" s="2" t="s">
        <v>765</v>
      </c>
      <c r="G200" s="2" t="s">
        <v>90</v>
      </c>
      <c r="H200" s="2">
        <v>0</v>
      </c>
      <c r="I200" s="1">
        <v>0</v>
      </c>
      <c r="J200" s="3" t="s">
        <v>117</v>
      </c>
      <c r="K200" s="2" t="str">
        <f>J200*386.75</f>
        <v>0</v>
      </c>
      <c r="L200" s="5"/>
    </row>
    <row r="201" spans="1:12" customHeight="1" ht="105" outlineLevel="4">
      <c r="A201" s="1"/>
      <c r="B201" s="1">
        <v>823143</v>
      </c>
      <c r="C201" s="1" t="s">
        <v>766</v>
      </c>
      <c r="D201" s="1" t="s">
        <v>767</v>
      </c>
      <c r="E201" s="2" t="s">
        <v>768</v>
      </c>
      <c r="F201" s="2" t="s">
        <v>761</v>
      </c>
      <c r="G201" s="2" t="s">
        <v>90</v>
      </c>
      <c r="H201" s="2">
        <v>0</v>
      </c>
      <c r="I201" s="1">
        <v>0</v>
      </c>
      <c r="J201" s="3" t="s">
        <v>117</v>
      </c>
      <c r="K201" s="2" t="str">
        <f>J201*507.24</f>
        <v>0</v>
      </c>
      <c r="L201" s="5"/>
    </row>
    <row r="202" spans="1:12" customHeight="1" ht="105" outlineLevel="4">
      <c r="A202" s="1"/>
      <c r="B202" s="1">
        <v>823144</v>
      </c>
      <c r="C202" s="1" t="s">
        <v>769</v>
      </c>
      <c r="D202" s="1" t="s">
        <v>770</v>
      </c>
      <c r="E202" s="2" t="s">
        <v>771</v>
      </c>
      <c r="F202" s="2" t="s">
        <v>772</v>
      </c>
      <c r="G202" s="2">
        <v>0</v>
      </c>
      <c r="H202" s="2">
        <v>0</v>
      </c>
      <c r="I202" s="1">
        <v>0</v>
      </c>
      <c r="J202" s="3" t="s">
        <v>117</v>
      </c>
      <c r="K202" s="2" t="str">
        <f>J202*446.25</f>
        <v>0</v>
      </c>
      <c r="L202" s="5"/>
    </row>
    <row r="203" spans="1:12" customHeight="1" ht="105" outlineLevel="4">
      <c r="A203" s="1"/>
      <c r="B203" s="1">
        <v>823145</v>
      </c>
      <c r="C203" s="1" t="s">
        <v>773</v>
      </c>
      <c r="D203" s="1" t="s">
        <v>774</v>
      </c>
      <c r="E203" s="2" t="s">
        <v>775</v>
      </c>
      <c r="F203" s="2" t="s">
        <v>776</v>
      </c>
      <c r="G203" s="2">
        <v>0</v>
      </c>
      <c r="H203" s="2">
        <v>0</v>
      </c>
      <c r="I203" s="1">
        <v>0</v>
      </c>
      <c r="J203" s="3" t="s">
        <v>117</v>
      </c>
      <c r="K203" s="2" t="str">
        <f>J203*603.93</f>
        <v>0</v>
      </c>
      <c r="L203" s="5"/>
    </row>
    <row r="204" spans="1:12" customHeight="1" ht="105" outlineLevel="4">
      <c r="A204" s="1"/>
      <c r="B204" s="1">
        <v>823970</v>
      </c>
      <c r="C204" s="1" t="s">
        <v>777</v>
      </c>
      <c r="D204" s="1" t="s">
        <v>778</v>
      </c>
      <c r="E204" s="2" t="s">
        <v>779</v>
      </c>
      <c r="F204" s="2" t="s">
        <v>592</v>
      </c>
      <c r="G204" s="2" t="s">
        <v>90</v>
      </c>
      <c r="H204" s="2">
        <v>0</v>
      </c>
      <c r="I204" s="1">
        <v>0</v>
      </c>
      <c r="J204" s="3" t="s">
        <v>117</v>
      </c>
      <c r="K204" s="2" t="str">
        <f>J204*499.80</f>
        <v>0</v>
      </c>
      <c r="L204" s="5"/>
    </row>
    <row r="205" spans="1:12" customHeight="1" ht="105" outlineLevel="4">
      <c r="A205" s="1"/>
      <c r="B205" s="1">
        <v>823969</v>
      </c>
      <c r="C205" s="1" t="s">
        <v>780</v>
      </c>
      <c r="D205" s="1" t="s">
        <v>781</v>
      </c>
      <c r="E205" s="2" t="s">
        <v>782</v>
      </c>
      <c r="F205" s="2" t="s">
        <v>535</v>
      </c>
      <c r="G205" s="2" t="s">
        <v>90</v>
      </c>
      <c r="H205" s="2">
        <v>0</v>
      </c>
      <c r="I205" s="1">
        <v>0</v>
      </c>
      <c r="J205" s="3" t="s">
        <v>117</v>
      </c>
      <c r="K205" s="2" t="str">
        <f>J205*331.71</f>
        <v>0</v>
      </c>
      <c r="L205" s="5"/>
    </row>
    <row r="206" spans="1:12" customHeight="1" ht="105" outlineLevel="4">
      <c r="A206" s="1"/>
      <c r="B206" s="1">
        <v>823968</v>
      </c>
      <c r="C206" s="1" t="s">
        <v>783</v>
      </c>
      <c r="D206" s="1" t="s">
        <v>784</v>
      </c>
      <c r="E206" s="2" t="s">
        <v>785</v>
      </c>
      <c r="F206" s="2" t="s">
        <v>786</v>
      </c>
      <c r="G206" s="2">
        <v>5</v>
      </c>
      <c r="H206" s="2">
        <v>0</v>
      </c>
      <c r="I206" s="1">
        <v>0</v>
      </c>
      <c r="J206" s="3" t="s">
        <v>117</v>
      </c>
      <c r="K206" s="2" t="str">
        <f>J206*336.18</f>
        <v>0</v>
      </c>
      <c r="L206" s="5"/>
    </row>
    <row r="207" spans="1:12" customHeight="1" ht="105" outlineLevel="4">
      <c r="A207" s="1"/>
      <c r="B207" s="1">
        <v>883559</v>
      </c>
      <c r="C207" s="1" t="s">
        <v>787</v>
      </c>
      <c r="D207" s="1"/>
      <c r="E207" s="2" t="s">
        <v>771</v>
      </c>
      <c r="F207" s="2" t="s">
        <v>788</v>
      </c>
      <c r="G207" s="2" t="s">
        <v>17</v>
      </c>
      <c r="H207" s="2">
        <v>0</v>
      </c>
      <c r="I207" s="1">
        <v>0</v>
      </c>
      <c r="J207" s="3" t="s">
        <v>117</v>
      </c>
      <c r="K207" s="2" t="str">
        <f>J207*312.93</f>
        <v>0</v>
      </c>
      <c r="L207" s="5"/>
    </row>
    <row r="208" spans="1:12" customHeight="1" ht="105" outlineLevel="4">
      <c r="A208" s="1"/>
      <c r="B208" s="1">
        <v>883557</v>
      </c>
      <c r="C208" s="1" t="s">
        <v>789</v>
      </c>
      <c r="D208" s="1"/>
      <c r="E208" s="2" t="s">
        <v>741</v>
      </c>
      <c r="F208" s="2" t="s">
        <v>790</v>
      </c>
      <c r="G208" s="2" t="s">
        <v>58</v>
      </c>
      <c r="H208" s="2">
        <v>0</v>
      </c>
      <c r="I208" s="1">
        <v>0</v>
      </c>
      <c r="J208" s="3" t="s">
        <v>117</v>
      </c>
      <c r="K208" s="2" t="str">
        <f>J208*287.28</f>
        <v>0</v>
      </c>
      <c r="L208" s="5"/>
    </row>
    <row r="209" spans="1:12" customHeight="1" ht="105" outlineLevel="4">
      <c r="A209" s="1"/>
      <c r="B209" s="1">
        <v>883558</v>
      </c>
      <c r="C209" s="1" t="s">
        <v>791</v>
      </c>
      <c r="D209" s="1"/>
      <c r="E209" s="2" t="s">
        <v>764</v>
      </c>
      <c r="F209" s="2" t="s">
        <v>790</v>
      </c>
      <c r="G209" s="2" t="s">
        <v>58</v>
      </c>
      <c r="H209" s="2">
        <v>0</v>
      </c>
      <c r="I209" s="1">
        <v>0</v>
      </c>
      <c r="J209" s="3" t="s">
        <v>117</v>
      </c>
      <c r="K209" s="2" t="str">
        <f>J209*287.28</f>
        <v>0</v>
      </c>
      <c r="L209" s="5"/>
    </row>
    <row r="210" spans="1:12" outlineLevel="1">
      <c r="A210" s="7" t="s">
        <v>792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5"/>
    </row>
    <row r="211" spans="1:12" outlineLevel="2">
      <c r="A211" s="8" t="s">
        <v>793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5"/>
    </row>
    <row r="212" spans="1:12" customHeight="1" ht="105" outlineLevel="4">
      <c r="A212" s="1"/>
      <c r="B212" s="1">
        <v>819616</v>
      </c>
      <c r="C212" s="1" t="s">
        <v>794</v>
      </c>
      <c r="D212" s="1" t="s">
        <v>795</v>
      </c>
      <c r="E212" s="2" t="s">
        <v>796</v>
      </c>
      <c r="F212" s="2" t="s">
        <v>797</v>
      </c>
      <c r="G212" s="2" t="s">
        <v>17</v>
      </c>
      <c r="H212" s="2" t="s">
        <v>41</v>
      </c>
      <c r="I212" s="1">
        <v>0</v>
      </c>
      <c r="J212" s="3" t="s">
        <v>117</v>
      </c>
      <c r="K212" s="2" t="str">
        <f>J212*194.00</f>
        <v>0</v>
      </c>
      <c r="L212" s="5"/>
    </row>
    <row r="213" spans="1:12" customHeight="1" ht="105" outlineLevel="4">
      <c r="A213" s="1"/>
      <c r="B213" s="1">
        <v>819617</v>
      </c>
      <c r="C213" s="1" t="s">
        <v>798</v>
      </c>
      <c r="D213" s="1" t="s">
        <v>799</v>
      </c>
      <c r="E213" s="2" t="s">
        <v>800</v>
      </c>
      <c r="F213" s="2" t="s">
        <v>801</v>
      </c>
      <c r="G213" s="2" t="s">
        <v>139</v>
      </c>
      <c r="H213" s="2" t="s">
        <v>17</v>
      </c>
      <c r="I213" s="1">
        <v>0</v>
      </c>
      <c r="J213" s="3" t="s">
        <v>117</v>
      </c>
      <c r="K213" s="2" t="str">
        <f>J213*290.00</f>
        <v>0</v>
      </c>
      <c r="L213" s="5"/>
    </row>
    <row r="214" spans="1:12" customHeight="1" ht="105" outlineLevel="4">
      <c r="A214" s="1"/>
      <c r="B214" s="1">
        <v>819618</v>
      </c>
      <c r="C214" s="1" t="s">
        <v>802</v>
      </c>
      <c r="D214" s="1" t="s">
        <v>803</v>
      </c>
      <c r="E214" s="2" t="s">
        <v>804</v>
      </c>
      <c r="F214" s="2" t="s">
        <v>805</v>
      </c>
      <c r="G214" s="2" t="s">
        <v>139</v>
      </c>
      <c r="H214" s="2" t="s">
        <v>40</v>
      </c>
      <c r="I214" s="1">
        <v>0</v>
      </c>
      <c r="J214" s="3" t="s">
        <v>117</v>
      </c>
      <c r="K214" s="2" t="str">
        <f>J214*308.00</f>
        <v>0</v>
      </c>
      <c r="L214" s="5"/>
    </row>
    <row r="215" spans="1:12" customHeight="1" ht="105" outlineLevel="4">
      <c r="A215" s="1"/>
      <c r="B215" s="1">
        <v>819619</v>
      </c>
      <c r="C215" s="1" t="s">
        <v>806</v>
      </c>
      <c r="D215" s="1" t="s">
        <v>807</v>
      </c>
      <c r="E215" s="2" t="s">
        <v>808</v>
      </c>
      <c r="F215" s="2" t="s">
        <v>809</v>
      </c>
      <c r="G215" s="2" t="s">
        <v>139</v>
      </c>
      <c r="H215" s="2" t="s">
        <v>40</v>
      </c>
      <c r="I215" s="1">
        <v>0</v>
      </c>
      <c r="J215" s="3" t="s">
        <v>117</v>
      </c>
      <c r="K215" s="2" t="str">
        <f>J215*287.00</f>
        <v>0</v>
      </c>
      <c r="L215" s="5"/>
    </row>
    <row r="216" spans="1:12" customHeight="1" ht="105" outlineLevel="4">
      <c r="A216" s="1"/>
      <c r="B216" s="1">
        <v>819620</v>
      </c>
      <c r="C216" s="1" t="s">
        <v>810</v>
      </c>
      <c r="D216" s="1" t="s">
        <v>811</v>
      </c>
      <c r="E216" s="2" t="s">
        <v>812</v>
      </c>
      <c r="F216" s="2" t="s">
        <v>813</v>
      </c>
      <c r="G216" s="2" t="s">
        <v>90</v>
      </c>
      <c r="H216" s="2" t="s">
        <v>40</v>
      </c>
      <c r="I216" s="1">
        <v>0</v>
      </c>
      <c r="J216" s="3" t="s">
        <v>117</v>
      </c>
      <c r="K216" s="2" t="str">
        <f>J216*496.00</f>
        <v>0</v>
      </c>
      <c r="L216" s="5"/>
    </row>
    <row r="217" spans="1:12" customHeight="1" ht="105" outlineLevel="4">
      <c r="A217" s="1"/>
      <c r="B217" s="1">
        <v>819621</v>
      </c>
      <c r="C217" s="1" t="s">
        <v>814</v>
      </c>
      <c r="D217" s="1" t="s">
        <v>815</v>
      </c>
      <c r="E217" s="2" t="s">
        <v>816</v>
      </c>
      <c r="F217" s="2" t="s">
        <v>817</v>
      </c>
      <c r="G217" s="2" t="s">
        <v>90</v>
      </c>
      <c r="H217" s="2" t="s">
        <v>45</v>
      </c>
      <c r="I217" s="1">
        <v>0</v>
      </c>
      <c r="J217" s="3" t="s">
        <v>117</v>
      </c>
      <c r="K217" s="2" t="str">
        <f>J217*532.00</f>
        <v>0</v>
      </c>
      <c r="L217" s="5"/>
    </row>
    <row r="218" spans="1:12" customHeight="1" ht="105" outlineLevel="4">
      <c r="A218" s="1"/>
      <c r="B218" s="1">
        <v>819622</v>
      </c>
      <c r="C218" s="1" t="s">
        <v>818</v>
      </c>
      <c r="D218" s="1" t="s">
        <v>819</v>
      </c>
      <c r="E218" s="2" t="s">
        <v>820</v>
      </c>
      <c r="F218" s="2" t="s">
        <v>821</v>
      </c>
      <c r="G218" s="2">
        <v>9</v>
      </c>
      <c r="H218" s="2" t="s">
        <v>45</v>
      </c>
      <c r="I218" s="1">
        <v>0</v>
      </c>
      <c r="J218" s="3" t="s">
        <v>117</v>
      </c>
      <c r="K218" s="2" t="str">
        <f>J218*770.00</f>
        <v>0</v>
      </c>
      <c r="L218" s="5"/>
    </row>
    <row r="219" spans="1:12" customHeight="1" ht="105" outlineLevel="4">
      <c r="A219" s="1"/>
      <c r="B219" s="1">
        <v>819623</v>
      </c>
      <c r="C219" s="1" t="s">
        <v>822</v>
      </c>
      <c r="D219" s="1" t="s">
        <v>823</v>
      </c>
      <c r="E219" s="2" t="s">
        <v>824</v>
      </c>
      <c r="F219" s="2" t="s">
        <v>375</v>
      </c>
      <c r="G219" s="2">
        <v>5</v>
      </c>
      <c r="H219" s="2" t="s">
        <v>17</v>
      </c>
      <c r="I219" s="1">
        <v>0</v>
      </c>
      <c r="J219" s="3" t="s">
        <v>117</v>
      </c>
      <c r="K219" s="2" t="str">
        <f>J219*982.00</f>
        <v>0</v>
      </c>
      <c r="L219" s="5"/>
    </row>
    <row r="220" spans="1:12" customHeight="1" ht="105" outlineLevel="4">
      <c r="A220" s="1"/>
      <c r="B220" s="1">
        <v>819624</v>
      </c>
      <c r="C220" s="1" t="s">
        <v>825</v>
      </c>
      <c r="D220" s="1" t="s">
        <v>826</v>
      </c>
      <c r="E220" s="2" t="s">
        <v>827</v>
      </c>
      <c r="F220" s="2" t="s">
        <v>828</v>
      </c>
      <c r="G220" s="2">
        <v>0</v>
      </c>
      <c r="H220" s="2" t="s">
        <v>90</v>
      </c>
      <c r="I220" s="1">
        <v>0</v>
      </c>
      <c r="J220" s="3" t="s">
        <v>117</v>
      </c>
      <c r="K220" s="2" t="str">
        <f>J220*1047.00</f>
        <v>0</v>
      </c>
      <c r="L220" s="5"/>
    </row>
    <row r="221" spans="1:12" customHeight="1" ht="105" outlineLevel="4">
      <c r="A221" s="1"/>
      <c r="B221" s="1">
        <v>819625</v>
      </c>
      <c r="C221" s="1" t="s">
        <v>829</v>
      </c>
      <c r="D221" s="1" t="s">
        <v>830</v>
      </c>
      <c r="E221" s="2" t="s">
        <v>831</v>
      </c>
      <c r="F221" s="2" t="s">
        <v>832</v>
      </c>
      <c r="G221" s="2">
        <v>0</v>
      </c>
      <c r="H221" s="2" t="s">
        <v>58</v>
      </c>
      <c r="I221" s="1">
        <v>0</v>
      </c>
      <c r="J221" s="3" t="s">
        <v>117</v>
      </c>
      <c r="K221" s="2" t="str">
        <f>J221*1141.00</f>
        <v>0</v>
      </c>
      <c r="L221" s="5"/>
    </row>
    <row r="222" spans="1:12" customHeight="1" ht="105" outlineLevel="4">
      <c r="A222" s="1"/>
      <c r="B222" s="1">
        <v>819626</v>
      </c>
      <c r="C222" s="1" t="s">
        <v>833</v>
      </c>
      <c r="D222" s="1" t="s">
        <v>834</v>
      </c>
      <c r="E222" s="2" t="s">
        <v>835</v>
      </c>
      <c r="F222" s="2" t="s">
        <v>836</v>
      </c>
      <c r="G222" s="2" t="s">
        <v>139</v>
      </c>
      <c r="H222" s="2" t="s">
        <v>40</v>
      </c>
      <c r="I222" s="1">
        <v>0</v>
      </c>
      <c r="J222" s="3" t="s">
        <v>117</v>
      </c>
      <c r="K222" s="2" t="str">
        <f>J222*212.00</f>
        <v>0</v>
      </c>
      <c r="L222" s="5"/>
    </row>
    <row r="223" spans="1:12" customHeight="1" ht="105" outlineLevel="4">
      <c r="A223" s="1"/>
      <c r="B223" s="1">
        <v>819627</v>
      </c>
      <c r="C223" s="1" t="s">
        <v>837</v>
      </c>
      <c r="D223" s="1" t="s">
        <v>838</v>
      </c>
      <c r="E223" s="2" t="s">
        <v>839</v>
      </c>
      <c r="F223" s="2" t="s">
        <v>840</v>
      </c>
      <c r="G223" s="2" t="s">
        <v>90</v>
      </c>
      <c r="H223" s="2" t="s">
        <v>17</v>
      </c>
      <c r="I223" s="1">
        <v>0</v>
      </c>
      <c r="J223" s="3" t="s">
        <v>117</v>
      </c>
      <c r="K223" s="2" t="str">
        <f>J223*271.00</f>
        <v>0</v>
      </c>
      <c r="L223" s="5"/>
    </row>
    <row r="224" spans="1:12" customHeight="1" ht="105" outlineLevel="4">
      <c r="A224" s="1"/>
      <c r="B224" s="1">
        <v>819628</v>
      </c>
      <c r="C224" s="1" t="s">
        <v>841</v>
      </c>
      <c r="D224" s="1" t="s">
        <v>842</v>
      </c>
      <c r="E224" s="2" t="s">
        <v>843</v>
      </c>
      <c r="F224" s="2" t="s">
        <v>844</v>
      </c>
      <c r="G224" s="2" t="s">
        <v>139</v>
      </c>
      <c r="H224" s="2" t="s">
        <v>40</v>
      </c>
      <c r="I224" s="1">
        <v>0</v>
      </c>
      <c r="J224" s="3" t="s">
        <v>117</v>
      </c>
      <c r="K224" s="2" t="str">
        <f>J224*241.00</f>
        <v>0</v>
      </c>
      <c r="L224" s="5"/>
    </row>
    <row r="225" spans="1:12" customHeight="1" ht="105" outlineLevel="4">
      <c r="A225" s="1"/>
      <c r="B225" s="1">
        <v>819629</v>
      </c>
      <c r="C225" s="1" t="s">
        <v>845</v>
      </c>
      <c r="D225" s="1" t="s">
        <v>846</v>
      </c>
      <c r="E225" s="2" t="s">
        <v>847</v>
      </c>
      <c r="F225" s="2" t="s">
        <v>848</v>
      </c>
      <c r="G225" s="2" t="s">
        <v>139</v>
      </c>
      <c r="H225" s="2" t="s">
        <v>40</v>
      </c>
      <c r="I225" s="1">
        <v>0</v>
      </c>
      <c r="J225" s="3" t="s">
        <v>117</v>
      </c>
      <c r="K225" s="2" t="str">
        <f>J225*319.00</f>
        <v>0</v>
      </c>
      <c r="L225" s="5"/>
    </row>
    <row r="226" spans="1:12" customHeight="1" ht="105" outlineLevel="4">
      <c r="A226" s="1"/>
      <c r="B226" s="1">
        <v>819630</v>
      </c>
      <c r="C226" s="1" t="s">
        <v>849</v>
      </c>
      <c r="D226" s="1" t="s">
        <v>850</v>
      </c>
      <c r="E226" s="2" t="s">
        <v>851</v>
      </c>
      <c r="F226" s="2" t="s">
        <v>852</v>
      </c>
      <c r="G226" s="2" t="s">
        <v>90</v>
      </c>
      <c r="H226" s="2" t="s">
        <v>40</v>
      </c>
      <c r="I226" s="1">
        <v>0</v>
      </c>
      <c r="J226" s="3" t="s">
        <v>117</v>
      </c>
      <c r="K226" s="2" t="str">
        <f>J226*368.00</f>
        <v>0</v>
      </c>
      <c r="L226" s="5"/>
    </row>
    <row r="227" spans="1:12" customHeight="1" ht="105" outlineLevel="4">
      <c r="A227" s="1"/>
      <c r="B227" s="1">
        <v>819631</v>
      </c>
      <c r="C227" s="1" t="s">
        <v>853</v>
      </c>
      <c r="D227" s="1" t="s">
        <v>854</v>
      </c>
      <c r="E227" s="2" t="s">
        <v>855</v>
      </c>
      <c r="F227" s="2" t="s">
        <v>856</v>
      </c>
      <c r="G227" s="2" t="s">
        <v>90</v>
      </c>
      <c r="H227" s="2" t="s">
        <v>45</v>
      </c>
      <c r="I227" s="1">
        <v>0</v>
      </c>
      <c r="J227" s="3" t="s">
        <v>117</v>
      </c>
      <c r="K227" s="2" t="str">
        <f>J227*461.00</f>
        <v>0</v>
      </c>
      <c r="L227" s="5"/>
    </row>
    <row r="228" spans="1:12" customHeight="1" ht="105" outlineLevel="4">
      <c r="A228" s="1"/>
      <c r="B228" s="1">
        <v>819632</v>
      </c>
      <c r="C228" s="1" t="s">
        <v>857</v>
      </c>
      <c r="D228" s="1" t="s">
        <v>858</v>
      </c>
      <c r="E228" s="2" t="s">
        <v>859</v>
      </c>
      <c r="F228" s="2" t="s">
        <v>860</v>
      </c>
      <c r="G228" s="2" t="s">
        <v>90</v>
      </c>
      <c r="H228" s="2" t="s">
        <v>17</v>
      </c>
      <c r="I228" s="1">
        <v>0</v>
      </c>
      <c r="J228" s="3" t="s">
        <v>117</v>
      </c>
      <c r="K228" s="2" t="str">
        <f>J228*550.00</f>
        <v>0</v>
      </c>
      <c r="L228" s="5"/>
    </row>
    <row r="229" spans="1:12" customHeight="1" ht="105" outlineLevel="4">
      <c r="A229" s="1"/>
      <c r="B229" s="1">
        <v>819633</v>
      </c>
      <c r="C229" s="1" t="s">
        <v>861</v>
      </c>
      <c r="D229" s="1" t="s">
        <v>862</v>
      </c>
      <c r="E229" s="2" t="s">
        <v>863</v>
      </c>
      <c r="F229" s="2" t="s">
        <v>864</v>
      </c>
      <c r="G229" s="2">
        <v>8</v>
      </c>
      <c r="H229" s="2" t="s">
        <v>17</v>
      </c>
      <c r="I229" s="1">
        <v>0</v>
      </c>
      <c r="J229" s="3" t="s">
        <v>117</v>
      </c>
      <c r="K229" s="2" t="str">
        <f>J229*992.00</f>
        <v>0</v>
      </c>
      <c r="L229" s="5"/>
    </row>
    <row r="230" spans="1:12" customHeight="1" ht="105" outlineLevel="4">
      <c r="A230" s="1"/>
      <c r="B230" s="1">
        <v>819634</v>
      </c>
      <c r="C230" s="1" t="s">
        <v>865</v>
      </c>
      <c r="D230" s="1" t="s">
        <v>866</v>
      </c>
      <c r="E230" s="2" t="s">
        <v>867</v>
      </c>
      <c r="F230" s="2" t="s">
        <v>868</v>
      </c>
      <c r="G230" s="2" t="s">
        <v>139</v>
      </c>
      <c r="H230" s="2" t="s">
        <v>40</v>
      </c>
      <c r="I230" s="1">
        <v>0</v>
      </c>
      <c r="J230" s="3" t="s">
        <v>117</v>
      </c>
      <c r="K230" s="2" t="str">
        <f>J230*206.00</f>
        <v>0</v>
      </c>
      <c r="L230" s="5"/>
    </row>
    <row r="231" spans="1:12" customHeight="1" ht="105" outlineLevel="4">
      <c r="A231" s="1"/>
      <c r="B231" s="1">
        <v>819635</v>
      </c>
      <c r="C231" s="1" t="s">
        <v>869</v>
      </c>
      <c r="D231" s="1" t="s">
        <v>870</v>
      </c>
      <c r="E231" s="2" t="s">
        <v>871</v>
      </c>
      <c r="F231" s="2" t="s">
        <v>872</v>
      </c>
      <c r="G231" s="2" t="s">
        <v>139</v>
      </c>
      <c r="H231" s="2" t="s">
        <v>40</v>
      </c>
      <c r="I231" s="1">
        <v>0</v>
      </c>
      <c r="J231" s="3" t="s">
        <v>117</v>
      </c>
      <c r="K231" s="2" t="str">
        <f>J231*288.00</f>
        <v>0</v>
      </c>
      <c r="L231" s="5"/>
    </row>
    <row r="232" spans="1:12" customHeight="1" ht="105" outlineLevel="4">
      <c r="A232" s="1"/>
      <c r="B232" s="1">
        <v>819636</v>
      </c>
      <c r="C232" s="1" t="s">
        <v>873</v>
      </c>
      <c r="D232" s="1" t="s">
        <v>874</v>
      </c>
      <c r="E232" s="2" t="s">
        <v>875</v>
      </c>
      <c r="F232" s="2" t="s">
        <v>876</v>
      </c>
      <c r="G232" s="2">
        <v>7</v>
      </c>
      <c r="H232" s="2" t="s">
        <v>17</v>
      </c>
      <c r="I232" s="1">
        <v>0</v>
      </c>
      <c r="J232" s="3" t="s">
        <v>117</v>
      </c>
      <c r="K232" s="2" t="str">
        <f>J232*285.00</f>
        <v>0</v>
      </c>
      <c r="L232" s="5"/>
    </row>
    <row r="233" spans="1:12" customHeight="1" ht="105" outlineLevel="4">
      <c r="A233" s="1"/>
      <c r="B233" s="1">
        <v>819637</v>
      </c>
      <c r="C233" s="1" t="s">
        <v>877</v>
      </c>
      <c r="D233" s="1" t="s">
        <v>878</v>
      </c>
      <c r="E233" s="2" t="s">
        <v>879</v>
      </c>
      <c r="F233" s="2" t="s">
        <v>880</v>
      </c>
      <c r="G233" s="2" t="s">
        <v>90</v>
      </c>
      <c r="H233" s="2" t="s">
        <v>45</v>
      </c>
      <c r="I233" s="1">
        <v>0</v>
      </c>
      <c r="J233" s="3" t="s">
        <v>117</v>
      </c>
      <c r="K233" s="2" t="str">
        <f>J233*445.00</f>
        <v>0</v>
      </c>
      <c r="L233" s="5"/>
    </row>
    <row r="234" spans="1:12" customHeight="1" ht="105" outlineLevel="4">
      <c r="A234" s="1"/>
      <c r="B234" s="1">
        <v>819638</v>
      </c>
      <c r="C234" s="1" t="s">
        <v>881</v>
      </c>
      <c r="D234" s="1" t="s">
        <v>882</v>
      </c>
      <c r="E234" s="2" t="s">
        <v>883</v>
      </c>
      <c r="F234" s="2" t="s">
        <v>884</v>
      </c>
      <c r="G234" s="2">
        <v>5</v>
      </c>
      <c r="H234" s="2" t="s">
        <v>58</v>
      </c>
      <c r="I234" s="1">
        <v>0</v>
      </c>
      <c r="J234" s="3" t="s">
        <v>117</v>
      </c>
      <c r="K234" s="2" t="str">
        <f>J234*411.00</f>
        <v>0</v>
      </c>
      <c r="L234" s="5"/>
    </row>
    <row r="235" spans="1:12" customHeight="1" ht="105" outlineLevel="4">
      <c r="A235" s="1"/>
      <c r="B235" s="1">
        <v>819639</v>
      </c>
      <c r="C235" s="1" t="s">
        <v>885</v>
      </c>
      <c r="D235" s="1" t="s">
        <v>886</v>
      </c>
      <c r="E235" s="2" t="s">
        <v>887</v>
      </c>
      <c r="F235" s="2" t="s">
        <v>888</v>
      </c>
      <c r="G235" s="2">
        <v>9</v>
      </c>
      <c r="H235" s="2" t="s">
        <v>17</v>
      </c>
      <c r="I235" s="1">
        <v>0</v>
      </c>
      <c r="J235" s="3" t="s">
        <v>117</v>
      </c>
      <c r="K235" s="2" t="str">
        <f>J235*423.00</f>
        <v>0</v>
      </c>
      <c r="L235" s="5"/>
    </row>
    <row r="236" spans="1:12" customHeight="1" ht="105" outlineLevel="4">
      <c r="A236" s="1"/>
      <c r="B236" s="1">
        <v>819640</v>
      </c>
      <c r="C236" s="1" t="s">
        <v>889</v>
      </c>
      <c r="D236" s="1" t="s">
        <v>890</v>
      </c>
      <c r="E236" s="2" t="s">
        <v>891</v>
      </c>
      <c r="F236" s="2" t="s">
        <v>892</v>
      </c>
      <c r="G236" s="2">
        <v>0</v>
      </c>
      <c r="H236" s="2" t="s">
        <v>17</v>
      </c>
      <c r="I236" s="1">
        <v>0</v>
      </c>
      <c r="J236" s="3" t="s">
        <v>117</v>
      </c>
      <c r="K236" s="2" t="str">
        <f>J236*610.00</f>
        <v>0</v>
      </c>
      <c r="L236" s="5"/>
    </row>
    <row r="237" spans="1:12" customHeight="1" ht="105" outlineLevel="4">
      <c r="A237" s="1"/>
      <c r="B237" s="1">
        <v>819641</v>
      </c>
      <c r="C237" s="1" t="s">
        <v>893</v>
      </c>
      <c r="D237" s="1" t="s">
        <v>894</v>
      </c>
      <c r="E237" s="2" t="s">
        <v>895</v>
      </c>
      <c r="F237" s="2" t="s">
        <v>896</v>
      </c>
      <c r="G237" s="2">
        <v>3</v>
      </c>
      <c r="H237" s="2" t="s">
        <v>90</v>
      </c>
      <c r="I237" s="1">
        <v>0</v>
      </c>
      <c r="J237" s="3" t="s">
        <v>117</v>
      </c>
      <c r="K237" s="2" t="str">
        <f>J237*522.00</f>
        <v>0</v>
      </c>
      <c r="L237" s="5"/>
    </row>
    <row r="238" spans="1:12" customHeight="1" ht="105" outlineLevel="4">
      <c r="A238" s="1"/>
      <c r="B238" s="1">
        <v>819642</v>
      </c>
      <c r="C238" s="1" t="s">
        <v>897</v>
      </c>
      <c r="D238" s="1" t="s">
        <v>898</v>
      </c>
      <c r="E238" s="2" t="s">
        <v>899</v>
      </c>
      <c r="F238" s="2" t="s">
        <v>900</v>
      </c>
      <c r="G238" s="2">
        <v>4</v>
      </c>
      <c r="H238" s="2">
        <v>0</v>
      </c>
      <c r="I238" s="1">
        <v>0</v>
      </c>
      <c r="J238" s="3" t="s">
        <v>117</v>
      </c>
      <c r="K238" s="2" t="str">
        <f>J238*690.00</f>
        <v>0</v>
      </c>
      <c r="L238" s="5"/>
    </row>
    <row r="239" spans="1:12" customHeight="1" ht="105" outlineLevel="4">
      <c r="A239" s="1"/>
      <c r="B239" s="1">
        <v>819643</v>
      </c>
      <c r="C239" s="1" t="s">
        <v>901</v>
      </c>
      <c r="D239" s="1" t="s">
        <v>902</v>
      </c>
      <c r="E239" s="2" t="s">
        <v>903</v>
      </c>
      <c r="F239" s="2" t="s">
        <v>904</v>
      </c>
      <c r="G239" s="2">
        <v>0</v>
      </c>
      <c r="H239" s="2" t="s">
        <v>17</v>
      </c>
      <c r="I239" s="1">
        <v>0</v>
      </c>
      <c r="J239" s="3" t="s">
        <v>117</v>
      </c>
      <c r="K239" s="2" t="str">
        <f>J239*644.00</f>
        <v>0</v>
      </c>
      <c r="L239" s="5"/>
    </row>
    <row r="240" spans="1:12" customHeight="1" ht="105" outlineLevel="4">
      <c r="A240" s="1"/>
      <c r="B240" s="1">
        <v>819644</v>
      </c>
      <c r="C240" s="1" t="s">
        <v>905</v>
      </c>
      <c r="D240" s="1" t="s">
        <v>906</v>
      </c>
      <c r="E240" s="2" t="s">
        <v>907</v>
      </c>
      <c r="F240" s="2" t="s">
        <v>908</v>
      </c>
      <c r="G240" s="2">
        <v>0</v>
      </c>
      <c r="H240" s="2">
        <v>1</v>
      </c>
      <c r="I240" s="1">
        <v>0</v>
      </c>
      <c r="J240" s="3" t="s">
        <v>117</v>
      </c>
      <c r="K240" s="2" t="str">
        <f>J240*1206.00</f>
        <v>0</v>
      </c>
      <c r="L240" s="5"/>
    </row>
    <row r="241" spans="1:12" customHeight="1" ht="105" outlineLevel="4">
      <c r="A241" s="1"/>
      <c r="B241" s="1">
        <v>819646</v>
      </c>
      <c r="C241" s="1" t="s">
        <v>909</v>
      </c>
      <c r="D241" s="1" t="s">
        <v>910</v>
      </c>
      <c r="E241" s="2" t="s">
        <v>911</v>
      </c>
      <c r="F241" s="2" t="s">
        <v>912</v>
      </c>
      <c r="G241" s="2" t="s">
        <v>139</v>
      </c>
      <c r="H241" s="2" t="s">
        <v>40</v>
      </c>
      <c r="I241" s="1">
        <v>0</v>
      </c>
      <c r="J241" s="3" t="s">
        <v>117</v>
      </c>
      <c r="K241" s="2" t="str">
        <f>J241*222.00</f>
        <v>0</v>
      </c>
      <c r="L241" s="5"/>
    </row>
    <row r="242" spans="1:12" customHeight="1" ht="105" outlineLevel="4">
      <c r="A242" s="1"/>
      <c r="B242" s="1">
        <v>819647</v>
      </c>
      <c r="C242" s="1" t="s">
        <v>913</v>
      </c>
      <c r="D242" s="1" t="s">
        <v>914</v>
      </c>
      <c r="E242" s="2" t="s">
        <v>915</v>
      </c>
      <c r="F242" s="2" t="s">
        <v>916</v>
      </c>
      <c r="G242" s="2" t="s">
        <v>90</v>
      </c>
      <c r="H242" s="2" t="s">
        <v>17</v>
      </c>
      <c r="I242" s="1">
        <v>0</v>
      </c>
      <c r="J242" s="3" t="s">
        <v>117</v>
      </c>
      <c r="K242" s="2" t="str">
        <f>J242*526.00</f>
        <v>0</v>
      </c>
      <c r="L242" s="5"/>
    </row>
    <row r="243" spans="1:12" customHeight="1" ht="105" outlineLevel="4">
      <c r="A243" s="1"/>
      <c r="B243" s="1">
        <v>819648</v>
      </c>
      <c r="C243" s="1" t="s">
        <v>917</v>
      </c>
      <c r="D243" s="1" t="s">
        <v>918</v>
      </c>
      <c r="E243" s="2" t="s">
        <v>919</v>
      </c>
      <c r="F243" s="2" t="s">
        <v>920</v>
      </c>
      <c r="G243" s="2">
        <v>6</v>
      </c>
      <c r="H243" s="2" t="s">
        <v>17</v>
      </c>
      <c r="I243" s="1">
        <v>0</v>
      </c>
      <c r="J243" s="3" t="s">
        <v>117</v>
      </c>
      <c r="K243" s="2" t="str">
        <f>J243*669.00</f>
        <v>0</v>
      </c>
      <c r="L243" s="5"/>
    </row>
    <row r="244" spans="1:12" customHeight="1" ht="105" outlineLevel="4">
      <c r="A244" s="1"/>
      <c r="B244" s="1">
        <v>819649</v>
      </c>
      <c r="C244" s="1" t="s">
        <v>921</v>
      </c>
      <c r="D244" s="1" t="s">
        <v>922</v>
      </c>
      <c r="E244" s="2" t="s">
        <v>923</v>
      </c>
      <c r="F244" s="2" t="s">
        <v>924</v>
      </c>
      <c r="G244" s="2">
        <v>5</v>
      </c>
      <c r="H244" s="2" t="s">
        <v>58</v>
      </c>
      <c r="I244" s="1">
        <v>0</v>
      </c>
      <c r="J244" s="3" t="s">
        <v>117</v>
      </c>
      <c r="K244" s="2" t="str">
        <f>J244*775.00</f>
        <v>0</v>
      </c>
      <c r="L244" s="5"/>
    </row>
    <row r="245" spans="1:12" customHeight="1" ht="105" outlineLevel="4">
      <c r="A245" s="1"/>
      <c r="B245" s="1">
        <v>819650</v>
      </c>
      <c r="C245" s="1" t="s">
        <v>925</v>
      </c>
      <c r="D245" s="1" t="s">
        <v>926</v>
      </c>
      <c r="E245" s="2" t="s">
        <v>927</v>
      </c>
      <c r="F245" s="2" t="s">
        <v>928</v>
      </c>
      <c r="G245" s="2" t="s">
        <v>90</v>
      </c>
      <c r="H245" s="2" t="s">
        <v>45</v>
      </c>
      <c r="I245" s="1">
        <v>0</v>
      </c>
      <c r="J245" s="3" t="s">
        <v>117</v>
      </c>
      <c r="K245" s="2" t="str">
        <f>J245*1512.00</f>
        <v>0</v>
      </c>
      <c r="L245" s="5"/>
    </row>
    <row r="246" spans="1:12" customHeight="1" ht="105" outlineLevel="4">
      <c r="A246" s="1"/>
      <c r="B246" s="1">
        <v>819651</v>
      </c>
      <c r="C246" s="1" t="s">
        <v>929</v>
      </c>
      <c r="D246" s="1" t="s">
        <v>930</v>
      </c>
      <c r="E246" s="2" t="s">
        <v>931</v>
      </c>
      <c r="F246" s="2" t="s">
        <v>932</v>
      </c>
      <c r="G246" s="2" t="s">
        <v>58</v>
      </c>
      <c r="H246" s="2" t="s">
        <v>41</v>
      </c>
      <c r="I246" s="1">
        <v>0</v>
      </c>
      <c r="J246" s="3" t="s">
        <v>117</v>
      </c>
      <c r="K246" s="2" t="str">
        <f>J246*390.00</f>
        <v>0</v>
      </c>
      <c r="L246" s="5"/>
    </row>
    <row r="247" spans="1:12" customHeight="1" ht="105" outlineLevel="4">
      <c r="A247" s="1"/>
      <c r="B247" s="1">
        <v>819652</v>
      </c>
      <c r="C247" s="1" t="s">
        <v>933</v>
      </c>
      <c r="D247" s="1" t="s">
        <v>934</v>
      </c>
      <c r="E247" s="2" t="s">
        <v>935</v>
      </c>
      <c r="F247" s="2" t="s">
        <v>916</v>
      </c>
      <c r="G247" s="2">
        <v>0</v>
      </c>
      <c r="H247" s="2">
        <v>0</v>
      </c>
      <c r="I247" s="1">
        <v>0</v>
      </c>
      <c r="J247" s="3" t="s">
        <v>117</v>
      </c>
      <c r="K247" s="2" t="str">
        <f>J247*526.00</f>
        <v>0</v>
      </c>
      <c r="L247" s="5"/>
    </row>
    <row r="248" spans="1:12" customHeight="1" ht="105" outlineLevel="4">
      <c r="A248" s="1"/>
      <c r="B248" s="1">
        <v>819653</v>
      </c>
      <c r="C248" s="1" t="s">
        <v>936</v>
      </c>
      <c r="D248" s="1" t="s">
        <v>937</v>
      </c>
      <c r="E248" s="2" t="s">
        <v>938</v>
      </c>
      <c r="F248" s="2" t="s">
        <v>939</v>
      </c>
      <c r="G248" s="2" t="s">
        <v>90</v>
      </c>
      <c r="H248" s="2" t="s">
        <v>17</v>
      </c>
      <c r="I248" s="1">
        <v>0</v>
      </c>
      <c r="J248" s="3" t="s">
        <v>117</v>
      </c>
      <c r="K248" s="2" t="str">
        <f>J248*645.00</f>
        <v>0</v>
      </c>
      <c r="L248" s="5"/>
    </row>
    <row r="249" spans="1:12" customHeight="1" ht="105" outlineLevel="4">
      <c r="A249" s="1"/>
      <c r="B249" s="1">
        <v>819654</v>
      </c>
      <c r="C249" s="1" t="s">
        <v>940</v>
      </c>
      <c r="D249" s="1" t="s">
        <v>941</v>
      </c>
      <c r="E249" s="2" t="s">
        <v>942</v>
      </c>
      <c r="F249" s="2" t="s">
        <v>943</v>
      </c>
      <c r="G249" s="2" t="s">
        <v>90</v>
      </c>
      <c r="H249" s="2" t="s">
        <v>40</v>
      </c>
      <c r="I249" s="1">
        <v>0</v>
      </c>
      <c r="J249" s="3" t="s">
        <v>117</v>
      </c>
      <c r="K249" s="2" t="str">
        <f>J249*568.00</f>
        <v>0</v>
      </c>
      <c r="L249" s="5"/>
    </row>
    <row r="250" spans="1:12" customHeight="1" ht="105" outlineLevel="4">
      <c r="A250" s="1"/>
      <c r="B250" s="1">
        <v>819655</v>
      </c>
      <c r="C250" s="1" t="s">
        <v>944</v>
      </c>
      <c r="D250" s="1" t="s">
        <v>945</v>
      </c>
      <c r="E250" s="2" t="s">
        <v>946</v>
      </c>
      <c r="F250" s="2" t="s">
        <v>947</v>
      </c>
      <c r="G250" s="2">
        <v>0</v>
      </c>
      <c r="H250" s="2">
        <v>0</v>
      </c>
      <c r="I250" s="1">
        <v>0</v>
      </c>
      <c r="J250" s="3" t="s">
        <v>117</v>
      </c>
      <c r="K250" s="2" t="str">
        <f>J250*641.00</f>
        <v>0</v>
      </c>
      <c r="L250" s="5"/>
    </row>
    <row r="251" spans="1:12" customHeight="1" ht="105" outlineLevel="4">
      <c r="A251" s="1"/>
      <c r="B251" s="1">
        <v>819656</v>
      </c>
      <c r="C251" s="1" t="s">
        <v>948</v>
      </c>
      <c r="D251" s="1" t="s">
        <v>949</v>
      </c>
      <c r="E251" s="2" t="s">
        <v>950</v>
      </c>
      <c r="F251" s="2" t="s">
        <v>507</v>
      </c>
      <c r="G251" s="2">
        <v>10</v>
      </c>
      <c r="H251" s="2">
        <v>0</v>
      </c>
      <c r="I251" s="1">
        <v>0</v>
      </c>
      <c r="J251" s="3" t="s">
        <v>117</v>
      </c>
      <c r="K251" s="2" t="str">
        <f>J251*684.00</f>
        <v>0</v>
      </c>
      <c r="L251" s="5"/>
    </row>
    <row r="252" spans="1:12" customHeight="1" ht="105" outlineLevel="4">
      <c r="A252" s="1"/>
      <c r="B252" s="1">
        <v>819657</v>
      </c>
      <c r="C252" s="1" t="s">
        <v>951</v>
      </c>
      <c r="D252" s="1" t="s">
        <v>952</v>
      </c>
      <c r="E252" s="2" t="s">
        <v>953</v>
      </c>
      <c r="F252" s="2" t="s">
        <v>954</v>
      </c>
      <c r="G252" s="2">
        <v>10</v>
      </c>
      <c r="H252" s="2" t="s">
        <v>45</v>
      </c>
      <c r="I252" s="1">
        <v>0</v>
      </c>
      <c r="J252" s="3" t="s">
        <v>117</v>
      </c>
      <c r="K252" s="2" t="str">
        <f>J252*569.00</f>
        <v>0</v>
      </c>
      <c r="L252" s="5"/>
    </row>
    <row r="253" spans="1:12" customHeight="1" ht="105" outlineLevel="4">
      <c r="A253" s="1"/>
      <c r="B253" s="1">
        <v>819658</v>
      </c>
      <c r="C253" s="1" t="s">
        <v>955</v>
      </c>
      <c r="D253" s="1" t="s">
        <v>956</v>
      </c>
      <c r="E253" s="2" t="s">
        <v>957</v>
      </c>
      <c r="F253" s="2" t="s">
        <v>958</v>
      </c>
      <c r="G253" s="2" t="s">
        <v>139</v>
      </c>
      <c r="H253" s="2" t="s">
        <v>40</v>
      </c>
      <c r="I253" s="1">
        <v>0</v>
      </c>
      <c r="J253" s="3" t="s">
        <v>117</v>
      </c>
      <c r="K253" s="2" t="str">
        <f>J253*588.00</f>
        <v>0</v>
      </c>
      <c r="L253" s="5"/>
    </row>
    <row r="254" spans="1:12" customHeight="1" ht="105" outlineLevel="4">
      <c r="A254" s="1"/>
      <c r="B254" s="1">
        <v>819659</v>
      </c>
      <c r="C254" s="1" t="s">
        <v>959</v>
      </c>
      <c r="D254" s="1" t="s">
        <v>960</v>
      </c>
      <c r="E254" s="2" t="s">
        <v>961</v>
      </c>
      <c r="F254" s="2" t="s">
        <v>892</v>
      </c>
      <c r="G254" s="2">
        <v>3</v>
      </c>
      <c r="H254" s="2" t="s">
        <v>17</v>
      </c>
      <c r="I254" s="1">
        <v>0</v>
      </c>
      <c r="J254" s="3" t="s">
        <v>117</v>
      </c>
      <c r="K254" s="2" t="str">
        <f>J254*610.00</f>
        <v>0</v>
      </c>
      <c r="L254" s="5"/>
    </row>
    <row r="255" spans="1:12" customHeight="1" ht="105" outlineLevel="4">
      <c r="A255" s="1"/>
      <c r="B255" s="1">
        <v>819660</v>
      </c>
      <c r="C255" s="1" t="s">
        <v>962</v>
      </c>
      <c r="D255" s="1" t="s">
        <v>963</v>
      </c>
      <c r="E255" s="2" t="s">
        <v>964</v>
      </c>
      <c r="F255" s="2" t="s">
        <v>965</v>
      </c>
      <c r="G255" s="2">
        <v>5</v>
      </c>
      <c r="H255" s="2" t="s">
        <v>41</v>
      </c>
      <c r="I255" s="1">
        <v>0</v>
      </c>
      <c r="J255" s="3" t="s">
        <v>117</v>
      </c>
      <c r="K255" s="2" t="str">
        <f>J255*1018.00</f>
        <v>0</v>
      </c>
      <c r="L255" s="5"/>
    </row>
    <row r="256" spans="1:12" customHeight="1" ht="105" outlineLevel="4">
      <c r="A256" s="1"/>
      <c r="B256" s="1">
        <v>819661</v>
      </c>
      <c r="C256" s="1" t="s">
        <v>966</v>
      </c>
      <c r="D256" s="1" t="s">
        <v>967</v>
      </c>
      <c r="E256" s="2" t="s">
        <v>968</v>
      </c>
      <c r="F256" s="2" t="s">
        <v>969</v>
      </c>
      <c r="G256" s="2" t="s">
        <v>90</v>
      </c>
      <c r="H256" s="2" t="s">
        <v>45</v>
      </c>
      <c r="I256" s="1">
        <v>0</v>
      </c>
      <c r="J256" s="3" t="s">
        <v>117</v>
      </c>
      <c r="K256" s="2" t="str">
        <f>J256*919.00</f>
        <v>0</v>
      </c>
      <c r="L256" s="5"/>
    </row>
    <row r="257" spans="1:12" customHeight="1" ht="105" outlineLevel="4">
      <c r="A257" s="1"/>
      <c r="B257" s="1">
        <v>819662</v>
      </c>
      <c r="C257" s="1" t="s">
        <v>970</v>
      </c>
      <c r="D257" s="1" t="s">
        <v>971</v>
      </c>
      <c r="E257" s="2" t="s">
        <v>972</v>
      </c>
      <c r="F257" s="2" t="s">
        <v>973</v>
      </c>
      <c r="G257" s="2">
        <v>10</v>
      </c>
      <c r="H257" s="2" t="s">
        <v>17</v>
      </c>
      <c r="I257" s="1">
        <v>0</v>
      </c>
      <c r="J257" s="3" t="s">
        <v>117</v>
      </c>
      <c r="K257" s="2" t="str">
        <f>J257*927.00</f>
        <v>0</v>
      </c>
      <c r="L257" s="5"/>
    </row>
    <row r="258" spans="1:12" customHeight="1" ht="105" outlineLevel="4">
      <c r="A258" s="1"/>
      <c r="B258" s="1">
        <v>819663</v>
      </c>
      <c r="C258" s="1" t="s">
        <v>974</v>
      </c>
      <c r="D258" s="1" t="s">
        <v>975</v>
      </c>
      <c r="E258" s="2" t="s">
        <v>976</v>
      </c>
      <c r="F258" s="2" t="s">
        <v>977</v>
      </c>
      <c r="G258" s="2">
        <v>6</v>
      </c>
      <c r="H258" s="2" t="s">
        <v>17</v>
      </c>
      <c r="I258" s="1">
        <v>0</v>
      </c>
      <c r="J258" s="3" t="s">
        <v>117</v>
      </c>
      <c r="K258" s="2" t="str">
        <f>J258*907.00</f>
        <v>0</v>
      </c>
      <c r="L258" s="5"/>
    </row>
    <row r="259" spans="1:12" customHeight="1" ht="105" outlineLevel="4">
      <c r="A259" s="1"/>
      <c r="B259" s="1">
        <v>819664</v>
      </c>
      <c r="C259" s="1" t="s">
        <v>978</v>
      </c>
      <c r="D259" s="1" t="s">
        <v>979</v>
      </c>
      <c r="E259" s="2" t="s">
        <v>980</v>
      </c>
      <c r="F259" s="2" t="s">
        <v>981</v>
      </c>
      <c r="G259" s="2">
        <v>5</v>
      </c>
      <c r="H259" s="2" t="s">
        <v>139</v>
      </c>
      <c r="I259" s="1">
        <v>0</v>
      </c>
      <c r="J259" s="3" t="s">
        <v>117</v>
      </c>
      <c r="K259" s="2" t="str">
        <f>J259*976.00</f>
        <v>0</v>
      </c>
      <c r="L259" s="5"/>
    </row>
    <row r="260" spans="1:12" customHeight="1" ht="105" outlineLevel="4">
      <c r="A260" s="1"/>
      <c r="B260" s="1">
        <v>819665</v>
      </c>
      <c r="C260" s="1" t="s">
        <v>982</v>
      </c>
      <c r="D260" s="1" t="s">
        <v>983</v>
      </c>
      <c r="E260" s="2" t="s">
        <v>984</v>
      </c>
      <c r="F260" s="2" t="s">
        <v>985</v>
      </c>
      <c r="G260" s="2">
        <v>7</v>
      </c>
      <c r="H260" s="2" t="s">
        <v>17</v>
      </c>
      <c r="I260" s="1">
        <v>0</v>
      </c>
      <c r="J260" s="3" t="s">
        <v>117</v>
      </c>
      <c r="K260" s="2" t="str">
        <f>J260*1022.00</f>
        <v>0</v>
      </c>
      <c r="L260" s="5"/>
    </row>
    <row r="261" spans="1:12" customHeight="1" ht="105" outlineLevel="4">
      <c r="A261" s="1"/>
      <c r="B261" s="1">
        <v>819666</v>
      </c>
      <c r="C261" s="1" t="s">
        <v>986</v>
      </c>
      <c r="D261" s="1" t="s">
        <v>987</v>
      </c>
      <c r="E261" s="2" t="s">
        <v>988</v>
      </c>
      <c r="F261" s="2" t="s">
        <v>989</v>
      </c>
      <c r="G261" s="2">
        <v>3</v>
      </c>
      <c r="H261" s="2" t="s">
        <v>45</v>
      </c>
      <c r="I261" s="1">
        <v>0</v>
      </c>
      <c r="J261" s="3" t="s">
        <v>117</v>
      </c>
      <c r="K261" s="2" t="str">
        <f>J261*867.00</f>
        <v>0</v>
      </c>
      <c r="L261" s="5"/>
    </row>
    <row r="262" spans="1:12" customHeight="1" ht="105" outlineLevel="4">
      <c r="A262" s="1"/>
      <c r="B262" s="1">
        <v>819667</v>
      </c>
      <c r="C262" s="1" t="s">
        <v>990</v>
      </c>
      <c r="D262" s="1" t="s">
        <v>991</v>
      </c>
      <c r="E262" s="2" t="s">
        <v>992</v>
      </c>
      <c r="F262" s="2" t="s">
        <v>993</v>
      </c>
      <c r="G262" s="2">
        <v>5</v>
      </c>
      <c r="H262" s="2" t="s">
        <v>58</v>
      </c>
      <c r="I262" s="1">
        <v>0</v>
      </c>
      <c r="J262" s="3" t="s">
        <v>117</v>
      </c>
      <c r="K262" s="2" t="str">
        <f>J262*1065.00</f>
        <v>0</v>
      </c>
      <c r="L262" s="5"/>
    </row>
    <row r="263" spans="1:12" customHeight="1" ht="105" outlineLevel="4">
      <c r="A263" s="1"/>
      <c r="B263" s="1">
        <v>819668</v>
      </c>
      <c r="C263" s="1" t="s">
        <v>994</v>
      </c>
      <c r="D263" s="1" t="s">
        <v>995</v>
      </c>
      <c r="E263" s="2" t="s">
        <v>996</v>
      </c>
      <c r="F263" s="2" t="s">
        <v>997</v>
      </c>
      <c r="G263" s="2">
        <v>2</v>
      </c>
      <c r="H263" s="2" t="s">
        <v>90</v>
      </c>
      <c r="I263" s="1">
        <v>0</v>
      </c>
      <c r="J263" s="3" t="s">
        <v>117</v>
      </c>
      <c r="K263" s="2" t="str">
        <f>J263*1564.00</f>
        <v>0</v>
      </c>
      <c r="L263" s="5"/>
    </row>
    <row r="264" spans="1:12" customHeight="1" ht="105" outlineLevel="4">
      <c r="A264" s="1"/>
      <c r="B264" s="1">
        <v>819669</v>
      </c>
      <c r="C264" s="1" t="s">
        <v>998</v>
      </c>
      <c r="D264" s="1" t="s">
        <v>999</v>
      </c>
      <c r="E264" s="2" t="s">
        <v>1000</v>
      </c>
      <c r="F264" s="2" t="s">
        <v>1001</v>
      </c>
      <c r="G264" s="2">
        <v>0</v>
      </c>
      <c r="H264" s="2" t="s">
        <v>17</v>
      </c>
      <c r="I264" s="1">
        <v>0</v>
      </c>
      <c r="J264" s="3" t="s">
        <v>117</v>
      </c>
      <c r="K264" s="2" t="str">
        <f>J264*1570.00</f>
        <v>0</v>
      </c>
      <c r="L264" s="5"/>
    </row>
    <row r="265" spans="1:12" customHeight="1" ht="105" outlineLevel="4">
      <c r="A265" s="1"/>
      <c r="B265" s="1">
        <v>819670</v>
      </c>
      <c r="C265" s="1" t="s">
        <v>1002</v>
      </c>
      <c r="D265" s="1" t="s">
        <v>1003</v>
      </c>
      <c r="E265" s="2" t="s">
        <v>1004</v>
      </c>
      <c r="F265" s="2" t="s">
        <v>1005</v>
      </c>
      <c r="G265" s="2">
        <v>4</v>
      </c>
      <c r="H265" s="2" t="s">
        <v>17</v>
      </c>
      <c r="I265" s="1">
        <v>0</v>
      </c>
      <c r="J265" s="3" t="s">
        <v>117</v>
      </c>
      <c r="K265" s="2" t="str">
        <f>J265*1548.00</f>
        <v>0</v>
      </c>
      <c r="L265" s="5"/>
    </row>
    <row r="266" spans="1:12" customHeight="1" ht="105" outlineLevel="4">
      <c r="A266" s="1"/>
      <c r="B266" s="1">
        <v>819671</v>
      </c>
      <c r="C266" s="1" t="s">
        <v>1006</v>
      </c>
      <c r="D266" s="1" t="s">
        <v>1007</v>
      </c>
      <c r="E266" s="2" t="s">
        <v>1008</v>
      </c>
      <c r="F266" s="2" t="s">
        <v>1009</v>
      </c>
      <c r="G266" s="2">
        <v>5</v>
      </c>
      <c r="H266" s="2" t="s">
        <v>17</v>
      </c>
      <c r="I266" s="1">
        <v>0</v>
      </c>
      <c r="J266" s="3" t="s">
        <v>117</v>
      </c>
      <c r="K266" s="2" t="str">
        <f>J266*1532.00</f>
        <v>0</v>
      </c>
      <c r="L266" s="5"/>
    </row>
    <row r="267" spans="1:12" customHeight="1" ht="105" outlineLevel="4">
      <c r="A267" s="1"/>
      <c r="B267" s="1">
        <v>819672</v>
      </c>
      <c r="C267" s="1" t="s">
        <v>1010</v>
      </c>
      <c r="D267" s="1" t="s">
        <v>1011</v>
      </c>
      <c r="E267" s="2" t="s">
        <v>1012</v>
      </c>
      <c r="F267" s="2" t="s">
        <v>1013</v>
      </c>
      <c r="G267" s="2">
        <v>5</v>
      </c>
      <c r="H267" s="2" t="s">
        <v>58</v>
      </c>
      <c r="I267" s="1">
        <v>0</v>
      </c>
      <c r="J267" s="3" t="s">
        <v>117</v>
      </c>
      <c r="K267" s="2" t="str">
        <f>J267*1560.00</f>
        <v>0</v>
      </c>
      <c r="L267" s="5"/>
    </row>
    <row r="268" spans="1:12" customHeight="1" ht="105" outlineLevel="4">
      <c r="A268" s="1"/>
      <c r="B268" s="1">
        <v>819673</v>
      </c>
      <c r="C268" s="1" t="s">
        <v>1014</v>
      </c>
      <c r="D268" s="1" t="s">
        <v>1015</v>
      </c>
      <c r="E268" s="2" t="s">
        <v>1016</v>
      </c>
      <c r="F268" s="2" t="s">
        <v>1017</v>
      </c>
      <c r="G268" s="2">
        <v>2</v>
      </c>
      <c r="H268" s="2" t="s">
        <v>139</v>
      </c>
      <c r="I268" s="1">
        <v>0</v>
      </c>
      <c r="J268" s="3" t="s">
        <v>117</v>
      </c>
      <c r="K268" s="2" t="str">
        <f>J268*1497.00</f>
        <v>0</v>
      </c>
      <c r="L268" s="5"/>
    </row>
    <row r="269" spans="1:12" customHeight="1" ht="105" outlineLevel="4">
      <c r="A269" s="1"/>
      <c r="B269" s="1">
        <v>819674</v>
      </c>
      <c r="C269" s="1" t="s">
        <v>1018</v>
      </c>
      <c r="D269" s="1" t="s">
        <v>1019</v>
      </c>
      <c r="E269" s="2" t="s">
        <v>1020</v>
      </c>
      <c r="F269" s="2" t="s">
        <v>1021</v>
      </c>
      <c r="G269" s="2">
        <v>5</v>
      </c>
      <c r="H269" s="2" t="s">
        <v>90</v>
      </c>
      <c r="I269" s="1">
        <v>0</v>
      </c>
      <c r="J269" s="3" t="s">
        <v>117</v>
      </c>
      <c r="K269" s="2" t="str">
        <f>J269*1458.00</f>
        <v>0</v>
      </c>
      <c r="L269" s="5"/>
    </row>
    <row r="270" spans="1:12" customHeight="1" ht="105" outlineLevel="4">
      <c r="A270" s="1"/>
      <c r="B270" s="1">
        <v>819675</v>
      </c>
      <c r="C270" s="1" t="s">
        <v>1022</v>
      </c>
      <c r="D270" s="1" t="s">
        <v>1023</v>
      </c>
      <c r="E270" s="2" t="s">
        <v>1024</v>
      </c>
      <c r="F270" s="2" t="s">
        <v>1025</v>
      </c>
      <c r="G270" s="2">
        <v>3</v>
      </c>
      <c r="H270" s="2" t="s">
        <v>90</v>
      </c>
      <c r="I270" s="1">
        <v>0</v>
      </c>
      <c r="J270" s="3" t="s">
        <v>117</v>
      </c>
      <c r="K270" s="2" t="str">
        <f>J270*1414.00</f>
        <v>0</v>
      </c>
      <c r="L270" s="5"/>
    </row>
    <row r="271" spans="1:12" customHeight="1" ht="105" outlineLevel="4">
      <c r="A271" s="1"/>
      <c r="B271" s="1">
        <v>819676</v>
      </c>
      <c r="C271" s="1" t="s">
        <v>1026</v>
      </c>
      <c r="D271" s="1" t="s">
        <v>1027</v>
      </c>
      <c r="E271" s="2" t="s">
        <v>1028</v>
      </c>
      <c r="F271" s="2" t="s">
        <v>1029</v>
      </c>
      <c r="G271" s="2">
        <v>3</v>
      </c>
      <c r="H271" s="2" t="s">
        <v>90</v>
      </c>
      <c r="I271" s="1">
        <v>0</v>
      </c>
      <c r="J271" s="3" t="s">
        <v>117</v>
      </c>
      <c r="K271" s="2" t="str">
        <f>J271*1584.00</f>
        <v>0</v>
      </c>
      <c r="L271" s="5"/>
    </row>
    <row r="272" spans="1:12" customHeight="1" ht="105" outlineLevel="4">
      <c r="A272" s="1"/>
      <c r="B272" s="1">
        <v>819677</v>
      </c>
      <c r="C272" s="1" t="s">
        <v>1030</v>
      </c>
      <c r="D272" s="1" t="s">
        <v>1031</v>
      </c>
      <c r="E272" s="2" t="s">
        <v>1032</v>
      </c>
      <c r="F272" s="2" t="s">
        <v>1033</v>
      </c>
      <c r="G272" s="2" t="s">
        <v>90</v>
      </c>
      <c r="H272" s="2" t="s">
        <v>17</v>
      </c>
      <c r="I272" s="1">
        <v>0</v>
      </c>
      <c r="J272" s="3" t="s">
        <v>117</v>
      </c>
      <c r="K272" s="2" t="str">
        <f>J272*404.00</f>
        <v>0</v>
      </c>
      <c r="L272" s="5"/>
    </row>
    <row r="273" spans="1:12" customHeight="1" ht="105" outlineLevel="4">
      <c r="A273" s="1"/>
      <c r="B273" s="1">
        <v>819678</v>
      </c>
      <c r="C273" s="1" t="s">
        <v>1034</v>
      </c>
      <c r="D273" s="1" t="s">
        <v>1035</v>
      </c>
      <c r="E273" s="2" t="s">
        <v>1036</v>
      </c>
      <c r="F273" s="2" t="s">
        <v>1037</v>
      </c>
      <c r="G273" s="2" t="s">
        <v>90</v>
      </c>
      <c r="H273" s="2" t="s">
        <v>17</v>
      </c>
      <c r="I273" s="1">
        <v>0</v>
      </c>
      <c r="J273" s="3" t="s">
        <v>117</v>
      </c>
      <c r="K273" s="2" t="str">
        <f>J273*558.00</f>
        <v>0</v>
      </c>
      <c r="L273" s="5"/>
    </row>
    <row r="274" spans="1:12" customHeight="1" ht="105" outlineLevel="4">
      <c r="A274" s="1"/>
      <c r="B274" s="1">
        <v>819679</v>
      </c>
      <c r="C274" s="1" t="s">
        <v>1038</v>
      </c>
      <c r="D274" s="1" t="s">
        <v>1039</v>
      </c>
      <c r="E274" s="2" t="s">
        <v>1040</v>
      </c>
      <c r="F274" s="2" t="s">
        <v>1041</v>
      </c>
      <c r="G274" s="2">
        <v>8</v>
      </c>
      <c r="H274" s="2" t="s">
        <v>17</v>
      </c>
      <c r="I274" s="1">
        <v>0</v>
      </c>
      <c r="J274" s="3" t="s">
        <v>117</v>
      </c>
      <c r="K274" s="2" t="str">
        <f>J274*802.00</f>
        <v>0</v>
      </c>
      <c r="L274" s="5"/>
    </row>
    <row r="275" spans="1:12" customHeight="1" ht="105" outlineLevel="4">
      <c r="A275" s="1"/>
      <c r="B275" s="1">
        <v>819680</v>
      </c>
      <c r="C275" s="1" t="s">
        <v>1042</v>
      </c>
      <c r="D275" s="1" t="s">
        <v>1043</v>
      </c>
      <c r="E275" s="2" t="s">
        <v>1044</v>
      </c>
      <c r="F275" s="2" t="s">
        <v>1045</v>
      </c>
      <c r="G275" s="2">
        <v>5</v>
      </c>
      <c r="H275" s="2" t="s">
        <v>17</v>
      </c>
      <c r="I275" s="1">
        <v>0</v>
      </c>
      <c r="J275" s="3" t="s">
        <v>117</v>
      </c>
      <c r="K275" s="2" t="str">
        <f>J275*939.00</f>
        <v>0</v>
      </c>
      <c r="L275" s="5"/>
    </row>
    <row r="276" spans="1:12" customHeight="1" ht="105" outlineLevel="4">
      <c r="A276" s="1"/>
      <c r="B276" s="1">
        <v>819681</v>
      </c>
      <c r="C276" s="1" t="s">
        <v>1046</v>
      </c>
      <c r="D276" s="1" t="s">
        <v>1047</v>
      </c>
      <c r="E276" s="2" t="s">
        <v>1048</v>
      </c>
      <c r="F276" s="2" t="s">
        <v>1049</v>
      </c>
      <c r="G276" s="2">
        <v>6</v>
      </c>
      <c r="H276" s="2" t="s">
        <v>58</v>
      </c>
      <c r="I276" s="1">
        <v>0</v>
      </c>
      <c r="J276" s="3" t="s">
        <v>117</v>
      </c>
      <c r="K276" s="2" t="str">
        <f>J276*1119.00</f>
        <v>0</v>
      </c>
      <c r="L276" s="5"/>
    </row>
    <row r="277" spans="1:12" customHeight="1" ht="105" outlineLevel="4">
      <c r="A277" s="1"/>
      <c r="B277" s="1">
        <v>819682</v>
      </c>
      <c r="C277" s="1" t="s">
        <v>1050</v>
      </c>
      <c r="D277" s="1" t="s">
        <v>1051</v>
      </c>
      <c r="E277" s="2" t="s">
        <v>1052</v>
      </c>
      <c r="F277" s="2" t="s">
        <v>1053</v>
      </c>
      <c r="G277" s="2">
        <v>4</v>
      </c>
      <c r="H277" s="2" t="s">
        <v>139</v>
      </c>
      <c r="I277" s="1">
        <v>0</v>
      </c>
      <c r="J277" s="3" t="s">
        <v>117</v>
      </c>
      <c r="K277" s="2" t="str">
        <f>J277*1199.00</f>
        <v>0</v>
      </c>
      <c r="L277" s="5"/>
    </row>
    <row r="278" spans="1:12" customHeight="1" ht="105" outlineLevel="4">
      <c r="A278" s="1"/>
      <c r="B278" s="1">
        <v>819683</v>
      </c>
      <c r="C278" s="1" t="s">
        <v>1054</v>
      </c>
      <c r="D278" s="1" t="s">
        <v>1055</v>
      </c>
      <c r="E278" s="2" t="s">
        <v>1056</v>
      </c>
      <c r="F278" s="2" t="s">
        <v>1057</v>
      </c>
      <c r="G278" s="2">
        <v>5</v>
      </c>
      <c r="H278" s="2" t="s">
        <v>58</v>
      </c>
      <c r="I278" s="1">
        <v>0</v>
      </c>
      <c r="J278" s="3" t="s">
        <v>117</v>
      </c>
      <c r="K278" s="2" t="str">
        <f>J278*1319.00</f>
        <v>0</v>
      </c>
      <c r="L278" s="5"/>
    </row>
    <row r="279" spans="1:12" customHeight="1" ht="105" outlineLevel="4">
      <c r="A279" s="1"/>
      <c r="B279" s="1">
        <v>819684</v>
      </c>
      <c r="C279" s="1" t="s">
        <v>1058</v>
      </c>
      <c r="D279" s="1" t="s">
        <v>1059</v>
      </c>
      <c r="E279" s="2" t="s">
        <v>1060</v>
      </c>
      <c r="F279" s="2" t="s">
        <v>1061</v>
      </c>
      <c r="G279" s="2">
        <v>5</v>
      </c>
      <c r="H279" s="2" t="s">
        <v>58</v>
      </c>
      <c r="I279" s="1">
        <v>0</v>
      </c>
      <c r="J279" s="3" t="s">
        <v>117</v>
      </c>
      <c r="K279" s="2" t="str">
        <f>J279*1424.00</f>
        <v>0</v>
      </c>
      <c r="L279" s="5"/>
    </row>
    <row r="280" spans="1:12" customHeight="1" ht="105" outlineLevel="4">
      <c r="A280" s="1"/>
      <c r="B280" s="1">
        <v>819685</v>
      </c>
      <c r="C280" s="1" t="s">
        <v>1062</v>
      </c>
      <c r="D280" s="1" t="s">
        <v>1063</v>
      </c>
      <c r="E280" s="2" t="s">
        <v>1064</v>
      </c>
      <c r="F280" s="2" t="s">
        <v>1065</v>
      </c>
      <c r="G280" s="2">
        <v>5</v>
      </c>
      <c r="H280" s="2" t="s">
        <v>58</v>
      </c>
      <c r="I280" s="1">
        <v>0</v>
      </c>
      <c r="J280" s="3" t="s">
        <v>117</v>
      </c>
      <c r="K280" s="2" t="str">
        <f>J280*2075.00</f>
        <v>0</v>
      </c>
      <c r="L280" s="5"/>
    </row>
    <row r="281" spans="1:12" customHeight="1" ht="105" outlineLevel="4">
      <c r="A281" s="1"/>
      <c r="B281" s="1">
        <v>819686</v>
      </c>
      <c r="C281" s="1" t="s">
        <v>1066</v>
      </c>
      <c r="D281" s="1" t="s">
        <v>1067</v>
      </c>
      <c r="E281" s="2" t="s">
        <v>1068</v>
      </c>
      <c r="F281" s="2" t="s">
        <v>1069</v>
      </c>
      <c r="G281" s="2">
        <v>0</v>
      </c>
      <c r="H281" s="2" t="s">
        <v>58</v>
      </c>
      <c r="I281" s="1">
        <v>0</v>
      </c>
      <c r="J281" s="3" t="s">
        <v>117</v>
      </c>
      <c r="K281" s="2" t="str">
        <f>J281*2562.00</f>
        <v>0</v>
      </c>
      <c r="L281" s="5"/>
    </row>
    <row r="282" spans="1:12" customHeight="1" ht="105" outlineLevel="4">
      <c r="A282" s="1"/>
      <c r="B282" s="1">
        <v>819687</v>
      </c>
      <c r="C282" s="1" t="s">
        <v>1070</v>
      </c>
      <c r="D282" s="1" t="s">
        <v>1071</v>
      </c>
      <c r="E282" s="2" t="s">
        <v>1072</v>
      </c>
      <c r="F282" s="2" t="s">
        <v>1073</v>
      </c>
      <c r="G282" s="2" t="s">
        <v>90</v>
      </c>
      <c r="H282" s="2" t="s">
        <v>17</v>
      </c>
      <c r="I282" s="1">
        <v>0</v>
      </c>
      <c r="J282" s="3" t="s">
        <v>117</v>
      </c>
      <c r="K282" s="2" t="str">
        <f>J282*349.00</f>
        <v>0</v>
      </c>
      <c r="L282" s="5"/>
    </row>
    <row r="283" spans="1:12" customHeight="1" ht="105" outlineLevel="4">
      <c r="A283" s="1"/>
      <c r="B283" s="1">
        <v>819688</v>
      </c>
      <c r="C283" s="1" t="s">
        <v>1074</v>
      </c>
      <c r="D283" s="1" t="s">
        <v>1075</v>
      </c>
      <c r="E283" s="2" t="s">
        <v>1076</v>
      </c>
      <c r="F283" s="2" t="s">
        <v>1077</v>
      </c>
      <c r="G283" s="2">
        <v>10</v>
      </c>
      <c r="H283" s="2" t="s">
        <v>17</v>
      </c>
      <c r="I283" s="1">
        <v>0</v>
      </c>
      <c r="J283" s="3" t="s">
        <v>117</v>
      </c>
      <c r="K283" s="2" t="str">
        <f>J283*546.00</f>
        <v>0</v>
      </c>
      <c r="L283" s="5"/>
    </row>
    <row r="284" spans="1:12" customHeight="1" ht="105" outlineLevel="4">
      <c r="A284" s="1"/>
      <c r="B284" s="1">
        <v>819689</v>
      </c>
      <c r="C284" s="1" t="s">
        <v>1078</v>
      </c>
      <c r="D284" s="1" t="s">
        <v>1079</v>
      </c>
      <c r="E284" s="2" t="s">
        <v>1080</v>
      </c>
      <c r="F284" s="2" t="s">
        <v>1081</v>
      </c>
      <c r="G284" s="2">
        <v>10</v>
      </c>
      <c r="H284" s="2" t="s">
        <v>58</v>
      </c>
      <c r="I284" s="1">
        <v>0</v>
      </c>
      <c r="J284" s="3" t="s">
        <v>117</v>
      </c>
      <c r="K284" s="2" t="str">
        <f>J284*627.00</f>
        <v>0</v>
      </c>
      <c r="L284" s="5"/>
    </row>
    <row r="285" spans="1:12" customHeight="1" ht="105" outlineLevel="4">
      <c r="A285" s="1"/>
      <c r="B285" s="1">
        <v>819690</v>
      </c>
      <c r="C285" s="1" t="s">
        <v>1082</v>
      </c>
      <c r="D285" s="1" t="s">
        <v>1083</v>
      </c>
      <c r="E285" s="2" t="s">
        <v>1084</v>
      </c>
      <c r="F285" s="2" t="s">
        <v>1085</v>
      </c>
      <c r="G285" s="2">
        <v>10</v>
      </c>
      <c r="H285" s="2" t="s">
        <v>17</v>
      </c>
      <c r="I285" s="1">
        <v>0</v>
      </c>
      <c r="J285" s="3" t="s">
        <v>117</v>
      </c>
      <c r="K285" s="2" t="str">
        <f>J285*863.00</f>
        <v>0</v>
      </c>
      <c r="L285" s="5"/>
    </row>
    <row r="286" spans="1:12" customHeight="1" ht="105" outlineLevel="4">
      <c r="A286" s="1"/>
      <c r="B286" s="1">
        <v>819691</v>
      </c>
      <c r="C286" s="1" t="s">
        <v>1086</v>
      </c>
      <c r="D286" s="1" t="s">
        <v>1087</v>
      </c>
      <c r="E286" s="2" t="s">
        <v>1088</v>
      </c>
      <c r="F286" s="2" t="s">
        <v>1089</v>
      </c>
      <c r="G286" s="2">
        <v>4</v>
      </c>
      <c r="H286" s="2" t="s">
        <v>58</v>
      </c>
      <c r="I286" s="1">
        <v>0</v>
      </c>
      <c r="J286" s="3" t="s">
        <v>117</v>
      </c>
      <c r="K286" s="2" t="str">
        <f>J286*825.00</f>
        <v>0</v>
      </c>
      <c r="L286" s="5"/>
    </row>
    <row r="287" spans="1:12" customHeight="1" ht="105" outlineLevel="4">
      <c r="A287" s="1"/>
      <c r="B287" s="1">
        <v>819692</v>
      </c>
      <c r="C287" s="1" t="s">
        <v>1090</v>
      </c>
      <c r="D287" s="1" t="s">
        <v>1091</v>
      </c>
      <c r="E287" s="2" t="s">
        <v>1092</v>
      </c>
      <c r="F287" s="2" t="s">
        <v>1093</v>
      </c>
      <c r="G287" s="2">
        <v>5</v>
      </c>
      <c r="H287" s="2" t="s">
        <v>139</v>
      </c>
      <c r="I287" s="1">
        <v>0</v>
      </c>
      <c r="J287" s="3" t="s">
        <v>117</v>
      </c>
      <c r="K287" s="2" t="str">
        <f>J287*1050.00</f>
        <v>0</v>
      </c>
      <c r="L287" s="5"/>
    </row>
    <row r="288" spans="1:12" customHeight="1" ht="105" outlineLevel="4">
      <c r="A288" s="1"/>
      <c r="B288" s="1">
        <v>819693</v>
      </c>
      <c r="C288" s="1" t="s">
        <v>1094</v>
      </c>
      <c r="D288" s="1" t="s">
        <v>1095</v>
      </c>
      <c r="E288" s="2" t="s">
        <v>1096</v>
      </c>
      <c r="F288" s="2" t="s">
        <v>1097</v>
      </c>
      <c r="G288" s="2">
        <v>4</v>
      </c>
      <c r="H288" s="2" t="s">
        <v>58</v>
      </c>
      <c r="I288" s="1">
        <v>0</v>
      </c>
      <c r="J288" s="3" t="s">
        <v>117</v>
      </c>
      <c r="K288" s="2" t="str">
        <f>J288*1263.00</f>
        <v>0</v>
      </c>
      <c r="L288" s="5"/>
    </row>
    <row r="289" spans="1:12" customHeight="1" ht="105" outlineLevel="4">
      <c r="A289" s="1"/>
      <c r="B289" s="1">
        <v>819694</v>
      </c>
      <c r="C289" s="1" t="s">
        <v>1098</v>
      </c>
      <c r="D289" s="1" t="s">
        <v>1099</v>
      </c>
      <c r="E289" s="2" t="s">
        <v>1100</v>
      </c>
      <c r="F289" s="2" t="s">
        <v>1101</v>
      </c>
      <c r="G289" s="2">
        <v>5</v>
      </c>
      <c r="H289" s="2" t="s">
        <v>139</v>
      </c>
      <c r="I289" s="1">
        <v>0</v>
      </c>
      <c r="J289" s="3" t="s">
        <v>117</v>
      </c>
      <c r="K289" s="2" t="str">
        <f>J289*1440.00</f>
        <v>0</v>
      </c>
      <c r="L289" s="5"/>
    </row>
    <row r="290" spans="1:12" customHeight="1" ht="105" outlineLevel="4">
      <c r="A290" s="1"/>
      <c r="B290" s="1">
        <v>819695</v>
      </c>
      <c r="C290" s="1" t="s">
        <v>1102</v>
      </c>
      <c r="D290" s="1" t="s">
        <v>1103</v>
      </c>
      <c r="E290" s="2" t="s">
        <v>1104</v>
      </c>
      <c r="F290" s="2" t="s">
        <v>1105</v>
      </c>
      <c r="G290" s="2">
        <v>5</v>
      </c>
      <c r="H290" s="2" t="s">
        <v>58</v>
      </c>
      <c r="I290" s="1">
        <v>0</v>
      </c>
      <c r="J290" s="3" t="s">
        <v>117</v>
      </c>
      <c r="K290" s="2" t="str">
        <f>J290*600.00</f>
        <v>0</v>
      </c>
      <c r="L290" s="5"/>
    </row>
    <row r="291" spans="1:12" customHeight="1" ht="105" outlineLevel="4">
      <c r="A291" s="1"/>
      <c r="B291" s="1">
        <v>819696</v>
      </c>
      <c r="C291" s="1" t="s">
        <v>1106</v>
      </c>
      <c r="D291" s="1" t="s">
        <v>1107</v>
      </c>
      <c r="E291" s="2" t="s">
        <v>1108</v>
      </c>
      <c r="F291" s="2" t="s">
        <v>973</v>
      </c>
      <c r="G291" s="2">
        <v>7</v>
      </c>
      <c r="H291" s="2" t="s">
        <v>139</v>
      </c>
      <c r="I291" s="1">
        <v>0</v>
      </c>
      <c r="J291" s="3" t="s">
        <v>117</v>
      </c>
      <c r="K291" s="2" t="str">
        <f>J291*927.00</f>
        <v>0</v>
      </c>
      <c r="L291" s="5"/>
    </row>
    <row r="292" spans="1:12" customHeight="1" ht="105" outlineLevel="4">
      <c r="A292" s="1"/>
      <c r="B292" s="1">
        <v>819697</v>
      </c>
      <c r="C292" s="1" t="s">
        <v>1109</v>
      </c>
      <c r="D292" s="1" t="s">
        <v>1110</v>
      </c>
      <c r="E292" s="2" t="s">
        <v>1111</v>
      </c>
      <c r="F292" s="2" t="s">
        <v>1112</v>
      </c>
      <c r="G292" s="2">
        <v>5</v>
      </c>
      <c r="H292" s="2" t="s">
        <v>90</v>
      </c>
      <c r="I292" s="1">
        <v>0</v>
      </c>
      <c r="J292" s="3" t="s">
        <v>117</v>
      </c>
      <c r="K292" s="2" t="str">
        <f>J292*1536.00</f>
        <v>0</v>
      </c>
      <c r="L292" s="5"/>
    </row>
    <row r="293" spans="1:12" customHeight="1" ht="105" outlineLevel="4">
      <c r="A293" s="1"/>
      <c r="B293" s="1">
        <v>819698</v>
      </c>
      <c r="C293" s="1" t="s">
        <v>1113</v>
      </c>
      <c r="D293" s="1" t="s">
        <v>1114</v>
      </c>
      <c r="E293" s="2" t="s">
        <v>1115</v>
      </c>
      <c r="F293" s="2" t="s">
        <v>1089</v>
      </c>
      <c r="G293" s="2" t="s">
        <v>90</v>
      </c>
      <c r="H293" s="2" t="s">
        <v>17</v>
      </c>
      <c r="I293" s="1">
        <v>0</v>
      </c>
      <c r="J293" s="3" t="s">
        <v>117</v>
      </c>
      <c r="K293" s="2" t="str">
        <f>J293*825.00</f>
        <v>0</v>
      </c>
      <c r="L293" s="5"/>
    </row>
    <row r="294" spans="1:12" customHeight="1" ht="105" outlineLevel="4">
      <c r="A294" s="1"/>
      <c r="B294" s="1">
        <v>819699</v>
      </c>
      <c r="C294" s="1" t="s">
        <v>1116</v>
      </c>
      <c r="D294" s="1" t="s">
        <v>1117</v>
      </c>
      <c r="E294" s="2" t="s">
        <v>1118</v>
      </c>
      <c r="F294" s="2" t="s">
        <v>1119</v>
      </c>
      <c r="G294" s="2">
        <v>7</v>
      </c>
      <c r="H294" s="2" t="s">
        <v>139</v>
      </c>
      <c r="I294" s="1">
        <v>0</v>
      </c>
      <c r="J294" s="3" t="s">
        <v>117</v>
      </c>
      <c r="K294" s="2" t="str">
        <f>J294*878.00</f>
        <v>0</v>
      </c>
      <c r="L294" s="5"/>
    </row>
    <row r="295" spans="1:12" customHeight="1" ht="105" outlineLevel="4">
      <c r="A295" s="1"/>
      <c r="B295" s="1">
        <v>819700</v>
      </c>
      <c r="C295" s="1" t="s">
        <v>1120</v>
      </c>
      <c r="D295" s="1" t="s">
        <v>1121</v>
      </c>
      <c r="E295" s="2" t="s">
        <v>1122</v>
      </c>
      <c r="F295" s="2" t="s">
        <v>1123</v>
      </c>
      <c r="G295" s="2">
        <v>7</v>
      </c>
      <c r="H295" s="2" t="s">
        <v>58</v>
      </c>
      <c r="I295" s="1">
        <v>0</v>
      </c>
      <c r="J295" s="3" t="s">
        <v>117</v>
      </c>
      <c r="K295" s="2" t="str">
        <f>J295*634.00</f>
        <v>0</v>
      </c>
      <c r="L295" s="5"/>
    </row>
    <row r="296" spans="1:12" customHeight="1" ht="105" outlineLevel="4">
      <c r="A296" s="1"/>
      <c r="B296" s="1">
        <v>819701</v>
      </c>
      <c r="C296" s="1" t="s">
        <v>1124</v>
      </c>
      <c r="D296" s="1" t="s">
        <v>1125</v>
      </c>
      <c r="E296" s="2" t="s">
        <v>1126</v>
      </c>
      <c r="F296" s="2" t="s">
        <v>1127</v>
      </c>
      <c r="G296" s="2">
        <v>6</v>
      </c>
      <c r="H296" s="2" t="s">
        <v>58</v>
      </c>
      <c r="I296" s="1">
        <v>0</v>
      </c>
      <c r="J296" s="3" t="s">
        <v>117</v>
      </c>
      <c r="K296" s="2" t="str">
        <f>J296*1259.00</f>
        <v>0</v>
      </c>
      <c r="L296" s="5"/>
    </row>
    <row r="297" spans="1:12" customHeight="1" ht="105" outlineLevel="4">
      <c r="A297" s="1"/>
      <c r="B297" s="1">
        <v>819702</v>
      </c>
      <c r="C297" s="1" t="s">
        <v>1128</v>
      </c>
      <c r="D297" s="1" t="s">
        <v>1129</v>
      </c>
      <c r="E297" s="2" t="s">
        <v>1130</v>
      </c>
      <c r="F297" s="2" t="s">
        <v>1131</v>
      </c>
      <c r="G297" s="2">
        <v>5</v>
      </c>
      <c r="H297" s="2" t="s">
        <v>58</v>
      </c>
      <c r="I297" s="1">
        <v>0</v>
      </c>
      <c r="J297" s="3" t="s">
        <v>117</v>
      </c>
      <c r="K297" s="2" t="str">
        <f>J297*956.00</f>
        <v>0</v>
      </c>
      <c r="L297" s="5"/>
    </row>
    <row r="298" spans="1:12" customHeight="1" ht="105" outlineLevel="4">
      <c r="A298" s="1"/>
      <c r="B298" s="1">
        <v>819703</v>
      </c>
      <c r="C298" s="1" t="s">
        <v>1132</v>
      </c>
      <c r="D298" s="1" t="s">
        <v>1133</v>
      </c>
      <c r="E298" s="2" t="s">
        <v>1134</v>
      </c>
      <c r="F298" s="2" t="s">
        <v>1135</v>
      </c>
      <c r="G298" s="2" t="s">
        <v>17</v>
      </c>
      <c r="H298" s="2" t="s">
        <v>41</v>
      </c>
      <c r="I298" s="1">
        <v>0</v>
      </c>
      <c r="J298" s="3" t="s">
        <v>117</v>
      </c>
      <c r="K298" s="2" t="str">
        <f>J298*281.00</f>
        <v>0</v>
      </c>
      <c r="L298" s="5"/>
    </row>
    <row r="299" spans="1:12" customHeight="1" ht="105" outlineLevel="4">
      <c r="A299" s="1"/>
      <c r="B299" s="1">
        <v>819704</v>
      </c>
      <c r="C299" s="1" t="s">
        <v>1136</v>
      </c>
      <c r="D299" s="1" t="s">
        <v>1137</v>
      </c>
      <c r="E299" s="2" t="s">
        <v>1138</v>
      </c>
      <c r="F299" s="2" t="s">
        <v>1139</v>
      </c>
      <c r="G299" s="2">
        <v>0</v>
      </c>
      <c r="H299" s="2">
        <v>0</v>
      </c>
      <c r="I299" s="1">
        <v>0</v>
      </c>
      <c r="J299" s="3" t="s">
        <v>117</v>
      </c>
      <c r="K299" s="2" t="str">
        <f>J299*374.00</f>
        <v>0</v>
      </c>
      <c r="L299" s="5"/>
    </row>
    <row r="300" spans="1:12" customHeight="1" ht="105" outlineLevel="4">
      <c r="A300" s="1"/>
      <c r="B300" s="1">
        <v>819705</v>
      </c>
      <c r="C300" s="1" t="s">
        <v>1140</v>
      </c>
      <c r="D300" s="1" t="s">
        <v>1141</v>
      </c>
      <c r="E300" s="2" t="s">
        <v>1142</v>
      </c>
      <c r="F300" s="2" t="s">
        <v>1143</v>
      </c>
      <c r="G300" s="2" t="s">
        <v>58</v>
      </c>
      <c r="H300" s="2" t="s">
        <v>40</v>
      </c>
      <c r="I300" s="1">
        <v>0</v>
      </c>
      <c r="J300" s="3" t="s">
        <v>117</v>
      </c>
      <c r="K300" s="2" t="str">
        <f>J300*408.00</f>
        <v>0</v>
      </c>
      <c r="L300" s="5"/>
    </row>
    <row r="301" spans="1:12" customHeight="1" ht="105" outlineLevel="4">
      <c r="A301" s="1"/>
      <c r="B301" s="1">
        <v>819706</v>
      </c>
      <c r="C301" s="1" t="s">
        <v>1144</v>
      </c>
      <c r="D301" s="1" t="s">
        <v>1145</v>
      </c>
      <c r="E301" s="2" t="s">
        <v>1146</v>
      </c>
      <c r="F301" s="2" t="s">
        <v>1147</v>
      </c>
      <c r="G301" s="2">
        <v>10</v>
      </c>
      <c r="H301" s="2">
        <v>0</v>
      </c>
      <c r="I301" s="1">
        <v>0</v>
      </c>
      <c r="J301" s="3" t="s">
        <v>117</v>
      </c>
      <c r="K301" s="2" t="str">
        <f>J301*478.00</f>
        <v>0</v>
      </c>
      <c r="L301" s="5"/>
    </row>
    <row r="302" spans="1:12" customHeight="1" ht="105" outlineLevel="4">
      <c r="A302" s="1"/>
      <c r="B302" s="1">
        <v>819707</v>
      </c>
      <c r="C302" s="1" t="s">
        <v>1148</v>
      </c>
      <c r="D302" s="1" t="s">
        <v>1149</v>
      </c>
      <c r="E302" s="2" t="s">
        <v>1150</v>
      </c>
      <c r="F302" s="2" t="s">
        <v>920</v>
      </c>
      <c r="G302" s="2" t="s">
        <v>139</v>
      </c>
      <c r="H302" s="2" t="s">
        <v>40</v>
      </c>
      <c r="I302" s="1">
        <v>0</v>
      </c>
      <c r="J302" s="3" t="s">
        <v>117</v>
      </c>
      <c r="K302" s="2" t="str">
        <f>J302*669.00</f>
        <v>0</v>
      </c>
      <c r="L302" s="5"/>
    </row>
    <row r="303" spans="1:12" customHeight="1" ht="105" outlineLevel="4">
      <c r="A303" s="1"/>
      <c r="B303" s="1">
        <v>819708</v>
      </c>
      <c r="C303" s="1" t="s">
        <v>1151</v>
      </c>
      <c r="D303" s="1" t="s">
        <v>1152</v>
      </c>
      <c r="E303" s="2" t="s">
        <v>1153</v>
      </c>
      <c r="F303" s="2" t="s">
        <v>1154</v>
      </c>
      <c r="G303" s="2" t="s">
        <v>90</v>
      </c>
      <c r="H303" s="2" t="s">
        <v>45</v>
      </c>
      <c r="I303" s="1">
        <v>0</v>
      </c>
      <c r="J303" s="3" t="s">
        <v>117</v>
      </c>
      <c r="K303" s="2" t="str">
        <f>J303*1075.00</f>
        <v>0</v>
      </c>
      <c r="L303" s="5"/>
    </row>
    <row r="304" spans="1:12" customHeight="1" ht="105" outlineLevel="4">
      <c r="A304" s="1"/>
      <c r="B304" s="1">
        <v>819709</v>
      </c>
      <c r="C304" s="1" t="s">
        <v>1155</v>
      </c>
      <c r="D304" s="1" t="s">
        <v>1156</v>
      </c>
      <c r="E304" s="2" t="s">
        <v>1157</v>
      </c>
      <c r="F304" s="2" t="s">
        <v>1158</v>
      </c>
      <c r="G304" s="2">
        <v>0</v>
      </c>
      <c r="H304" s="2" t="s">
        <v>58</v>
      </c>
      <c r="I304" s="1">
        <v>0</v>
      </c>
      <c r="J304" s="3" t="s">
        <v>117</v>
      </c>
      <c r="K304" s="2" t="str">
        <f>J304*1931.00</f>
        <v>0</v>
      </c>
      <c r="L304" s="5"/>
    </row>
    <row r="305" spans="1:12" customHeight="1" ht="105" outlineLevel="4">
      <c r="A305" s="1"/>
      <c r="B305" s="1">
        <v>819710</v>
      </c>
      <c r="C305" s="1" t="s">
        <v>1159</v>
      </c>
      <c r="D305" s="1" t="s">
        <v>1160</v>
      </c>
      <c r="E305" s="2" t="s">
        <v>1161</v>
      </c>
      <c r="F305" s="2" t="s">
        <v>1162</v>
      </c>
      <c r="G305" s="2" t="s">
        <v>90</v>
      </c>
      <c r="H305" s="2" t="s">
        <v>40</v>
      </c>
      <c r="I305" s="1">
        <v>0</v>
      </c>
      <c r="J305" s="3" t="s">
        <v>117</v>
      </c>
      <c r="K305" s="2" t="str">
        <f>J305*283.00</f>
        <v>0</v>
      </c>
      <c r="L305" s="5"/>
    </row>
    <row r="306" spans="1:12" customHeight="1" ht="105" outlineLevel="4">
      <c r="A306" s="1"/>
      <c r="B306" s="1">
        <v>819711</v>
      </c>
      <c r="C306" s="1" t="s">
        <v>1163</v>
      </c>
      <c r="D306" s="1" t="s">
        <v>1164</v>
      </c>
      <c r="E306" s="2" t="s">
        <v>1165</v>
      </c>
      <c r="F306" s="2" t="s">
        <v>1166</v>
      </c>
      <c r="G306" s="2">
        <v>9</v>
      </c>
      <c r="H306" s="2" t="s">
        <v>58</v>
      </c>
      <c r="I306" s="1">
        <v>0</v>
      </c>
      <c r="J306" s="3" t="s">
        <v>117</v>
      </c>
      <c r="K306" s="2" t="str">
        <f>J306*440.00</f>
        <v>0</v>
      </c>
      <c r="L306" s="5"/>
    </row>
    <row r="307" spans="1:12" customHeight="1" ht="105" outlineLevel="4">
      <c r="A307" s="1"/>
      <c r="B307" s="1">
        <v>819712</v>
      </c>
      <c r="C307" s="1" t="s">
        <v>1167</v>
      </c>
      <c r="D307" s="1" t="s">
        <v>1168</v>
      </c>
      <c r="E307" s="2" t="s">
        <v>1169</v>
      </c>
      <c r="F307" s="2" t="s">
        <v>1170</v>
      </c>
      <c r="G307" s="2" t="s">
        <v>90</v>
      </c>
      <c r="H307" s="2" t="s">
        <v>17</v>
      </c>
      <c r="I307" s="1">
        <v>0</v>
      </c>
      <c r="J307" s="3" t="s">
        <v>117</v>
      </c>
      <c r="K307" s="2" t="str">
        <f>J307*389.00</f>
        <v>0</v>
      </c>
      <c r="L307" s="5"/>
    </row>
    <row r="308" spans="1:12" customHeight="1" ht="105" outlineLevel="4">
      <c r="A308" s="1"/>
      <c r="B308" s="1">
        <v>819713</v>
      </c>
      <c r="C308" s="1" t="s">
        <v>1171</v>
      </c>
      <c r="D308" s="1" t="s">
        <v>1172</v>
      </c>
      <c r="E308" s="2" t="s">
        <v>1173</v>
      </c>
      <c r="F308" s="2" t="s">
        <v>1174</v>
      </c>
      <c r="G308" s="2" t="s">
        <v>90</v>
      </c>
      <c r="H308" s="2" t="s">
        <v>17</v>
      </c>
      <c r="I308" s="1">
        <v>0</v>
      </c>
      <c r="J308" s="3" t="s">
        <v>117</v>
      </c>
      <c r="K308" s="2" t="str">
        <f>J308*486.00</f>
        <v>0</v>
      </c>
      <c r="L308" s="5"/>
    </row>
    <row r="309" spans="1:12" customHeight="1" ht="105" outlineLevel="4">
      <c r="A309" s="1"/>
      <c r="B309" s="1">
        <v>819714</v>
      </c>
      <c r="C309" s="1" t="s">
        <v>1175</v>
      </c>
      <c r="D309" s="1" t="s">
        <v>1176</v>
      </c>
      <c r="E309" s="2" t="s">
        <v>1177</v>
      </c>
      <c r="F309" s="2" t="s">
        <v>1123</v>
      </c>
      <c r="G309" s="2">
        <v>9</v>
      </c>
      <c r="H309" s="2" t="s">
        <v>17</v>
      </c>
      <c r="I309" s="1">
        <v>0</v>
      </c>
      <c r="J309" s="3" t="s">
        <v>117</v>
      </c>
      <c r="K309" s="2" t="str">
        <f>J309*634.00</f>
        <v>0</v>
      </c>
      <c r="L309" s="5"/>
    </row>
    <row r="310" spans="1:12" customHeight="1" ht="105" outlineLevel="4">
      <c r="A310" s="1"/>
      <c r="B310" s="1">
        <v>819715</v>
      </c>
      <c r="C310" s="1" t="s">
        <v>1178</v>
      </c>
      <c r="D310" s="1" t="s">
        <v>1179</v>
      </c>
      <c r="E310" s="2" t="s">
        <v>1180</v>
      </c>
      <c r="F310" s="2" t="s">
        <v>1181</v>
      </c>
      <c r="G310" s="2">
        <v>5</v>
      </c>
      <c r="H310" s="2" t="s">
        <v>17</v>
      </c>
      <c r="I310" s="1">
        <v>0</v>
      </c>
      <c r="J310" s="3" t="s">
        <v>117</v>
      </c>
      <c r="K310" s="2" t="str">
        <f>J310*761.00</f>
        <v>0</v>
      </c>
      <c r="L310" s="5"/>
    </row>
    <row r="311" spans="1:12" customHeight="1" ht="105" outlineLevel="4">
      <c r="A311" s="1"/>
      <c r="B311" s="1">
        <v>819716</v>
      </c>
      <c r="C311" s="1" t="s">
        <v>1182</v>
      </c>
      <c r="D311" s="1" t="s">
        <v>1183</v>
      </c>
      <c r="E311" s="2" t="s">
        <v>1184</v>
      </c>
      <c r="F311" s="2" t="s">
        <v>1185</v>
      </c>
      <c r="G311" s="2">
        <v>2</v>
      </c>
      <c r="H311" s="2" t="s">
        <v>58</v>
      </c>
      <c r="I311" s="1">
        <v>0</v>
      </c>
      <c r="J311" s="3" t="s">
        <v>117</v>
      </c>
      <c r="K311" s="2" t="str">
        <f>J311*1048.00</f>
        <v>0</v>
      </c>
      <c r="L311" s="5"/>
    </row>
    <row r="312" spans="1:12" customHeight="1" ht="105" outlineLevel="4">
      <c r="A312" s="1"/>
      <c r="B312" s="1">
        <v>819717</v>
      </c>
      <c r="C312" s="1" t="s">
        <v>1186</v>
      </c>
      <c r="D312" s="1" t="s">
        <v>1187</v>
      </c>
      <c r="E312" s="2" t="s">
        <v>1188</v>
      </c>
      <c r="F312" s="2" t="s">
        <v>1189</v>
      </c>
      <c r="G312" s="2" t="s">
        <v>139</v>
      </c>
      <c r="H312" s="2" t="s">
        <v>40</v>
      </c>
      <c r="I312" s="1">
        <v>0</v>
      </c>
      <c r="J312" s="3" t="s">
        <v>117</v>
      </c>
      <c r="K312" s="2" t="str">
        <f>J312*255.00</f>
        <v>0</v>
      </c>
      <c r="L312" s="5"/>
    </row>
    <row r="313" spans="1:12" customHeight="1" ht="105" outlineLevel="4">
      <c r="A313" s="1"/>
      <c r="B313" s="1">
        <v>819718</v>
      </c>
      <c r="C313" s="1" t="s">
        <v>1190</v>
      </c>
      <c r="D313" s="1" t="s">
        <v>1191</v>
      </c>
      <c r="E313" s="2" t="s">
        <v>1192</v>
      </c>
      <c r="F313" s="2" t="s">
        <v>1193</v>
      </c>
      <c r="G313" s="2">
        <v>9</v>
      </c>
      <c r="H313" s="2" t="s">
        <v>17</v>
      </c>
      <c r="I313" s="1">
        <v>0</v>
      </c>
      <c r="J313" s="3" t="s">
        <v>117</v>
      </c>
      <c r="K313" s="2" t="str">
        <f>J313*420.00</f>
        <v>0</v>
      </c>
      <c r="L313" s="5"/>
    </row>
    <row r="314" spans="1:12" customHeight="1" ht="105" outlineLevel="4">
      <c r="A314" s="1"/>
      <c r="B314" s="1">
        <v>819719</v>
      </c>
      <c r="C314" s="1" t="s">
        <v>1194</v>
      </c>
      <c r="D314" s="1" t="s">
        <v>1195</v>
      </c>
      <c r="E314" s="2" t="s">
        <v>1196</v>
      </c>
      <c r="F314" s="2" t="s">
        <v>1197</v>
      </c>
      <c r="G314" s="2" t="s">
        <v>90</v>
      </c>
      <c r="H314" s="2" t="s">
        <v>45</v>
      </c>
      <c r="I314" s="1">
        <v>0</v>
      </c>
      <c r="J314" s="3" t="s">
        <v>117</v>
      </c>
      <c r="K314" s="2" t="str">
        <f>J314*366.00</f>
        <v>0</v>
      </c>
      <c r="L314" s="5"/>
    </row>
    <row r="315" spans="1:12" customHeight="1" ht="105" outlineLevel="4">
      <c r="A315" s="1"/>
      <c r="B315" s="1">
        <v>819720</v>
      </c>
      <c r="C315" s="1" t="s">
        <v>1198</v>
      </c>
      <c r="D315" s="1" t="s">
        <v>1199</v>
      </c>
      <c r="E315" s="2" t="s">
        <v>1200</v>
      </c>
      <c r="F315" s="2" t="s">
        <v>1201</v>
      </c>
      <c r="G315" s="2">
        <v>8</v>
      </c>
      <c r="H315" s="2" t="s">
        <v>17</v>
      </c>
      <c r="I315" s="1">
        <v>0</v>
      </c>
      <c r="J315" s="3" t="s">
        <v>117</v>
      </c>
      <c r="K315" s="2" t="str">
        <f>J315*450.00</f>
        <v>0</v>
      </c>
      <c r="L315" s="5"/>
    </row>
    <row r="316" spans="1:12" customHeight="1" ht="105" outlineLevel="4">
      <c r="A316" s="1"/>
      <c r="B316" s="1">
        <v>819721</v>
      </c>
      <c r="C316" s="1" t="s">
        <v>1202</v>
      </c>
      <c r="D316" s="1" t="s">
        <v>1203</v>
      </c>
      <c r="E316" s="2" t="s">
        <v>1204</v>
      </c>
      <c r="F316" s="2" t="s">
        <v>1205</v>
      </c>
      <c r="G316" s="2">
        <v>6</v>
      </c>
      <c r="H316" s="2" t="s">
        <v>17</v>
      </c>
      <c r="I316" s="1">
        <v>0</v>
      </c>
      <c r="J316" s="3" t="s">
        <v>117</v>
      </c>
      <c r="K316" s="2" t="str">
        <f>J316*577.00</f>
        <v>0</v>
      </c>
      <c r="L316" s="5"/>
    </row>
    <row r="317" spans="1:12" customHeight="1" ht="105" outlineLevel="4">
      <c r="A317" s="1"/>
      <c r="B317" s="1">
        <v>819722</v>
      </c>
      <c r="C317" s="1" t="s">
        <v>1206</v>
      </c>
      <c r="D317" s="1" t="s">
        <v>1207</v>
      </c>
      <c r="E317" s="2" t="s">
        <v>1208</v>
      </c>
      <c r="F317" s="2" t="s">
        <v>1209</v>
      </c>
      <c r="G317" s="2" t="s">
        <v>90</v>
      </c>
      <c r="H317" s="2" t="s">
        <v>139</v>
      </c>
      <c r="I317" s="1">
        <v>0</v>
      </c>
      <c r="J317" s="3" t="s">
        <v>117</v>
      </c>
      <c r="K317" s="2" t="str">
        <f>J317*723.00</f>
        <v>0</v>
      </c>
      <c r="L317" s="5"/>
    </row>
    <row r="318" spans="1:12" customHeight="1" ht="105" outlineLevel="4">
      <c r="A318" s="1"/>
      <c r="B318" s="1">
        <v>819723</v>
      </c>
      <c r="C318" s="1" t="s">
        <v>1210</v>
      </c>
      <c r="D318" s="1" t="s">
        <v>1211</v>
      </c>
      <c r="E318" s="2" t="s">
        <v>1212</v>
      </c>
      <c r="F318" s="2" t="s">
        <v>1213</v>
      </c>
      <c r="G318" s="2">
        <v>6</v>
      </c>
      <c r="H318" s="2" t="s">
        <v>17</v>
      </c>
      <c r="I318" s="1">
        <v>0</v>
      </c>
      <c r="J318" s="3" t="s">
        <v>117</v>
      </c>
      <c r="K318" s="2" t="str">
        <f>J318*1147.00</f>
        <v>0</v>
      </c>
      <c r="L318" s="5"/>
    </row>
    <row r="319" spans="1:12" customHeight="1" ht="105" outlineLevel="4">
      <c r="A319" s="1"/>
      <c r="B319" s="1">
        <v>819724</v>
      </c>
      <c r="C319" s="1" t="s">
        <v>1214</v>
      </c>
      <c r="D319" s="1" t="s">
        <v>1215</v>
      </c>
      <c r="E319" s="2" t="s">
        <v>1216</v>
      </c>
      <c r="F319" s="2" t="s">
        <v>439</v>
      </c>
      <c r="G319" s="2" t="s">
        <v>58</v>
      </c>
      <c r="H319" s="2" t="s">
        <v>41</v>
      </c>
      <c r="I319" s="1">
        <v>0</v>
      </c>
      <c r="J319" s="3" t="s">
        <v>117</v>
      </c>
      <c r="K319" s="2" t="str">
        <f>J319*410.00</f>
        <v>0</v>
      </c>
      <c r="L319" s="5"/>
    </row>
    <row r="320" spans="1:12" customHeight="1" ht="105" outlineLevel="4">
      <c r="A320" s="1"/>
      <c r="B320" s="1">
        <v>819725</v>
      </c>
      <c r="C320" s="1" t="s">
        <v>1217</v>
      </c>
      <c r="D320" s="1" t="s">
        <v>1218</v>
      </c>
      <c r="E320" s="2" t="s">
        <v>1219</v>
      </c>
      <c r="F320" s="2" t="s">
        <v>1220</v>
      </c>
      <c r="G320" s="2">
        <v>5</v>
      </c>
      <c r="H320" s="2" t="s">
        <v>45</v>
      </c>
      <c r="I320" s="1">
        <v>0</v>
      </c>
      <c r="J320" s="3" t="s">
        <v>117</v>
      </c>
      <c r="K320" s="2" t="str">
        <f>J320*580.00</f>
        <v>0</v>
      </c>
      <c r="L320" s="5"/>
    </row>
    <row r="321" spans="1:12" customHeight="1" ht="105" outlineLevel="4">
      <c r="A321" s="1"/>
      <c r="B321" s="1">
        <v>819726</v>
      </c>
      <c r="C321" s="1" t="s">
        <v>1221</v>
      </c>
      <c r="D321" s="1" t="s">
        <v>1222</v>
      </c>
      <c r="E321" s="2" t="s">
        <v>1223</v>
      </c>
      <c r="F321" s="2" t="s">
        <v>1224</v>
      </c>
      <c r="G321" s="2">
        <v>10</v>
      </c>
      <c r="H321" s="2" t="s">
        <v>58</v>
      </c>
      <c r="I321" s="1">
        <v>0</v>
      </c>
      <c r="J321" s="3" t="s">
        <v>117</v>
      </c>
      <c r="K321" s="2" t="str">
        <f>J321*869.00</f>
        <v>0</v>
      </c>
      <c r="L321" s="5"/>
    </row>
    <row r="322" spans="1:12" customHeight="1" ht="105" outlineLevel="4">
      <c r="A322" s="1"/>
      <c r="B322" s="1">
        <v>819727</v>
      </c>
      <c r="C322" s="1" t="s">
        <v>1225</v>
      </c>
      <c r="D322" s="1" t="s">
        <v>1226</v>
      </c>
      <c r="E322" s="2" t="s">
        <v>1227</v>
      </c>
      <c r="F322" s="2" t="s">
        <v>1228</v>
      </c>
      <c r="G322" s="2">
        <v>5</v>
      </c>
      <c r="H322" s="2" t="s">
        <v>139</v>
      </c>
      <c r="I322" s="1">
        <v>0</v>
      </c>
      <c r="J322" s="3" t="s">
        <v>117</v>
      </c>
      <c r="K322" s="2" t="str">
        <f>J322*944.00</f>
        <v>0</v>
      </c>
      <c r="L322" s="5"/>
    </row>
    <row r="323" spans="1:12" customHeight="1" ht="105" outlineLevel="4">
      <c r="A323" s="1"/>
      <c r="B323" s="1">
        <v>819728</v>
      </c>
      <c r="C323" s="1" t="s">
        <v>1229</v>
      </c>
      <c r="D323" s="1" t="s">
        <v>1230</v>
      </c>
      <c r="E323" s="2" t="s">
        <v>1231</v>
      </c>
      <c r="F323" s="2" t="s">
        <v>1232</v>
      </c>
      <c r="G323" s="2">
        <v>9</v>
      </c>
      <c r="H323" s="2" t="s">
        <v>45</v>
      </c>
      <c r="I323" s="1">
        <v>0</v>
      </c>
      <c r="J323" s="3" t="s">
        <v>117</v>
      </c>
      <c r="K323" s="2" t="str">
        <f>J323*521.00</f>
        <v>0</v>
      </c>
      <c r="L323" s="5"/>
    </row>
    <row r="324" spans="1:12" customHeight="1" ht="105" outlineLevel="4">
      <c r="A324" s="1"/>
      <c r="B324" s="1">
        <v>819729</v>
      </c>
      <c r="C324" s="1" t="s">
        <v>1233</v>
      </c>
      <c r="D324" s="1" t="s">
        <v>1234</v>
      </c>
      <c r="E324" s="2" t="s">
        <v>1235</v>
      </c>
      <c r="F324" s="2" t="s">
        <v>1236</v>
      </c>
      <c r="G324" s="2" t="s">
        <v>90</v>
      </c>
      <c r="H324" s="2" t="s">
        <v>17</v>
      </c>
      <c r="I324" s="1">
        <v>0</v>
      </c>
      <c r="J324" s="3" t="s">
        <v>117</v>
      </c>
      <c r="K324" s="2" t="str">
        <f>J324*484.00</f>
        <v>0</v>
      </c>
      <c r="L324" s="5"/>
    </row>
    <row r="325" spans="1:12" customHeight="1" ht="105" outlineLevel="4">
      <c r="A325" s="1"/>
      <c r="B325" s="1">
        <v>819730</v>
      </c>
      <c r="C325" s="1" t="s">
        <v>1237</v>
      </c>
      <c r="D325" s="1" t="s">
        <v>1238</v>
      </c>
      <c r="E325" s="2" t="s">
        <v>1239</v>
      </c>
      <c r="F325" s="2" t="s">
        <v>1240</v>
      </c>
      <c r="G325" s="2" t="s">
        <v>90</v>
      </c>
      <c r="H325" s="2" t="s">
        <v>45</v>
      </c>
      <c r="I325" s="1">
        <v>0</v>
      </c>
      <c r="J325" s="3" t="s">
        <v>117</v>
      </c>
      <c r="K325" s="2" t="str">
        <f>J325*898.00</f>
        <v>0</v>
      </c>
      <c r="L325" s="5"/>
    </row>
    <row r="326" spans="1:12" customHeight="1" ht="105" outlineLevel="4">
      <c r="A326" s="1"/>
      <c r="B326" s="1">
        <v>819731</v>
      </c>
      <c r="C326" s="1" t="s">
        <v>1241</v>
      </c>
      <c r="D326" s="1" t="s">
        <v>1242</v>
      </c>
      <c r="E326" s="2" t="s">
        <v>1243</v>
      </c>
      <c r="F326" s="2" t="s">
        <v>463</v>
      </c>
      <c r="G326" s="2">
        <v>10</v>
      </c>
      <c r="H326" s="2" t="s">
        <v>17</v>
      </c>
      <c r="I326" s="1">
        <v>0</v>
      </c>
      <c r="J326" s="3" t="s">
        <v>117</v>
      </c>
      <c r="K326" s="2" t="str">
        <f>J326*1761.00</f>
        <v>0</v>
      </c>
      <c r="L326" s="5"/>
    </row>
    <row r="327" spans="1:12" customHeight="1" ht="105" outlineLevel="4">
      <c r="A327" s="1"/>
      <c r="B327" s="1">
        <v>819732</v>
      </c>
      <c r="C327" s="1" t="s">
        <v>1244</v>
      </c>
      <c r="D327" s="1" t="s">
        <v>1245</v>
      </c>
      <c r="E327" s="2" t="s">
        <v>1246</v>
      </c>
      <c r="F327" s="2" t="s">
        <v>1247</v>
      </c>
      <c r="G327" s="2">
        <v>7</v>
      </c>
      <c r="H327" s="2" t="s">
        <v>17</v>
      </c>
      <c r="I327" s="1">
        <v>0</v>
      </c>
      <c r="J327" s="3" t="s">
        <v>117</v>
      </c>
      <c r="K327" s="2" t="str">
        <f>J327*874.00</f>
        <v>0</v>
      </c>
      <c r="L327" s="5"/>
    </row>
    <row r="328" spans="1:12" customHeight="1" ht="105" outlineLevel="4">
      <c r="A328" s="1"/>
      <c r="B328" s="1">
        <v>819733</v>
      </c>
      <c r="C328" s="1" t="s">
        <v>1248</v>
      </c>
      <c r="D328" s="1" t="s">
        <v>1249</v>
      </c>
      <c r="E328" s="2" t="s">
        <v>1250</v>
      </c>
      <c r="F328" s="2" t="s">
        <v>1251</v>
      </c>
      <c r="G328" s="2">
        <v>7</v>
      </c>
      <c r="H328" s="2" t="s">
        <v>17</v>
      </c>
      <c r="I328" s="1">
        <v>0</v>
      </c>
      <c r="J328" s="3" t="s">
        <v>117</v>
      </c>
      <c r="K328" s="2" t="str">
        <f>J328*903.00</f>
        <v>0</v>
      </c>
      <c r="L328" s="5"/>
    </row>
    <row r="329" spans="1:12" customHeight="1" ht="105" outlineLevel="4">
      <c r="A329" s="1"/>
      <c r="B329" s="1">
        <v>819734</v>
      </c>
      <c r="C329" s="1" t="s">
        <v>1252</v>
      </c>
      <c r="D329" s="1" t="s">
        <v>1253</v>
      </c>
      <c r="E329" s="2" t="s">
        <v>1254</v>
      </c>
      <c r="F329" s="2" t="s">
        <v>1255</v>
      </c>
      <c r="G329" s="2">
        <v>9</v>
      </c>
      <c r="H329" s="2" t="s">
        <v>17</v>
      </c>
      <c r="I329" s="1">
        <v>0</v>
      </c>
      <c r="J329" s="3" t="s">
        <v>117</v>
      </c>
      <c r="K329" s="2" t="str">
        <f>J329*1036.00</f>
        <v>0</v>
      </c>
      <c r="L329" s="5"/>
    </row>
    <row r="330" spans="1:12" customHeight="1" ht="105" outlineLevel="4">
      <c r="A330" s="1"/>
      <c r="B330" s="1">
        <v>819735</v>
      </c>
      <c r="C330" s="1" t="s">
        <v>1256</v>
      </c>
      <c r="D330" s="1" t="s">
        <v>1257</v>
      </c>
      <c r="E330" s="2" t="s">
        <v>1258</v>
      </c>
      <c r="F330" s="2" t="s">
        <v>1259</v>
      </c>
      <c r="G330" s="2">
        <v>7</v>
      </c>
      <c r="H330" s="2" t="s">
        <v>139</v>
      </c>
      <c r="I330" s="1">
        <v>0</v>
      </c>
      <c r="J330" s="3" t="s">
        <v>117</v>
      </c>
      <c r="K330" s="2" t="str">
        <f>J330*2022.00</f>
        <v>0</v>
      </c>
      <c r="L330" s="5"/>
    </row>
    <row r="331" spans="1:12" customHeight="1" ht="105" outlineLevel="4">
      <c r="A331" s="1"/>
      <c r="B331" s="1">
        <v>819736</v>
      </c>
      <c r="C331" s="1" t="s">
        <v>1260</v>
      </c>
      <c r="D331" s="1" t="s">
        <v>1261</v>
      </c>
      <c r="E331" s="2" t="s">
        <v>1262</v>
      </c>
      <c r="F331" s="2" t="s">
        <v>1263</v>
      </c>
      <c r="G331" s="2">
        <v>7</v>
      </c>
      <c r="H331" s="2" t="s">
        <v>58</v>
      </c>
      <c r="I331" s="1">
        <v>0</v>
      </c>
      <c r="J331" s="3" t="s">
        <v>117</v>
      </c>
      <c r="K331" s="2" t="str">
        <f>J331*1093.00</f>
        <v>0</v>
      </c>
      <c r="L331" s="5"/>
    </row>
    <row r="332" spans="1:12" customHeight="1" ht="105" outlineLevel="4">
      <c r="A332" s="1"/>
      <c r="B332" s="1">
        <v>819737</v>
      </c>
      <c r="C332" s="1" t="s">
        <v>1264</v>
      </c>
      <c r="D332" s="1" t="s">
        <v>1265</v>
      </c>
      <c r="E332" s="2" t="s">
        <v>1266</v>
      </c>
      <c r="F332" s="2" t="s">
        <v>1267</v>
      </c>
      <c r="G332" s="2">
        <v>5</v>
      </c>
      <c r="H332" s="2" t="s">
        <v>58</v>
      </c>
      <c r="I332" s="1">
        <v>0</v>
      </c>
      <c r="J332" s="3" t="s">
        <v>117</v>
      </c>
      <c r="K332" s="2" t="str">
        <f>J332*1035.00</f>
        <v>0</v>
      </c>
      <c r="L332" s="5"/>
    </row>
    <row r="333" spans="1:12" customHeight="1" ht="105" outlineLevel="4">
      <c r="A333" s="1"/>
      <c r="B333" s="1">
        <v>819738</v>
      </c>
      <c r="C333" s="1" t="s">
        <v>1268</v>
      </c>
      <c r="D333" s="1" t="s">
        <v>1269</v>
      </c>
      <c r="E333" s="2" t="s">
        <v>1270</v>
      </c>
      <c r="F333" s="2" t="s">
        <v>1271</v>
      </c>
      <c r="G333" s="2">
        <v>0</v>
      </c>
      <c r="H333" s="2" t="s">
        <v>17</v>
      </c>
      <c r="I333" s="1">
        <v>0</v>
      </c>
      <c r="J333" s="3" t="s">
        <v>117</v>
      </c>
      <c r="K333" s="2" t="str">
        <f>J333*1096.00</f>
        <v>0</v>
      </c>
      <c r="L333" s="5"/>
    </row>
    <row r="334" spans="1:12" customHeight="1" ht="105" outlineLevel="4">
      <c r="A334" s="1"/>
      <c r="B334" s="1">
        <v>819739</v>
      </c>
      <c r="C334" s="1" t="s">
        <v>1272</v>
      </c>
      <c r="D334" s="1" t="s">
        <v>1273</v>
      </c>
      <c r="E334" s="2" t="s">
        <v>1274</v>
      </c>
      <c r="F334" s="2" t="s">
        <v>1275</v>
      </c>
      <c r="G334" s="2">
        <v>0</v>
      </c>
      <c r="H334" s="2" t="s">
        <v>58</v>
      </c>
      <c r="I334" s="1">
        <v>0</v>
      </c>
      <c r="J334" s="3" t="s">
        <v>117</v>
      </c>
      <c r="K334" s="2" t="str">
        <f>J334*1538.00</f>
        <v>0</v>
      </c>
      <c r="L334" s="5"/>
    </row>
    <row r="335" spans="1:12" customHeight="1" ht="105" outlineLevel="4">
      <c r="A335" s="1"/>
      <c r="B335" s="1">
        <v>819740</v>
      </c>
      <c r="C335" s="1" t="s">
        <v>1276</v>
      </c>
      <c r="D335" s="1" t="s">
        <v>1277</v>
      </c>
      <c r="E335" s="2" t="s">
        <v>1278</v>
      </c>
      <c r="F335" s="2" t="s">
        <v>1279</v>
      </c>
      <c r="G335" s="2">
        <v>0</v>
      </c>
      <c r="H335" s="2" t="s">
        <v>17</v>
      </c>
      <c r="I335" s="1">
        <v>0</v>
      </c>
      <c r="J335" s="3" t="s">
        <v>117</v>
      </c>
      <c r="K335" s="2" t="str">
        <f>J335*1186.00</f>
        <v>0</v>
      </c>
      <c r="L335" s="5"/>
    </row>
    <row r="336" spans="1:12" customHeight="1" ht="105" outlineLevel="4">
      <c r="A336" s="1"/>
      <c r="B336" s="1">
        <v>819741</v>
      </c>
      <c r="C336" s="1" t="s">
        <v>1280</v>
      </c>
      <c r="D336" s="1" t="s">
        <v>1281</v>
      </c>
      <c r="E336" s="2" t="s">
        <v>1282</v>
      </c>
      <c r="F336" s="2" t="s">
        <v>1279</v>
      </c>
      <c r="G336" s="2">
        <v>0</v>
      </c>
      <c r="H336" s="2" t="s">
        <v>58</v>
      </c>
      <c r="I336" s="1">
        <v>0</v>
      </c>
      <c r="J336" s="3" t="s">
        <v>117</v>
      </c>
      <c r="K336" s="2" t="str">
        <f>J336*1186.00</f>
        <v>0</v>
      </c>
      <c r="L336" s="5"/>
    </row>
    <row r="337" spans="1:12" customHeight="1" ht="105" outlineLevel="4">
      <c r="A337" s="1"/>
      <c r="B337" s="1">
        <v>819742</v>
      </c>
      <c r="C337" s="1" t="s">
        <v>1283</v>
      </c>
      <c r="D337" s="1" t="s">
        <v>1284</v>
      </c>
      <c r="E337" s="2" t="s">
        <v>1285</v>
      </c>
      <c r="F337" s="2" t="s">
        <v>1286</v>
      </c>
      <c r="G337" s="2">
        <v>0</v>
      </c>
      <c r="H337" s="2" t="s">
        <v>17</v>
      </c>
      <c r="I337" s="1">
        <v>0</v>
      </c>
      <c r="J337" s="3" t="s">
        <v>117</v>
      </c>
      <c r="K337" s="2" t="str">
        <f>J337*1617.00</f>
        <v>0</v>
      </c>
      <c r="L337" s="5"/>
    </row>
    <row r="338" spans="1:12" customHeight="1" ht="105" outlineLevel="4">
      <c r="A338" s="1"/>
      <c r="B338" s="1">
        <v>819743</v>
      </c>
      <c r="C338" s="1" t="s">
        <v>1287</v>
      </c>
      <c r="D338" s="1" t="s">
        <v>1288</v>
      </c>
      <c r="E338" s="2" t="s">
        <v>1289</v>
      </c>
      <c r="F338" s="2" t="s">
        <v>1290</v>
      </c>
      <c r="G338" s="2">
        <v>0</v>
      </c>
      <c r="H338" s="2" t="s">
        <v>58</v>
      </c>
      <c r="I338" s="1">
        <v>0</v>
      </c>
      <c r="J338" s="3" t="s">
        <v>117</v>
      </c>
      <c r="K338" s="2" t="str">
        <f>J338*1676.00</f>
        <v>0</v>
      </c>
      <c r="L338" s="5"/>
    </row>
    <row r="339" spans="1:12" customHeight="1" ht="105" outlineLevel="4">
      <c r="A339" s="1"/>
      <c r="B339" s="1">
        <v>819744</v>
      </c>
      <c r="C339" s="1" t="s">
        <v>1291</v>
      </c>
      <c r="D339" s="1" t="s">
        <v>1292</v>
      </c>
      <c r="E339" s="2" t="s">
        <v>1293</v>
      </c>
      <c r="F339" s="2" t="s">
        <v>1294</v>
      </c>
      <c r="G339" s="2">
        <v>0</v>
      </c>
      <c r="H339" s="2" t="s">
        <v>139</v>
      </c>
      <c r="I339" s="1">
        <v>0</v>
      </c>
      <c r="J339" s="3" t="s">
        <v>117</v>
      </c>
      <c r="K339" s="2" t="str">
        <f>J339*1300.00</f>
        <v>0</v>
      </c>
      <c r="L339" s="5"/>
    </row>
    <row r="340" spans="1:12" customHeight="1" ht="105" outlineLevel="4">
      <c r="A340" s="1"/>
      <c r="B340" s="1">
        <v>819745</v>
      </c>
      <c r="C340" s="1" t="s">
        <v>1295</v>
      </c>
      <c r="D340" s="1" t="s">
        <v>1296</v>
      </c>
      <c r="E340" s="2" t="s">
        <v>1297</v>
      </c>
      <c r="F340" s="2" t="s">
        <v>1298</v>
      </c>
      <c r="G340" s="2">
        <v>0</v>
      </c>
      <c r="H340" s="2" t="s">
        <v>139</v>
      </c>
      <c r="I340" s="1">
        <v>0</v>
      </c>
      <c r="J340" s="3" t="s">
        <v>117</v>
      </c>
      <c r="K340" s="2" t="str">
        <f>J340*1861.00</f>
        <v>0</v>
      </c>
      <c r="L340" s="5"/>
    </row>
    <row r="341" spans="1:12" customHeight="1" ht="105" outlineLevel="4">
      <c r="A341" s="1"/>
      <c r="B341" s="1">
        <v>819746</v>
      </c>
      <c r="C341" s="1" t="s">
        <v>1299</v>
      </c>
      <c r="D341" s="1" t="s">
        <v>1300</v>
      </c>
      <c r="E341" s="2" t="s">
        <v>1301</v>
      </c>
      <c r="F341" s="2" t="s">
        <v>1302</v>
      </c>
      <c r="G341" s="2" t="s">
        <v>17</v>
      </c>
      <c r="H341" s="2" t="s">
        <v>17</v>
      </c>
      <c r="I341" s="1">
        <v>0</v>
      </c>
      <c r="J341" s="3" t="s">
        <v>117</v>
      </c>
      <c r="K341" s="2" t="str">
        <f>J341*50.00</f>
        <v>0</v>
      </c>
      <c r="L341" s="5"/>
    </row>
    <row r="342" spans="1:12" customHeight="1" ht="105" outlineLevel="4">
      <c r="A342" s="1"/>
      <c r="B342" s="1">
        <v>819747</v>
      </c>
      <c r="C342" s="1" t="s">
        <v>1303</v>
      </c>
      <c r="D342" s="1" t="s">
        <v>1304</v>
      </c>
      <c r="E342" s="2" t="s">
        <v>1305</v>
      </c>
      <c r="F342" s="2" t="s">
        <v>1306</v>
      </c>
      <c r="G342" s="2" t="s">
        <v>58</v>
      </c>
      <c r="H342" s="2" t="s">
        <v>17</v>
      </c>
      <c r="I342" s="1">
        <v>0</v>
      </c>
      <c r="J342" s="3" t="s">
        <v>117</v>
      </c>
      <c r="K342" s="2" t="str">
        <f>J342*58.00</f>
        <v>0</v>
      </c>
      <c r="L342" s="5"/>
    </row>
    <row r="343" spans="1:12" customHeight="1" ht="105" outlineLevel="4">
      <c r="A343" s="1"/>
      <c r="B343" s="1">
        <v>819748</v>
      </c>
      <c r="C343" s="1" t="s">
        <v>1307</v>
      </c>
      <c r="D343" s="1" t="s">
        <v>1308</v>
      </c>
      <c r="E343" s="2" t="s">
        <v>1309</v>
      </c>
      <c r="F343" s="2" t="s">
        <v>1310</v>
      </c>
      <c r="G343" s="2" t="s">
        <v>139</v>
      </c>
      <c r="H343" s="2" t="s">
        <v>45</v>
      </c>
      <c r="I343" s="1">
        <v>0</v>
      </c>
      <c r="J343" s="3" t="s">
        <v>117</v>
      </c>
      <c r="K343" s="2" t="str">
        <f>J343*73.00</f>
        <v>0</v>
      </c>
      <c r="L343" s="5"/>
    </row>
    <row r="344" spans="1:12" customHeight="1" ht="105" outlineLevel="4">
      <c r="A344" s="1"/>
      <c r="B344" s="1">
        <v>819749</v>
      </c>
      <c r="C344" s="1" t="s">
        <v>1311</v>
      </c>
      <c r="D344" s="1" t="s">
        <v>1312</v>
      </c>
      <c r="E344" s="2" t="s">
        <v>1313</v>
      </c>
      <c r="F344" s="2" t="s">
        <v>1314</v>
      </c>
      <c r="G344" s="2">
        <v>7</v>
      </c>
      <c r="H344" s="2" t="s">
        <v>17</v>
      </c>
      <c r="I344" s="1">
        <v>0</v>
      </c>
      <c r="J344" s="3" t="s">
        <v>117</v>
      </c>
      <c r="K344" s="2" t="str">
        <f>J344*110.00</f>
        <v>0</v>
      </c>
      <c r="L344" s="5"/>
    </row>
    <row r="345" spans="1:12" customHeight="1" ht="105" outlineLevel="4">
      <c r="A345" s="1"/>
      <c r="B345" s="1">
        <v>834771</v>
      </c>
      <c r="C345" s="1" t="s">
        <v>1315</v>
      </c>
      <c r="D345" s="1" t="s">
        <v>1316</v>
      </c>
      <c r="E345" s="2" t="s">
        <v>1317</v>
      </c>
      <c r="F345" s="2" t="s">
        <v>1318</v>
      </c>
      <c r="G345" s="2">
        <v>4</v>
      </c>
      <c r="H345" s="2" t="s">
        <v>17</v>
      </c>
      <c r="I345" s="1">
        <v>0</v>
      </c>
      <c r="J345" s="3" t="s">
        <v>117</v>
      </c>
      <c r="K345" s="2" t="str">
        <f>J345*356.00</f>
        <v>0</v>
      </c>
      <c r="L345" s="5"/>
    </row>
    <row r="346" spans="1:12" outlineLevel="2">
      <c r="A346" s="8" t="s">
        <v>1319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5"/>
    </row>
    <row r="347" spans="1:12" customHeight="1" ht="105" outlineLevel="4">
      <c r="A347" s="1"/>
      <c r="B347" s="1">
        <v>824719</v>
      </c>
      <c r="C347" s="1" t="s">
        <v>1320</v>
      </c>
      <c r="D347" s="1" t="s">
        <v>1321</v>
      </c>
      <c r="E347" s="2" t="s">
        <v>1322</v>
      </c>
      <c r="F347" s="2" t="s">
        <v>1323</v>
      </c>
      <c r="G347" s="2" t="s">
        <v>58</v>
      </c>
      <c r="H347" s="2">
        <v>0</v>
      </c>
      <c r="I347" s="1">
        <v>0</v>
      </c>
      <c r="J347" s="3" t="s">
        <v>117</v>
      </c>
      <c r="K347" s="2" t="str">
        <f>J347*135.36</f>
        <v>0</v>
      </c>
      <c r="L347" s="5"/>
    </row>
    <row r="348" spans="1:12" customHeight="1" ht="105" outlineLevel="4">
      <c r="A348" s="1"/>
      <c r="B348" s="1">
        <v>824720</v>
      </c>
      <c r="C348" s="1" t="s">
        <v>1324</v>
      </c>
      <c r="D348" s="1" t="s">
        <v>1325</v>
      </c>
      <c r="E348" s="2" t="s">
        <v>1326</v>
      </c>
      <c r="F348" s="2" t="s">
        <v>1327</v>
      </c>
      <c r="G348" s="2">
        <v>0</v>
      </c>
      <c r="H348" s="2">
        <v>0</v>
      </c>
      <c r="I348" s="1">
        <v>0</v>
      </c>
      <c r="J348" s="3" t="s">
        <v>117</v>
      </c>
      <c r="K348" s="2" t="str">
        <f>J348*154.70</f>
        <v>0</v>
      </c>
      <c r="L348" s="5"/>
    </row>
    <row r="349" spans="1:12" customHeight="1" ht="105" outlineLevel="4">
      <c r="A349" s="1"/>
      <c r="B349" s="1">
        <v>824721</v>
      </c>
      <c r="C349" s="1" t="s">
        <v>1328</v>
      </c>
      <c r="D349" s="1" t="s">
        <v>1329</v>
      </c>
      <c r="E349" s="2" t="s">
        <v>1330</v>
      </c>
      <c r="F349" s="2" t="s">
        <v>701</v>
      </c>
      <c r="G349" s="2" t="s">
        <v>58</v>
      </c>
      <c r="H349" s="2">
        <v>0</v>
      </c>
      <c r="I349" s="1">
        <v>0</v>
      </c>
      <c r="J349" s="3" t="s">
        <v>117</v>
      </c>
      <c r="K349" s="2" t="str">
        <f>J349*153.21</f>
        <v>0</v>
      </c>
      <c r="L349" s="5"/>
    </row>
    <row r="350" spans="1:12" customHeight="1" ht="105" outlineLevel="4">
      <c r="A350" s="1"/>
      <c r="B350" s="1">
        <v>824722</v>
      </c>
      <c r="C350" s="1" t="s">
        <v>1331</v>
      </c>
      <c r="D350" s="1" t="s">
        <v>1332</v>
      </c>
      <c r="E350" s="2" t="s">
        <v>1333</v>
      </c>
      <c r="F350" s="2" t="s">
        <v>110</v>
      </c>
      <c r="G350" s="2" t="s">
        <v>139</v>
      </c>
      <c r="H350" s="2">
        <v>0</v>
      </c>
      <c r="I350" s="1">
        <v>0</v>
      </c>
      <c r="J350" s="3" t="s">
        <v>117</v>
      </c>
      <c r="K350" s="2" t="str">
        <f>J350*209.74</f>
        <v>0</v>
      </c>
      <c r="L350" s="5"/>
    </row>
    <row r="351" spans="1:12" customHeight="1" ht="105" outlineLevel="4">
      <c r="A351" s="1"/>
      <c r="B351" s="1">
        <v>824723</v>
      </c>
      <c r="C351" s="1" t="s">
        <v>1334</v>
      </c>
      <c r="D351" s="1" t="s">
        <v>1335</v>
      </c>
      <c r="E351" s="2" t="s">
        <v>1336</v>
      </c>
      <c r="F351" s="2" t="s">
        <v>588</v>
      </c>
      <c r="G351" s="2">
        <v>0</v>
      </c>
      <c r="H351" s="2">
        <v>0</v>
      </c>
      <c r="I351" s="1">
        <v>0</v>
      </c>
      <c r="J351" s="3" t="s">
        <v>117</v>
      </c>
      <c r="K351" s="2" t="str">
        <f>J351*0.00</f>
        <v>0</v>
      </c>
      <c r="L351" s="5"/>
    </row>
    <row r="352" spans="1:12" customHeight="1" ht="105" outlineLevel="4">
      <c r="A352" s="1"/>
      <c r="B352" s="1">
        <v>824724</v>
      </c>
      <c r="C352" s="1" t="s">
        <v>1337</v>
      </c>
      <c r="D352" s="1" t="s">
        <v>1338</v>
      </c>
      <c r="E352" s="2" t="s">
        <v>1339</v>
      </c>
      <c r="F352" s="2" t="s">
        <v>1340</v>
      </c>
      <c r="G352" s="2" t="s">
        <v>139</v>
      </c>
      <c r="H352" s="2">
        <v>0</v>
      </c>
      <c r="I352" s="1">
        <v>0</v>
      </c>
      <c r="J352" s="3" t="s">
        <v>117</v>
      </c>
      <c r="K352" s="2" t="str">
        <f>J352*348.08</f>
        <v>0</v>
      </c>
      <c r="L352" s="5"/>
    </row>
    <row r="353" spans="1:12" customHeight="1" ht="105" outlineLevel="4">
      <c r="A353" s="1"/>
      <c r="B353" s="1">
        <v>824725</v>
      </c>
      <c r="C353" s="1" t="s">
        <v>1341</v>
      </c>
      <c r="D353" s="1" t="s">
        <v>1342</v>
      </c>
      <c r="E353" s="2" t="s">
        <v>1343</v>
      </c>
      <c r="F353" s="2" t="s">
        <v>1344</v>
      </c>
      <c r="G353" s="2" t="s">
        <v>58</v>
      </c>
      <c r="H353" s="2">
        <v>0</v>
      </c>
      <c r="I353" s="1">
        <v>0</v>
      </c>
      <c r="J353" s="3" t="s">
        <v>117</v>
      </c>
      <c r="K353" s="2" t="str">
        <f>J353*139.83</f>
        <v>0</v>
      </c>
      <c r="L353" s="5"/>
    </row>
    <row r="354" spans="1:12" customHeight="1" ht="105" outlineLevel="4">
      <c r="A354" s="1"/>
      <c r="B354" s="1">
        <v>824726</v>
      </c>
      <c r="C354" s="1" t="s">
        <v>1345</v>
      </c>
      <c r="D354" s="1" t="s">
        <v>1346</v>
      </c>
      <c r="E354" s="2" t="s">
        <v>1347</v>
      </c>
      <c r="F354" s="2" t="s">
        <v>1348</v>
      </c>
      <c r="G354" s="2">
        <v>0</v>
      </c>
      <c r="H354" s="2">
        <v>0</v>
      </c>
      <c r="I354" s="1">
        <v>0</v>
      </c>
      <c r="J354" s="3" t="s">
        <v>117</v>
      </c>
      <c r="K354" s="2" t="str">
        <f>J354*162.14</f>
        <v>0</v>
      </c>
      <c r="L354" s="5"/>
    </row>
    <row r="355" spans="1:12" customHeight="1" ht="105" outlineLevel="4">
      <c r="A355" s="1"/>
      <c r="B355" s="1">
        <v>824727</v>
      </c>
      <c r="C355" s="1" t="s">
        <v>1349</v>
      </c>
      <c r="D355" s="1" t="s">
        <v>1350</v>
      </c>
      <c r="E355" s="2" t="s">
        <v>1351</v>
      </c>
      <c r="F355" s="2" t="s">
        <v>1352</v>
      </c>
      <c r="G355" s="2" t="s">
        <v>58</v>
      </c>
      <c r="H355" s="2">
        <v>0</v>
      </c>
      <c r="I355" s="1">
        <v>0</v>
      </c>
      <c r="J355" s="3" t="s">
        <v>117</v>
      </c>
      <c r="K355" s="2" t="str">
        <f>J355*205.28</f>
        <v>0</v>
      </c>
      <c r="L355" s="5"/>
    </row>
    <row r="356" spans="1:12" customHeight="1" ht="105" outlineLevel="4">
      <c r="A356" s="1"/>
      <c r="B356" s="1">
        <v>824728</v>
      </c>
      <c r="C356" s="1" t="s">
        <v>1353</v>
      </c>
      <c r="D356" s="1" t="s">
        <v>1354</v>
      </c>
      <c r="E356" s="2" t="s">
        <v>1355</v>
      </c>
      <c r="F356" s="2" t="s">
        <v>732</v>
      </c>
      <c r="G356" s="2" t="s">
        <v>58</v>
      </c>
      <c r="H356" s="2">
        <v>0</v>
      </c>
      <c r="I356" s="1">
        <v>0</v>
      </c>
      <c r="J356" s="3" t="s">
        <v>117</v>
      </c>
      <c r="K356" s="2" t="str">
        <f>J356*202.30</f>
        <v>0</v>
      </c>
      <c r="L356" s="5"/>
    </row>
    <row r="357" spans="1:12" customHeight="1" ht="105" outlineLevel="4">
      <c r="A357" s="1"/>
      <c r="B357" s="1">
        <v>824729</v>
      </c>
      <c r="C357" s="1" t="s">
        <v>1356</v>
      </c>
      <c r="D357" s="1" t="s">
        <v>1357</v>
      </c>
      <c r="E357" s="2" t="s">
        <v>1358</v>
      </c>
      <c r="F357" s="2" t="s">
        <v>621</v>
      </c>
      <c r="G357" s="2" t="s">
        <v>139</v>
      </c>
      <c r="H357" s="2">
        <v>0</v>
      </c>
      <c r="I357" s="1">
        <v>0</v>
      </c>
      <c r="J357" s="3" t="s">
        <v>117</v>
      </c>
      <c r="K357" s="2" t="str">
        <f>J357*230.56</f>
        <v>0</v>
      </c>
      <c r="L357" s="5"/>
    </row>
    <row r="358" spans="1:12" customHeight="1" ht="105" outlineLevel="4">
      <c r="A358" s="1"/>
      <c r="B358" s="1">
        <v>824730</v>
      </c>
      <c r="C358" s="1" t="s">
        <v>1359</v>
      </c>
      <c r="D358" s="1" t="s">
        <v>1360</v>
      </c>
      <c r="E358" s="2" t="s">
        <v>1361</v>
      </c>
      <c r="F358" s="2" t="s">
        <v>786</v>
      </c>
      <c r="G358" s="2">
        <v>10</v>
      </c>
      <c r="H358" s="2">
        <v>0</v>
      </c>
      <c r="I358" s="1">
        <v>0</v>
      </c>
      <c r="J358" s="3" t="s">
        <v>117</v>
      </c>
      <c r="K358" s="2" t="str">
        <f>J358*336.18</f>
        <v>0</v>
      </c>
      <c r="L358" s="5"/>
    </row>
    <row r="359" spans="1:12" customHeight="1" ht="105" outlineLevel="4">
      <c r="A359" s="1"/>
      <c r="B359" s="1">
        <v>824731</v>
      </c>
      <c r="C359" s="1" t="s">
        <v>1362</v>
      </c>
      <c r="D359" s="1" t="s">
        <v>1363</v>
      </c>
      <c r="E359" s="2" t="s">
        <v>1364</v>
      </c>
      <c r="F359" s="2" t="s">
        <v>1365</v>
      </c>
      <c r="G359" s="2" t="s">
        <v>90</v>
      </c>
      <c r="H359" s="2">
        <v>0</v>
      </c>
      <c r="I359" s="1">
        <v>0</v>
      </c>
      <c r="J359" s="3" t="s">
        <v>117</v>
      </c>
      <c r="K359" s="2" t="str">
        <f>J359*127.93</f>
        <v>0</v>
      </c>
      <c r="L359" s="5"/>
    </row>
    <row r="360" spans="1:12" customHeight="1" ht="105" outlineLevel="4">
      <c r="A360" s="1"/>
      <c r="B360" s="1">
        <v>824732</v>
      </c>
      <c r="C360" s="1" t="s">
        <v>1366</v>
      </c>
      <c r="D360" s="1" t="s">
        <v>1367</v>
      </c>
      <c r="E360" s="2" t="s">
        <v>1368</v>
      </c>
      <c r="F360" s="2" t="s">
        <v>1369</v>
      </c>
      <c r="G360" s="2" t="s">
        <v>139</v>
      </c>
      <c r="H360" s="2">
        <v>0</v>
      </c>
      <c r="I360" s="1">
        <v>0</v>
      </c>
      <c r="J360" s="3" t="s">
        <v>117</v>
      </c>
      <c r="K360" s="2" t="str">
        <f>J360*177.01</f>
        <v>0</v>
      </c>
      <c r="L360" s="5"/>
    </row>
    <row r="361" spans="1:12" customHeight="1" ht="105" outlineLevel="4">
      <c r="A361" s="1"/>
      <c r="B361" s="1">
        <v>824733</v>
      </c>
      <c r="C361" s="1" t="s">
        <v>1370</v>
      </c>
      <c r="D361" s="1" t="s">
        <v>1371</v>
      </c>
      <c r="E361" s="2" t="s">
        <v>1372</v>
      </c>
      <c r="F361" s="2" t="s">
        <v>1373</v>
      </c>
      <c r="G361" s="2" t="s">
        <v>90</v>
      </c>
      <c r="H361" s="2">
        <v>0</v>
      </c>
      <c r="I361" s="1">
        <v>0</v>
      </c>
      <c r="J361" s="3" t="s">
        <v>117</v>
      </c>
      <c r="K361" s="2" t="str">
        <f>J361*279.65</f>
        <v>0</v>
      </c>
      <c r="L361" s="5"/>
    </row>
    <row r="362" spans="1:12" customHeight="1" ht="105" outlineLevel="4">
      <c r="A362" s="1"/>
      <c r="B362" s="1">
        <v>824734</v>
      </c>
      <c r="C362" s="1" t="s">
        <v>1374</v>
      </c>
      <c r="D362" s="1" t="s">
        <v>1375</v>
      </c>
      <c r="E362" s="2" t="s">
        <v>1376</v>
      </c>
      <c r="F362" s="2" t="s">
        <v>1369</v>
      </c>
      <c r="G362" s="2" t="s">
        <v>90</v>
      </c>
      <c r="H362" s="2">
        <v>0</v>
      </c>
      <c r="I362" s="1">
        <v>0</v>
      </c>
      <c r="J362" s="3" t="s">
        <v>117</v>
      </c>
      <c r="K362" s="2" t="str">
        <f>J362*177.01</f>
        <v>0</v>
      </c>
      <c r="L362" s="5"/>
    </row>
    <row r="363" spans="1:12" customHeight="1" ht="105" outlineLevel="4">
      <c r="A363" s="1"/>
      <c r="B363" s="1">
        <v>824735</v>
      </c>
      <c r="C363" s="1" t="s">
        <v>1377</v>
      </c>
      <c r="D363" s="1" t="s">
        <v>1378</v>
      </c>
      <c r="E363" s="2" t="s">
        <v>1379</v>
      </c>
      <c r="F363" s="2" t="s">
        <v>1380</v>
      </c>
      <c r="G363" s="2">
        <v>9</v>
      </c>
      <c r="H363" s="2">
        <v>0</v>
      </c>
      <c r="I363" s="1">
        <v>0</v>
      </c>
      <c r="J363" s="3" t="s">
        <v>117</v>
      </c>
      <c r="K363" s="2" t="str">
        <f>J363*248.41</f>
        <v>0</v>
      </c>
      <c r="L363" s="5"/>
    </row>
    <row r="364" spans="1:12" customHeight="1" ht="105" outlineLevel="4">
      <c r="A364" s="1"/>
      <c r="B364" s="1">
        <v>824736</v>
      </c>
      <c r="C364" s="1" t="s">
        <v>1381</v>
      </c>
      <c r="D364" s="1" t="s">
        <v>1382</v>
      </c>
      <c r="E364" s="2" t="s">
        <v>1383</v>
      </c>
      <c r="F364" s="2" t="s">
        <v>1384</v>
      </c>
      <c r="G364" s="2">
        <v>10</v>
      </c>
      <c r="H364" s="2">
        <v>0</v>
      </c>
      <c r="I364" s="1">
        <v>0</v>
      </c>
      <c r="J364" s="3" t="s">
        <v>117</v>
      </c>
      <c r="K364" s="2" t="str">
        <f>J364*294.53</f>
        <v>0</v>
      </c>
      <c r="L364" s="5"/>
    </row>
    <row r="365" spans="1:12" customHeight="1" ht="105" outlineLevel="4">
      <c r="A365" s="1"/>
      <c r="B365" s="1">
        <v>824737</v>
      </c>
      <c r="C365" s="1" t="s">
        <v>1385</v>
      </c>
      <c r="D365" s="1" t="s">
        <v>1386</v>
      </c>
      <c r="E365" s="2" t="s">
        <v>1387</v>
      </c>
      <c r="F365" s="2" t="s">
        <v>1388</v>
      </c>
      <c r="G365" s="2" t="s">
        <v>90</v>
      </c>
      <c r="H365" s="2">
        <v>0</v>
      </c>
      <c r="I365" s="1">
        <v>0</v>
      </c>
      <c r="J365" s="3" t="s">
        <v>117</v>
      </c>
      <c r="K365" s="2" t="str">
        <f>J365*394.19</f>
        <v>0</v>
      </c>
      <c r="L365" s="5"/>
    </row>
    <row r="366" spans="1:12" customHeight="1" ht="105" outlineLevel="4">
      <c r="A366" s="1"/>
      <c r="B366" s="1">
        <v>824738</v>
      </c>
      <c r="C366" s="1" t="s">
        <v>1389</v>
      </c>
      <c r="D366" s="1" t="s">
        <v>1390</v>
      </c>
      <c r="E366" s="2" t="s">
        <v>1391</v>
      </c>
      <c r="F366" s="2" t="s">
        <v>1392</v>
      </c>
      <c r="G366" s="2" t="s">
        <v>90</v>
      </c>
      <c r="H366" s="2">
        <v>0</v>
      </c>
      <c r="I366" s="1">
        <v>0</v>
      </c>
      <c r="J366" s="3" t="s">
        <v>117</v>
      </c>
      <c r="K366" s="2" t="str">
        <f>J366*431.38</f>
        <v>0</v>
      </c>
      <c r="L366" s="5"/>
    </row>
    <row r="367" spans="1:12" customHeight="1" ht="105" outlineLevel="4">
      <c r="A367" s="1"/>
      <c r="B367" s="1">
        <v>824739</v>
      </c>
      <c r="C367" s="1" t="s">
        <v>1393</v>
      </c>
      <c r="D367" s="1" t="s">
        <v>1394</v>
      </c>
      <c r="E367" s="2" t="s">
        <v>1395</v>
      </c>
      <c r="F367" s="2" t="s">
        <v>1396</v>
      </c>
      <c r="G367" s="2">
        <v>0</v>
      </c>
      <c r="H367" s="2">
        <v>0</v>
      </c>
      <c r="I367" s="1">
        <v>0</v>
      </c>
      <c r="J367" s="3" t="s">
        <v>117</v>
      </c>
      <c r="K367" s="2" t="str">
        <f>J367*160.65</f>
        <v>0</v>
      </c>
      <c r="L367" s="5"/>
    </row>
    <row r="368" spans="1:12" customHeight="1" ht="105" outlineLevel="4">
      <c r="A368" s="1"/>
      <c r="B368" s="1">
        <v>824740</v>
      </c>
      <c r="C368" s="1" t="s">
        <v>1397</v>
      </c>
      <c r="D368" s="1" t="s">
        <v>1398</v>
      </c>
      <c r="E368" s="2" t="s">
        <v>1399</v>
      </c>
      <c r="F368" s="2" t="s">
        <v>1400</v>
      </c>
      <c r="G368" s="2" t="s">
        <v>90</v>
      </c>
      <c r="H368" s="2">
        <v>0</v>
      </c>
      <c r="I368" s="1">
        <v>0</v>
      </c>
      <c r="J368" s="3" t="s">
        <v>117</v>
      </c>
      <c r="K368" s="2" t="str">
        <f>J368*212.71</f>
        <v>0</v>
      </c>
      <c r="L368" s="5"/>
    </row>
    <row r="369" spans="1:12" customHeight="1" ht="105" outlineLevel="4">
      <c r="A369" s="1"/>
      <c r="B369" s="1">
        <v>824741</v>
      </c>
      <c r="C369" s="1" t="s">
        <v>1401</v>
      </c>
      <c r="D369" s="1" t="s">
        <v>1402</v>
      </c>
      <c r="E369" s="2" t="s">
        <v>1403</v>
      </c>
      <c r="F369" s="2" t="s">
        <v>1404</v>
      </c>
      <c r="G369" s="2">
        <v>10</v>
      </c>
      <c r="H369" s="2">
        <v>0</v>
      </c>
      <c r="I369" s="1">
        <v>0</v>
      </c>
      <c r="J369" s="3" t="s">
        <v>117</v>
      </c>
      <c r="K369" s="2" t="str">
        <f>J369*261.80</f>
        <v>0</v>
      </c>
      <c r="L369" s="5"/>
    </row>
    <row r="370" spans="1:12" customHeight="1" ht="105" outlineLevel="4">
      <c r="A370" s="1"/>
      <c r="B370" s="1">
        <v>824742</v>
      </c>
      <c r="C370" s="1" t="s">
        <v>1405</v>
      </c>
      <c r="D370" s="1" t="s">
        <v>1406</v>
      </c>
      <c r="E370" s="2" t="s">
        <v>1407</v>
      </c>
      <c r="F370" s="2" t="s">
        <v>1408</v>
      </c>
      <c r="G370" s="2">
        <v>4</v>
      </c>
      <c r="H370" s="2">
        <v>0</v>
      </c>
      <c r="I370" s="1">
        <v>0</v>
      </c>
      <c r="J370" s="3" t="s">
        <v>117</v>
      </c>
      <c r="K370" s="2" t="str">
        <f>J370*376.34</f>
        <v>0</v>
      </c>
      <c r="L370" s="5"/>
    </row>
    <row r="371" spans="1:12" customHeight="1" ht="105" outlineLevel="4">
      <c r="A371" s="1"/>
      <c r="B371" s="1">
        <v>824743</v>
      </c>
      <c r="C371" s="1" t="s">
        <v>1409</v>
      </c>
      <c r="D371" s="1" t="s">
        <v>1410</v>
      </c>
      <c r="E371" s="2" t="s">
        <v>1411</v>
      </c>
      <c r="F371" s="2" t="s">
        <v>1412</v>
      </c>
      <c r="G371" s="2">
        <v>3</v>
      </c>
      <c r="H371" s="2">
        <v>0</v>
      </c>
      <c r="I371" s="1">
        <v>0</v>
      </c>
      <c r="J371" s="3" t="s">
        <v>117</v>
      </c>
      <c r="K371" s="2" t="str">
        <f>J371*444.76</f>
        <v>0</v>
      </c>
      <c r="L371" s="5"/>
    </row>
    <row r="372" spans="1:12" customHeight="1" ht="105" outlineLevel="4">
      <c r="A372" s="1"/>
      <c r="B372" s="1">
        <v>824744</v>
      </c>
      <c r="C372" s="1" t="s">
        <v>1413</v>
      </c>
      <c r="D372" s="1" t="s">
        <v>1414</v>
      </c>
      <c r="E372" s="2" t="s">
        <v>1415</v>
      </c>
      <c r="F372" s="2" t="s">
        <v>528</v>
      </c>
      <c r="G372" s="2" t="s">
        <v>58</v>
      </c>
      <c r="H372" s="2">
        <v>0</v>
      </c>
      <c r="I372" s="1">
        <v>0</v>
      </c>
      <c r="J372" s="3" t="s">
        <v>117</v>
      </c>
      <c r="K372" s="2" t="str">
        <f>J372*171.06</f>
        <v>0</v>
      </c>
      <c r="L372" s="5"/>
    </row>
    <row r="373" spans="1:12" customHeight="1" ht="105" outlineLevel="4">
      <c r="A373" s="1"/>
      <c r="B373" s="1">
        <v>824745</v>
      </c>
      <c r="C373" s="1" t="s">
        <v>1416</v>
      </c>
      <c r="D373" s="1" t="s">
        <v>1417</v>
      </c>
      <c r="E373" s="2" t="s">
        <v>1418</v>
      </c>
      <c r="F373" s="2" t="s">
        <v>1404</v>
      </c>
      <c r="G373" s="2">
        <v>0</v>
      </c>
      <c r="H373" s="2">
        <v>0</v>
      </c>
      <c r="I373" s="1">
        <v>0</v>
      </c>
      <c r="J373" s="3" t="s">
        <v>117</v>
      </c>
      <c r="K373" s="2" t="str">
        <f>J373*261.80</f>
        <v>0</v>
      </c>
      <c r="L373" s="5"/>
    </row>
    <row r="374" spans="1:12" customHeight="1" ht="105" outlineLevel="4">
      <c r="A374" s="1"/>
      <c r="B374" s="1">
        <v>824746</v>
      </c>
      <c r="C374" s="1" t="s">
        <v>1419</v>
      </c>
      <c r="D374" s="1" t="s">
        <v>1420</v>
      </c>
      <c r="E374" s="2" t="s">
        <v>1421</v>
      </c>
      <c r="F374" s="2" t="s">
        <v>1422</v>
      </c>
      <c r="G374" s="2" t="s">
        <v>58</v>
      </c>
      <c r="H374" s="2">
        <v>0</v>
      </c>
      <c r="I374" s="1">
        <v>0</v>
      </c>
      <c r="J374" s="3" t="s">
        <v>117</v>
      </c>
      <c r="K374" s="2" t="str">
        <f>J374*370.39</f>
        <v>0</v>
      </c>
      <c r="L374" s="5"/>
    </row>
    <row r="375" spans="1:12" customHeight="1" ht="105" outlineLevel="4">
      <c r="A375" s="1"/>
      <c r="B375" s="1">
        <v>824747</v>
      </c>
      <c r="C375" s="1" t="s">
        <v>1423</v>
      </c>
      <c r="D375" s="1" t="s">
        <v>1424</v>
      </c>
      <c r="E375" s="2" t="s">
        <v>1425</v>
      </c>
      <c r="F375" s="2" t="s">
        <v>1380</v>
      </c>
      <c r="G375" s="2" t="s">
        <v>139</v>
      </c>
      <c r="H375" s="2">
        <v>0</v>
      </c>
      <c r="I375" s="1">
        <v>0</v>
      </c>
      <c r="J375" s="3" t="s">
        <v>117</v>
      </c>
      <c r="K375" s="2" t="str">
        <f>J375*248.41</f>
        <v>0</v>
      </c>
      <c r="L375" s="5"/>
    </row>
    <row r="376" spans="1:12" customHeight="1" ht="105" outlineLevel="4">
      <c r="A376" s="1"/>
      <c r="B376" s="1">
        <v>824748</v>
      </c>
      <c r="C376" s="1" t="s">
        <v>1426</v>
      </c>
      <c r="D376" s="1" t="s">
        <v>1427</v>
      </c>
      <c r="E376" s="2" t="s">
        <v>1428</v>
      </c>
      <c r="F376" s="2" t="s">
        <v>1429</v>
      </c>
      <c r="G376" s="2">
        <v>0</v>
      </c>
      <c r="H376" s="2">
        <v>0</v>
      </c>
      <c r="I376" s="1">
        <v>0</v>
      </c>
      <c r="J376" s="3" t="s">
        <v>117</v>
      </c>
      <c r="K376" s="2" t="str">
        <f>J376*364.44</f>
        <v>0</v>
      </c>
      <c r="L376" s="5"/>
    </row>
    <row r="377" spans="1:12" customHeight="1" ht="105" outlineLevel="4">
      <c r="A377" s="1"/>
      <c r="B377" s="1">
        <v>824749</v>
      </c>
      <c r="C377" s="1" t="s">
        <v>1430</v>
      </c>
      <c r="D377" s="1" t="s">
        <v>1431</v>
      </c>
      <c r="E377" s="2" t="s">
        <v>1432</v>
      </c>
      <c r="F377" s="2" t="s">
        <v>1404</v>
      </c>
      <c r="G377" s="2" t="s">
        <v>90</v>
      </c>
      <c r="H377" s="2">
        <v>0</v>
      </c>
      <c r="I377" s="1">
        <v>0</v>
      </c>
      <c r="J377" s="3" t="s">
        <v>117</v>
      </c>
      <c r="K377" s="2" t="str">
        <f>J377*261.80</f>
        <v>0</v>
      </c>
      <c r="L377" s="5"/>
    </row>
    <row r="378" spans="1:12" customHeight="1" ht="105" outlineLevel="4">
      <c r="A378" s="1"/>
      <c r="B378" s="1">
        <v>824750</v>
      </c>
      <c r="C378" s="1" t="s">
        <v>1433</v>
      </c>
      <c r="D378" s="1" t="s">
        <v>1434</v>
      </c>
      <c r="E378" s="2" t="s">
        <v>1435</v>
      </c>
      <c r="F378" s="2" t="s">
        <v>1436</v>
      </c>
      <c r="G378" s="2">
        <v>9</v>
      </c>
      <c r="H378" s="2">
        <v>0</v>
      </c>
      <c r="I378" s="1">
        <v>0</v>
      </c>
      <c r="J378" s="3" t="s">
        <v>117</v>
      </c>
      <c r="K378" s="2" t="str">
        <f>J378*355.51</f>
        <v>0</v>
      </c>
      <c r="L378" s="5"/>
    </row>
    <row r="379" spans="1:12" customHeight="1" ht="105" outlineLevel="4">
      <c r="A379" s="1"/>
      <c r="B379" s="1">
        <v>824751</v>
      </c>
      <c r="C379" s="1" t="s">
        <v>1437</v>
      </c>
      <c r="D379" s="1" t="s">
        <v>1438</v>
      </c>
      <c r="E379" s="2" t="s">
        <v>1439</v>
      </c>
      <c r="F379" s="2" t="s">
        <v>1440</v>
      </c>
      <c r="G379" s="2">
        <v>10</v>
      </c>
      <c r="H379" s="2">
        <v>0</v>
      </c>
      <c r="I379" s="1">
        <v>0</v>
      </c>
      <c r="J379" s="3" t="s">
        <v>117</v>
      </c>
      <c r="K379" s="2" t="str">
        <f>J379*419.48</f>
        <v>0</v>
      </c>
      <c r="L379" s="5"/>
    </row>
    <row r="380" spans="1:12" customHeight="1" ht="105" outlineLevel="4">
      <c r="A380" s="1"/>
      <c r="B380" s="1">
        <v>824752</v>
      </c>
      <c r="C380" s="1" t="s">
        <v>1441</v>
      </c>
      <c r="D380" s="1" t="s">
        <v>1442</v>
      </c>
      <c r="E380" s="2" t="s">
        <v>1443</v>
      </c>
      <c r="F380" s="2" t="s">
        <v>1444</v>
      </c>
      <c r="G380" s="2">
        <v>8</v>
      </c>
      <c r="H380" s="2">
        <v>0</v>
      </c>
      <c r="I380" s="1">
        <v>0</v>
      </c>
      <c r="J380" s="3" t="s">
        <v>117</v>
      </c>
      <c r="K380" s="2" t="str">
        <f>J380*574.18</f>
        <v>0</v>
      </c>
      <c r="L380" s="5"/>
    </row>
    <row r="381" spans="1:12" customHeight="1" ht="105" outlineLevel="4">
      <c r="A381" s="1"/>
      <c r="B381" s="1">
        <v>824753</v>
      </c>
      <c r="C381" s="1" t="s">
        <v>1445</v>
      </c>
      <c r="D381" s="1" t="s">
        <v>1446</v>
      </c>
      <c r="E381" s="2" t="s">
        <v>1447</v>
      </c>
      <c r="F381" s="2" t="s">
        <v>1448</v>
      </c>
      <c r="G381" s="2">
        <v>7</v>
      </c>
      <c r="H381" s="2">
        <v>0</v>
      </c>
      <c r="I381" s="1">
        <v>0</v>
      </c>
      <c r="J381" s="3" t="s">
        <v>117</v>
      </c>
      <c r="K381" s="2" t="str">
        <f>J381*647.06</f>
        <v>0</v>
      </c>
      <c r="L381" s="5"/>
    </row>
    <row r="382" spans="1:12" customHeight="1" ht="105" outlineLevel="4">
      <c r="A382" s="1"/>
      <c r="B382" s="1">
        <v>824754</v>
      </c>
      <c r="C382" s="1" t="s">
        <v>1449</v>
      </c>
      <c r="D382" s="1" t="s">
        <v>1450</v>
      </c>
      <c r="E382" s="2" t="s">
        <v>1451</v>
      </c>
      <c r="F382" s="2" t="s">
        <v>1380</v>
      </c>
      <c r="G382" s="2" t="s">
        <v>139</v>
      </c>
      <c r="H382" s="2">
        <v>0</v>
      </c>
      <c r="I382" s="1">
        <v>0</v>
      </c>
      <c r="J382" s="3" t="s">
        <v>117</v>
      </c>
      <c r="K382" s="2" t="str">
        <f>J382*248.41</f>
        <v>0</v>
      </c>
      <c r="L382" s="5"/>
    </row>
    <row r="383" spans="1:12" customHeight="1" ht="105" outlineLevel="4">
      <c r="A383" s="1"/>
      <c r="B383" s="1">
        <v>824755</v>
      </c>
      <c r="C383" s="1" t="s">
        <v>1452</v>
      </c>
      <c r="D383" s="1" t="s">
        <v>1453</v>
      </c>
      <c r="E383" s="2" t="s">
        <v>1454</v>
      </c>
      <c r="F383" s="2" t="s">
        <v>786</v>
      </c>
      <c r="G383" s="2">
        <v>10</v>
      </c>
      <c r="H383" s="2">
        <v>0</v>
      </c>
      <c r="I383" s="1">
        <v>0</v>
      </c>
      <c r="J383" s="3" t="s">
        <v>117</v>
      </c>
      <c r="K383" s="2" t="str">
        <f>J383*336.18</f>
        <v>0</v>
      </c>
      <c r="L383" s="5"/>
    </row>
    <row r="384" spans="1:12" customHeight="1" ht="105" outlineLevel="4">
      <c r="A384" s="1"/>
      <c r="B384" s="1">
        <v>824756</v>
      </c>
      <c r="C384" s="1" t="s">
        <v>1455</v>
      </c>
      <c r="D384" s="1" t="s">
        <v>1456</v>
      </c>
      <c r="E384" s="2" t="s">
        <v>1457</v>
      </c>
      <c r="F384" s="2" t="s">
        <v>1458</v>
      </c>
      <c r="G384" s="2" t="s">
        <v>90</v>
      </c>
      <c r="H384" s="2">
        <v>0</v>
      </c>
      <c r="I384" s="1">
        <v>0</v>
      </c>
      <c r="J384" s="3" t="s">
        <v>117</v>
      </c>
      <c r="K384" s="2" t="str">
        <f>J384*382.29</f>
        <v>0</v>
      </c>
      <c r="L384" s="5"/>
    </row>
    <row r="385" spans="1:12" customHeight="1" ht="105" outlineLevel="4">
      <c r="A385" s="1"/>
      <c r="B385" s="1">
        <v>824757</v>
      </c>
      <c r="C385" s="1" t="s">
        <v>1459</v>
      </c>
      <c r="D385" s="1" t="s">
        <v>1460</v>
      </c>
      <c r="E385" s="2" t="s">
        <v>1461</v>
      </c>
      <c r="F385" s="2" t="s">
        <v>588</v>
      </c>
      <c r="G385" s="2">
        <v>0</v>
      </c>
      <c r="H385" s="2">
        <v>0</v>
      </c>
      <c r="I385" s="1">
        <v>0</v>
      </c>
      <c r="J385" s="3" t="s">
        <v>117</v>
      </c>
      <c r="K385" s="2" t="str">
        <f>J385*0.00</f>
        <v>0</v>
      </c>
      <c r="L385" s="5"/>
    </row>
    <row r="386" spans="1:12" customHeight="1" ht="105" outlineLevel="4">
      <c r="A386" s="1"/>
      <c r="B386" s="1">
        <v>824758</v>
      </c>
      <c r="C386" s="1" t="s">
        <v>1462</v>
      </c>
      <c r="D386" s="1" t="s">
        <v>1463</v>
      </c>
      <c r="E386" s="2" t="s">
        <v>1464</v>
      </c>
      <c r="F386" s="2" t="s">
        <v>588</v>
      </c>
      <c r="G386" s="2">
        <v>0</v>
      </c>
      <c r="H386" s="2">
        <v>0</v>
      </c>
      <c r="I386" s="1">
        <v>0</v>
      </c>
      <c r="J386" s="3" t="s">
        <v>117</v>
      </c>
      <c r="K386" s="2" t="str">
        <f>J386*0.00</f>
        <v>0</v>
      </c>
      <c r="L386" s="5"/>
    </row>
    <row r="387" spans="1:12" customHeight="1" ht="105" outlineLevel="4">
      <c r="A387" s="1"/>
      <c r="B387" s="1">
        <v>824759</v>
      </c>
      <c r="C387" s="1" t="s">
        <v>1465</v>
      </c>
      <c r="D387" s="1" t="s">
        <v>1466</v>
      </c>
      <c r="E387" s="2" t="s">
        <v>1467</v>
      </c>
      <c r="F387" s="2" t="s">
        <v>1380</v>
      </c>
      <c r="G387" s="2">
        <v>0</v>
      </c>
      <c r="H387" s="2">
        <v>0</v>
      </c>
      <c r="I387" s="1">
        <v>0</v>
      </c>
      <c r="J387" s="3" t="s">
        <v>117</v>
      </c>
      <c r="K387" s="2" t="str">
        <f>J387*248.41</f>
        <v>0</v>
      </c>
      <c r="L387" s="5"/>
    </row>
    <row r="388" spans="1:12" customHeight="1" ht="105" outlineLevel="4">
      <c r="A388" s="1"/>
      <c r="B388" s="1">
        <v>824760</v>
      </c>
      <c r="C388" s="1" t="s">
        <v>1468</v>
      </c>
      <c r="D388" s="1" t="s">
        <v>1469</v>
      </c>
      <c r="E388" s="2" t="s">
        <v>1470</v>
      </c>
      <c r="F388" s="2" t="s">
        <v>1471</v>
      </c>
      <c r="G388" s="2" t="s">
        <v>90</v>
      </c>
      <c r="H388" s="2">
        <v>0</v>
      </c>
      <c r="I388" s="1">
        <v>0</v>
      </c>
      <c r="J388" s="3" t="s">
        <v>117</v>
      </c>
      <c r="K388" s="2" t="str">
        <f>J388*346.59</f>
        <v>0</v>
      </c>
      <c r="L388" s="5"/>
    </row>
    <row r="389" spans="1:12" customHeight="1" ht="105" outlineLevel="4">
      <c r="A389" s="1"/>
      <c r="B389" s="1">
        <v>824761</v>
      </c>
      <c r="C389" s="1" t="s">
        <v>1472</v>
      </c>
      <c r="D389" s="1" t="s">
        <v>1473</v>
      </c>
      <c r="E389" s="2" t="s">
        <v>1474</v>
      </c>
      <c r="F389" s="2" t="s">
        <v>1475</v>
      </c>
      <c r="G389" s="2">
        <v>10</v>
      </c>
      <c r="H389" s="2">
        <v>0</v>
      </c>
      <c r="I389" s="1">
        <v>0</v>
      </c>
      <c r="J389" s="3" t="s">
        <v>117</v>
      </c>
      <c r="K389" s="2" t="str">
        <f>J389*614.34</f>
        <v>0</v>
      </c>
      <c r="L389" s="5"/>
    </row>
    <row r="390" spans="1:12" customHeight="1" ht="105" outlineLevel="4">
      <c r="A390" s="1"/>
      <c r="B390" s="1">
        <v>824762</v>
      </c>
      <c r="C390" s="1" t="s">
        <v>1476</v>
      </c>
      <c r="D390" s="1" t="s">
        <v>1477</v>
      </c>
      <c r="E390" s="2" t="s">
        <v>1478</v>
      </c>
      <c r="F390" s="2" t="s">
        <v>1479</v>
      </c>
      <c r="G390" s="2" t="s">
        <v>90</v>
      </c>
      <c r="H390" s="2">
        <v>0</v>
      </c>
      <c r="I390" s="1">
        <v>0</v>
      </c>
      <c r="J390" s="3" t="s">
        <v>117</v>
      </c>
      <c r="K390" s="2" t="str">
        <f>J390*310.89</f>
        <v>0</v>
      </c>
      <c r="L390" s="5"/>
    </row>
    <row r="391" spans="1:12" customHeight="1" ht="105" outlineLevel="4">
      <c r="A391" s="1"/>
      <c r="B391" s="1">
        <v>824763</v>
      </c>
      <c r="C391" s="1" t="s">
        <v>1480</v>
      </c>
      <c r="D391" s="1" t="s">
        <v>1481</v>
      </c>
      <c r="E391" s="2" t="s">
        <v>1482</v>
      </c>
      <c r="F391" s="2" t="s">
        <v>629</v>
      </c>
      <c r="G391" s="2" t="s">
        <v>90</v>
      </c>
      <c r="H391" s="2">
        <v>0</v>
      </c>
      <c r="I391" s="1">
        <v>0</v>
      </c>
      <c r="J391" s="3" t="s">
        <v>117</v>
      </c>
      <c r="K391" s="2" t="str">
        <f>J391*324.28</f>
        <v>0</v>
      </c>
      <c r="L391" s="5"/>
    </row>
    <row r="392" spans="1:12" customHeight="1" ht="105" outlineLevel="4">
      <c r="A392" s="1"/>
      <c r="B392" s="1">
        <v>824764</v>
      </c>
      <c r="C392" s="1" t="s">
        <v>1483</v>
      </c>
      <c r="D392" s="1" t="s">
        <v>1484</v>
      </c>
      <c r="E392" s="2" t="s">
        <v>1485</v>
      </c>
      <c r="F392" s="2" t="s">
        <v>1486</v>
      </c>
      <c r="G392" s="2" t="s">
        <v>17</v>
      </c>
      <c r="H392" s="2">
        <v>0</v>
      </c>
      <c r="I392" s="1">
        <v>0</v>
      </c>
      <c r="J392" s="3" t="s">
        <v>117</v>
      </c>
      <c r="K392" s="2" t="str">
        <f>J392*181.48</f>
        <v>0</v>
      </c>
      <c r="L392" s="5"/>
    </row>
    <row r="393" spans="1:12" customHeight="1" ht="105" outlineLevel="4">
      <c r="A393" s="1"/>
      <c r="B393" s="1">
        <v>824765</v>
      </c>
      <c r="C393" s="1" t="s">
        <v>1487</v>
      </c>
      <c r="D393" s="1" t="s">
        <v>1488</v>
      </c>
      <c r="E393" s="2" t="s">
        <v>1489</v>
      </c>
      <c r="F393" s="2" t="s">
        <v>1490</v>
      </c>
      <c r="G393" s="2" t="s">
        <v>139</v>
      </c>
      <c r="H393" s="2">
        <v>0</v>
      </c>
      <c r="I393" s="1">
        <v>0</v>
      </c>
      <c r="J393" s="3" t="s">
        <v>117</v>
      </c>
      <c r="K393" s="2" t="str">
        <f>J393*245.44</f>
        <v>0</v>
      </c>
      <c r="L393" s="5"/>
    </row>
    <row r="394" spans="1:12" customHeight="1" ht="105" outlineLevel="4">
      <c r="A394" s="1"/>
      <c r="B394" s="1">
        <v>824766</v>
      </c>
      <c r="C394" s="1" t="s">
        <v>1491</v>
      </c>
      <c r="D394" s="1" t="s">
        <v>1492</v>
      </c>
      <c r="E394" s="2" t="s">
        <v>1493</v>
      </c>
      <c r="F394" s="2" t="s">
        <v>701</v>
      </c>
      <c r="G394" s="2" t="s">
        <v>17</v>
      </c>
      <c r="H394" s="2">
        <v>0</v>
      </c>
      <c r="I394" s="1">
        <v>0</v>
      </c>
      <c r="J394" s="3" t="s">
        <v>117</v>
      </c>
      <c r="K394" s="2" t="str">
        <f>J394*153.21</f>
        <v>0</v>
      </c>
      <c r="L394" s="5"/>
    </row>
    <row r="395" spans="1:12" customHeight="1" ht="105" outlineLevel="4">
      <c r="A395" s="1"/>
      <c r="B395" s="1">
        <v>826657</v>
      </c>
      <c r="C395" s="1" t="s">
        <v>1494</v>
      </c>
      <c r="D395" s="1" t="s">
        <v>1495</v>
      </c>
      <c r="E395" s="2" t="s">
        <v>1496</v>
      </c>
      <c r="F395" s="2" t="s">
        <v>1497</v>
      </c>
      <c r="G395" s="2">
        <v>0</v>
      </c>
      <c r="H395" s="2">
        <v>0</v>
      </c>
      <c r="I395" s="1">
        <v>0</v>
      </c>
      <c r="J395" s="3" t="s">
        <v>117</v>
      </c>
      <c r="K395" s="2" t="str">
        <f>J395*340.64</f>
        <v>0</v>
      </c>
      <c r="L395" s="5"/>
    </row>
    <row r="396" spans="1:12" customHeight="1" ht="105" outlineLevel="4">
      <c r="A396" s="1"/>
      <c r="B396" s="1">
        <v>826658</v>
      </c>
      <c r="C396" s="1" t="s">
        <v>1498</v>
      </c>
      <c r="D396" s="1" t="s">
        <v>1499</v>
      </c>
      <c r="E396" s="2" t="s">
        <v>1500</v>
      </c>
      <c r="F396" s="2" t="s">
        <v>1501</v>
      </c>
      <c r="G396" s="2">
        <v>0</v>
      </c>
      <c r="H396" s="2">
        <v>0</v>
      </c>
      <c r="I396" s="1">
        <v>0</v>
      </c>
      <c r="J396" s="3" t="s">
        <v>117</v>
      </c>
      <c r="K396" s="2" t="str">
        <f>J396*391.21</f>
        <v>0</v>
      </c>
      <c r="L396" s="5"/>
    </row>
    <row r="397" spans="1:12" customHeight="1" ht="105" outlineLevel="4">
      <c r="A397" s="1"/>
      <c r="B397" s="1">
        <v>826659</v>
      </c>
      <c r="C397" s="1" t="s">
        <v>1502</v>
      </c>
      <c r="D397" s="1" t="s">
        <v>1503</v>
      </c>
      <c r="E397" s="2" t="s">
        <v>1504</v>
      </c>
      <c r="F397" s="2" t="s">
        <v>1505</v>
      </c>
      <c r="G397" s="2" t="s">
        <v>90</v>
      </c>
      <c r="H397" s="2">
        <v>0</v>
      </c>
      <c r="I397" s="1">
        <v>0</v>
      </c>
      <c r="J397" s="3" t="s">
        <v>117</v>
      </c>
      <c r="K397" s="2" t="str">
        <f>J397*246.93</f>
        <v>0</v>
      </c>
      <c r="L397" s="5"/>
    </row>
    <row r="398" spans="1:12" customHeight="1" ht="105" outlineLevel="4">
      <c r="A398" s="1"/>
      <c r="B398" s="1">
        <v>826660</v>
      </c>
      <c r="C398" s="1" t="s">
        <v>1506</v>
      </c>
      <c r="D398" s="1" t="s">
        <v>1507</v>
      </c>
      <c r="E398" s="2" t="s">
        <v>1508</v>
      </c>
      <c r="F398" s="2" t="s">
        <v>1509</v>
      </c>
      <c r="G398" s="2">
        <v>0</v>
      </c>
      <c r="H398" s="2">
        <v>0</v>
      </c>
      <c r="I398" s="1">
        <v>0</v>
      </c>
      <c r="J398" s="3" t="s">
        <v>117</v>
      </c>
      <c r="K398" s="2" t="str">
        <f>J398*293.04</f>
        <v>0</v>
      </c>
      <c r="L398" s="5"/>
    </row>
    <row r="399" spans="1:12" customHeight="1" ht="105" outlineLevel="4">
      <c r="A399" s="1"/>
      <c r="B399" s="1">
        <v>826661</v>
      </c>
      <c r="C399" s="1" t="s">
        <v>1510</v>
      </c>
      <c r="D399" s="1" t="s">
        <v>1511</v>
      </c>
      <c r="E399" s="2" t="s">
        <v>1512</v>
      </c>
      <c r="F399" s="2" t="s">
        <v>588</v>
      </c>
      <c r="G399" s="2">
        <v>0</v>
      </c>
      <c r="H399" s="2">
        <v>0</v>
      </c>
      <c r="I399" s="1">
        <v>0</v>
      </c>
      <c r="J399" s="3" t="s">
        <v>117</v>
      </c>
      <c r="K399" s="2" t="str">
        <f>J399*0.00</f>
        <v>0</v>
      </c>
      <c r="L399" s="5"/>
    </row>
    <row r="400" spans="1:12" customHeight="1" ht="105" outlineLevel="4">
      <c r="A400" s="1"/>
      <c r="B400" s="1">
        <v>826662</v>
      </c>
      <c r="C400" s="1" t="s">
        <v>1513</v>
      </c>
      <c r="D400" s="1" t="s">
        <v>1514</v>
      </c>
      <c r="E400" s="2" t="s">
        <v>1515</v>
      </c>
      <c r="F400" s="2" t="s">
        <v>588</v>
      </c>
      <c r="G400" s="2">
        <v>0</v>
      </c>
      <c r="H400" s="2">
        <v>0</v>
      </c>
      <c r="I400" s="1">
        <v>0</v>
      </c>
      <c r="J400" s="3" t="s">
        <v>117</v>
      </c>
      <c r="K400" s="2" t="str">
        <f>J400*0.00</f>
        <v>0</v>
      </c>
      <c r="L400" s="5"/>
    </row>
    <row r="401" spans="1:12" customHeight="1" ht="105" outlineLevel="4">
      <c r="A401" s="1"/>
      <c r="B401" s="1">
        <v>826663</v>
      </c>
      <c r="C401" s="1" t="s">
        <v>1516</v>
      </c>
      <c r="D401" s="1" t="s">
        <v>1517</v>
      </c>
      <c r="E401" s="2" t="s">
        <v>1518</v>
      </c>
      <c r="F401" s="2" t="s">
        <v>588</v>
      </c>
      <c r="G401" s="2">
        <v>0</v>
      </c>
      <c r="H401" s="2">
        <v>0</v>
      </c>
      <c r="I401" s="1">
        <v>0</v>
      </c>
      <c r="J401" s="3" t="s">
        <v>117</v>
      </c>
      <c r="K401" s="2" t="str">
        <f>J401*0.00</f>
        <v>0</v>
      </c>
      <c r="L401" s="5"/>
    </row>
    <row r="402" spans="1:12" customHeight="1" ht="105" outlineLevel="4">
      <c r="A402" s="1"/>
      <c r="B402" s="1">
        <v>826664</v>
      </c>
      <c r="C402" s="1" t="s">
        <v>1519</v>
      </c>
      <c r="D402" s="1" t="s">
        <v>1520</v>
      </c>
      <c r="E402" s="2" t="s">
        <v>1521</v>
      </c>
      <c r="F402" s="2" t="s">
        <v>588</v>
      </c>
      <c r="G402" s="2">
        <v>0</v>
      </c>
      <c r="H402" s="2">
        <v>0</v>
      </c>
      <c r="I402" s="1">
        <v>0</v>
      </c>
      <c r="J402" s="3" t="s">
        <v>117</v>
      </c>
      <c r="K402" s="2" t="str">
        <f>J402*0.00</f>
        <v>0</v>
      </c>
      <c r="L402" s="5"/>
    </row>
    <row r="403" spans="1:12" customHeight="1" ht="105" outlineLevel="4">
      <c r="A403" s="1"/>
      <c r="B403" s="1">
        <v>826665</v>
      </c>
      <c r="C403" s="1" t="s">
        <v>1522</v>
      </c>
      <c r="D403" s="1" t="s">
        <v>1523</v>
      </c>
      <c r="E403" s="2" t="s">
        <v>1524</v>
      </c>
      <c r="F403" s="2" t="s">
        <v>588</v>
      </c>
      <c r="G403" s="2">
        <v>0</v>
      </c>
      <c r="H403" s="2">
        <v>0</v>
      </c>
      <c r="I403" s="1">
        <v>0</v>
      </c>
      <c r="J403" s="3" t="s">
        <v>117</v>
      </c>
      <c r="K403" s="2" t="str">
        <f>J403*0.00</f>
        <v>0</v>
      </c>
      <c r="L403" s="5"/>
    </row>
    <row r="404" spans="1:12" customHeight="1" ht="105" outlineLevel="4">
      <c r="A404" s="1"/>
      <c r="B404" s="1">
        <v>826666</v>
      </c>
      <c r="C404" s="1" t="s">
        <v>1525</v>
      </c>
      <c r="D404" s="1" t="s">
        <v>1526</v>
      </c>
      <c r="E404" s="2" t="s">
        <v>1527</v>
      </c>
      <c r="F404" s="2" t="s">
        <v>1528</v>
      </c>
      <c r="G404" s="2">
        <v>3</v>
      </c>
      <c r="H404" s="2">
        <v>0</v>
      </c>
      <c r="I404" s="1">
        <v>0</v>
      </c>
      <c r="J404" s="3" t="s">
        <v>117</v>
      </c>
      <c r="K404" s="2" t="str">
        <f>J404*595.00</f>
        <v>0</v>
      </c>
      <c r="L404" s="5"/>
    </row>
    <row r="405" spans="1:12" customHeight="1" ht="105" outlineLevel="4">
      <c r="A405" s="1"/>
      <c r="B405" s="1">
        <v>826667</v>
      </c>
      <c r="C405" s="1" t="s">
        <v>1529</v>
      </c>
      <c r="D405" s="1" t="s">
        <v>1530</v>
      </c>
      <c r="E405" s="2" t="s">
        <v>1531</v>
      </c>
      <c r="F405" s="2" t="s">
        <v>588</v>
      </c>
      <c r="G405" s="2">
        <v>0</v>
      </c>
      <c r="H405" s="2">
        <v>0</v>
      </c>
      <c r="I405" s="1">
        <v>0</v>
      </c>
      <c r="J405" s="3" t="s">
        <v>117</v>
      </c>
      <c r="K405" s="2" t="str">
        <f>J405*0.00</f>
        <v>0</v>
      </c>
      <c r="L405" s="5"/>
    </row>
    <row r="406" spans="1:12" customHeight="1" ht="105" outlineLevel="4">
      <c r="A406" s="1"/>
      <c r="B406" s="1">
        <v>833001</v>
      </c>
      <c r="C406" s="1" t="s">
        <v>1532</v>
      </c>
      <c r="D406" s="1" t="s">
        <v>1533</v>
      </c>
      <c r="E406" s="2" t="s">
        <v>1534</v>
      </c>
      <c r="F406" s="2" t="s">
        <v>1535</v>
      </c>
      <c r="G406" s="2" t="s">
        <v>58</v>
      </c>
      <c r="H406" s="2">
        <v>0</v>
      </c>
      <c r="I406" s="1">
        <v>0</v>
      </c>
      <c r="J406" s="3" t="s">
        <v>117</v>
      </c>
      <c r="K406" s="2" t="str">
        <f>J406*214.20</f>
        <v>0</v>
      </c>
      <c r="L40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210:K210"/>
    <mergeCell ref="A4:K4"/>
    <mergeCell ref="A10:K10"/>
    <mergeCell ref="A27:K27"/>
    <mergeCell ref="A33:K33"/>
    <mergeCell ref="A133:K133"/>
    <mergeCell ref="A211:K211"/>
    <mergeCell ref="A346:K3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2025-10-29T11:26:36+03:00</dcterms:created>
  <dcterms:modified xsi:type="dcterms:W3CDTF">2025-10-29T11:26:36+03:00</dcterms:modified>
  <dc:title>Untitled Spreadsheet</dc:title>
  <dc:description/>
  <dc:subject/>
  <cp:keywords/>
  <cp:category/>
</cp:coreProperties>
</file>