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<sst xmlns="http://schemas.openxmlformats.org/spreadsheetml/2006/main" uniqueCount="804">
  <si>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</si>
  <si>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</si>
  <si>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</si>
  <si>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</si>
  <si>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</si>
  <si>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</si>
  <si>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</si>
  <si>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</si>
  <si>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</si>
  <si>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</si>
  <si>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</si>
  <si>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Автоматика и комплектующие</t>
  </si>
  <si>
    <t>Насосная автоматика Italtecnica</t>
  </si>
  <si>
    <t>NAS-410009</t>
  </si>
  <si>
    <t>Реле давления PM5G14 1-5 бар, 1/4" нак. гайка, 250В  Italtecnica</t>
  </si>
  <si>
    <t>1 037.00 руб.</t>
  </si>
  <si>
    <t>шт</t>
  </si>
  <si>
    <t>NAS-410010</t>
  </si>
  <si>
    <t>Реле давления PM53W со встр. маном 1-5 бар, 1" нар-вн-вн, 250В  Italtecnica</t>
  </si>
  <si>
    <t>1 588.31 руб.</t>
  </si>
  <si>
    <t>NAS-430001</t>
  </si>
  <si>
    <t>LP3F14 датчик сухого хода 0,05-0,4 бар, 1/4" гайка, 230В ITALTECNICA</t>
  </si>
  <si>
    <t>1 519.80 руб.</t>
  </si>
  <si>
    <t>NAS-430002</t>
  </si>
  <si>
    <t>LP3G14 датчик сухого хода 0,05-0,4 бар, 1/4" накид. гайка, 230В ITALTECNICA</t>
  </si>
  <si>
    <t>1 553.29 руб.</t>
  </si>
  <si>
    <t>NAS-430003</t>
  </si>
  <si>
    <t>LP3G14H5PR датчик сухого хода 0,05-0,4 бар, 1/4" гайка, кабель 230В ITALTECNICA</t>
  </si>
  <si>
    <t>1 906.72 руб.</t>
  </si>
  <si>
    <t>NAS-430004</t>
  </si>
  <si>
    <t>PM12G14 реле давления 3-12 бар, 1/4" гайка, 250В ITALTECNICA</t>
  </si>
  <si>
    <t>1 118.94 руб.</t>
  </si>
  <si>
    <t>NAS-430005</t>
  </si>
  <si>
    <t>PM5F14 реле давления 1-5 бар, 1/4" гайка, 250В ITALTECNICA</t>
  </si>
  <si>
    <t>0.00 руб.</t>
  </si>
  <si>
    <t>NAS-430006</t>
  </si>
  <si>
    <t>PM5G14R25 реле давления 1-5 бар, 1/4" накид. гайка, 250В, усил. контакты до 20А ITALTECNICA</t>
  </si>
  <si>
    <t>1 260.04 руб.</t>
  </si>
  <si>
    <t>NAS-430007</t>
  </si>
  <si>
    <t>PM5G14SG реле давления 1-5 бар, 1/4" накид. гайка, 250В, прозр. корпус со шкалой ITALTECNICA</t>
  </si>
  <si>
    <t>1 181.50 руб.</t>
  </si>
  <si>
    <t>NAS-430008</t>
  </si>
  <si>
    <t>PM5ML14 реле давления 1-5 бар, 1/4" штуцер, 250В ITALTECNICA</t>
  </si>
  <si>
    <t>1 081.71 руб.</t>
  </si>
  <si>
    <t>NAS-430009</t>
  </si>
  <si>
    <t>PT12G14 реле давления 3-12 бар, 1/4" гайка, 380В ITALTECNICA</t>
  </si>
  <si>
    <t>1 017.28 руб.</t>
  </si>
  <si>
    <t>NAS-430010</t>
  </si>
  <si>
    <t>PT5G14 реле давления 1-5 бар, 1/4" накид. гайка, 380В ITALTECNICA</t>
  </si>
  <si>
    <t>1 417.46 руб.</t>
  </si>
  <si>
    <t>NAS-430011</t>
  </si>
  <si>
    <t>BRIO TANK реле давления 1" нар, 12А, 230В с резервуаром для воды ITALTECNICA</t>
  </si>
  <si>
    <t>6 650.74 руб.</t>
  </si>
  <si>
    <t>NAS-430012</t>
  </si>
  <si>
    <t>BRIO-M реле давления 1" нар, 12А, 230В ITALTECNICA</t>
  </si>
  <si>
    <t>4 651.18 руб.</t>
  </si>
  <si>
    <t>NAS-430013</t>
  </si>
  <si>
    <t>SPIN реле расхода 1" нар, 230В ITALTECNICA</t>
  </si>
  <si>
    <t>4 137.12 руб.</t>
  </si>
  <si>
    <t>NAS-430014</t>
  </si>
  <si>
    <t>TECNOIT05S поплавковый выключатель с кабелем 0,5 м ITALTECNICA</t>
  </si>
  <si>
    <t>1 229.27 руб.</t>
  </si>
  <si>
    <t>NAS-430015</t>
  </si>
  <si>
    <t>TECNOIT10 поплавковый выключатель с кабелем 10 м с противовесом ITALTECNICA</t>
  </si>
  <si>
    <t>3 690.36 руб.</t>
  </si>
  <si>
    <t>NAS-430016</t>
  </si>
  <si>
    <t>TECNOIT3 поплавковый выключатель с кабелем 3 м с противовесом ITALTECNICA</t>
  </si>
  <si>
    <t>2 077.91 руб.</t>
  </si>
  <si>
    <t>Насосная автоматика VALTEC</t>
  </si>
  <si>
    <t>VLC-922001</t>
  </si>
  <si>
    <t>VT.EPC2.06.0</t>
  </si>
  <si>
    <t>Блок насосной автоматики EPC-2</t>
  </si>
  <si>
    <t>2 828.00 руб.</t>
  </si>
  <si>
    <t>&gt;25</t>
  </si>
  <si>
    <t>VLC-922002</t>
  </si>
  <si>
    <t>VT.CRS5.02.1</t>
  </si>
  <si>
    <t>Реле давления CRS-5, 1/4" нак.гайка, преднастройка 2,1-3,5 бар</t>
  </si>
  <si>
    <t>654.00 руб.</t>
  </si>
  <si>
    <t>&gt;500</t>
  </si>
  <si>
    <t>VLC-922003</t>
  </si>
  <si>
    <t>VT.CRS6.02.1</t>
  </si>
  <si>
    <t>Реле защиты насоса от «сухого хода» CRS-6, 1/4" нак.гайка</t>
  </si>
  <si>
    <t>697.00 руб.</t>
  </si>
  <si>
    <t>&gt;10</t>
  </si>
  <si>
    <t>&gt;100</t>
  </si>
  <si>
    <t>VLC-922004</t>
  </si>
  <si>
    <t>VT.EPC.11.06</t>
  </si>
  <si>
    <t>Блок насосной автоматики EPC-11 (пресс контроль)</t>
  </si>
  <si>
    <t>2 555.00 руб.</t>
  </si>
  <si>
    <t>&gt;50</t>
  </si>
  <si>
    <t>Насосная автоматика VIEIR</t>
  </si>
  <si>
    <t>NAS-410001</t>
  </si>
  <si>
    <t>VER7A/1B</t>
  </si>
  <si>
    <t>Реле давления VR-7 A  1-12 бар, нак. гайка 1/4 вн.р,  бок подвод проводов (1/50шт)</t>
  </si>
  <si>
    <t>348.08 руб.</t>
  </si>
  <si>
    <t>NAS-410002</t>
  </si>
  <si>
    <t>VER2.2/1C</t>
  </si>
  <si>
    <t>Блок автоматики VR-2,2 (1/12шт)</t>
  </si>
  <si>
    <t>2 115.23 руб.</t>
  </si>
  <si>
    <t>NAS-410003</t>
  </si>
  <si>
    <t>VER2.3/1C</t>
  </si>
  <si>
    <t>Контроллер насоса  VR-2,3 (1/30шт)</t>
  </si>
  <si>
    <t>1 835.58 руб.</t>
  </si>
  <si>
    <t>NAS-410004</t>
  </si>
  <si>
    <t>VER2.7</t>
  </si>
  <si>
    <t>Поплавковый выключатель, кабель 3м, 5 бар  VR-2,7 (1/20шт)</t>
  </si>
  <si>
    <t>684.25 руб.</t>
  </si>
  <si>
    <t>NAS-410005</t>
  </si>
  <si>
    <t>VR8A/1B</t>
  </si>
  <si>
    <t>Реле "сухого хода" VR-8 A (1/50шт)</t>
  </si>
  <si>
    <t>446.25 руб.</t>
  </si>
  <si>
    <t>NAS-410006</t>
  </si>
  <si>
    <t>VR9C/1B</t>
  </si>
  <si>
    <t>Реле давления VER9C 1-12 бар, нак гайка 1/4 вн.р., нижний подвод проводов (1/50шт)</t>
  </si>
  <si>
    <t>412.04 руб.</t>
  </si>
  <si>
    <t>NAS-410007</t>
  </si>
  <si>
    <t>VER9.1/1B</t>
  </si>
  <si>
    <t>Реле давления 1-5,3 бар с манометром VR-9.1 присоединие 1" (1/40шт)</t>
  </si>
  <si>
    <t>776.48 руб.</t>
  </si>
  <si>
    <t>NAS-410008</t>
  </si>
  <si>
    <t>VER2.1/1C</t>
  </si>
  <si>
    <t>Блок насосной автоматики VR-2.1 (1/15шт)</t>
  </si>
  <si>
    <t>2 067.63 руб.</t>
  </si>
  <si>
    <t>NAS-410011</t>
  </si>
  <si>
    <t>VER2.1A/1C</t>
  </si>
  <si>
    <t>Блок насосной автоматики с подключ проводами VR-2.1A (1/12шт)</t>
  </si>
  <si>
    <t>2 278.85 руб.</t>
  </si>
  <si>
    <t>NAS-410012</t>
  </si>
  <si>
    <t>VR9A/1B</t>
  </si>
  <si>
    <t>Реле давления VR-9A 1-12 бар,  1/4 нар.р., нижний подвод проводов (1/50шт)</t>
  </si>
  <si>
    <t>413.53 руб.</t>
  </si>
  <si>
    <t>Насосная автоматика ZEGOR</t>
  </si>
  <si>
    <t>ZGR-001094</t>
  </si>
  <si>
    <t>ZS-01</t>
  </si>
  <si>
    <t>Блок Автоматики Zegor ZS-01 (1/12шт)</t>
  </si>
  <si>
    <t>3 534.62 руб.</t>
  </si>
  <si>
    <t>ZGR-001095</t>
  </si>
  <si>
    <t>ZS-01А</t>
  </si>
  <si>
    <t>Блок Автоматики Zegor ZS-01A (1/12шт)</t>
  </si>
  <si>
    <t>3 953.94 руб.</t>
  </si>
  <si>
    <t>ZGR-001096</t>
  </si>
  <si>
    <t>ZS-01B</t>
  </si>
  <si>
    <t>Блок Автоматики Zegor ZS-01B (1/12шт)</t>
  </si>
  <si>
    <t>2 848.56 руб.</t>
  </si>
  <si>
    <t>ZGR-001097</t>
  </si>
  <si>
    <t>ZS-02</t>
  </si>
  <si>
    <t>-Блок Автоматики с манометром  Zegor ZS-02 (1/20шт)</t>
  </si>
  <si>
    <t>2 817.00 руб.</t>
  </si>
  <si>
    <t>ZGR-001098</t>
  </si>
  <si>
    <t>ZS-03</t>
  </si>
  <si>
    <t>-Блок Автоматики с маноматром Zegor ZS-03 (1/15шт)</t>
  </si>
  <si>
    <t>3 164.40 руб.</t>
  </si>
  <si>
    <t>ZGR-001099</t>
  </si>
  <si>
    <t>ZS-05B</t>
  </si>
  <si>
    <t>Блок Автоматики с манометром Zegor ZS-05B (1/12шт)</t>
  </si>
  <si>
    <t>3 303.41 руб.</t>
  </si>
  <si>
    <t>ZGR-001100</t>
  </si>
  <si>
    <t>SK-5</t>
  </si>
  <si>
    <t>Реле давления 2,1-3,5 бар Zegor SK-5 1/4 вн.р. (1/50шт)</t>
  </si>
  <si>
    <t>525.66 руб.</t>
  </si>
  <si>
    <t>ZGR-001101</t>
  </si>
  <si>
    <t>SK-5B</t>
  </si>
  <si>
    <t>Реле давления 1,4-2,8 бар Zegor SK-5В 1/4 нак. гайка (1/50шт)</t>
  </si>
  <si>
    <t>505.44 руб.</t>
  </si>
  <si>
    <t>ZGR-001102</t>
  </si>
  <si>
    <t>SK-5C</t>
  </si>
  <si>
    <t>Реле давления 1,4-2,8 бар Zegor SK-5C 1/4 нар.р (1/50шт)</t>
  </si>
  <si>
    <t>471.74 руб.</t>
  </si>
  <si>
    <t>ZGR-001103</t>
  </si>
  <si>
    <t>SK-9</t>
  </si>
  <si>
    <t>(ВЫВЕДЕН) Реле давления 2,1-3,5 бар Zegor SK-9 1/4 вн.р. (1/50шт)</t>
  </si>
  <si>
    <t>663.12 руб.</t>
  </si>
  <si>
    <t>ZGR-001104</t>
  </si>
  <si>
    <t>SK-9B</t>
  </si>
  <si>
    <t>Реле давления 1,4-2,8 бар Zegor SK-9В 1/4 нак. гайка (1/50шт)</t>
  </si>
  <si>
    <t>595.45 руб.</t>
  </si>
  <si>
    <t>ZGR-001105</t>
  </si>
  <si>
    <t>SK-9C</t>
  </si>
  <si>
    <t>Реле давления 1,4-2,8 бар Zegor SK-9C 1/4 нар.р (1/50шт)</t>
  </si>
  <si>
    <t>670.41 руб.</t>
  </si>
  <si>
    <t>ZGR-001208</t>
  </si>
  <si>
    <t>ZP-SDC25</t>
  </si>
  <si>
    <t>Гайка 25мм для подключения циркуляционного насоса (2/100шт)</t>
  </si>
  <si>
    <t>114.25 руб.</t>
  </si>
  <si>
    <t>ZGR-001209</t>
  </si>
  <si>
    <t>ZP-DB01</t>
  </si>
  <si>
    <t>Плата уплавления для блока автоматики ZS-01/ZS-01B (1/100шт)</t>
  </si>
  <si>
    <t>994.36 руб.</t>
  </si>
  <si>
    <t>ZGR-001210</t>
  </si>
  <si>
    <t>ZP-DB01A</t>
  </si>
  <si>
    <t>Плата управления для блока автоматики ZS-01A (1/100шт)</t>
  </si>
  <si>
    <t>ZGR-001211</t>
  </si>
  <si>
    <t>ZP-DB02</t>
  </si>
  <si>
    <t>Плата управления для блока автоматики ZS-02 (1/100шт)</t>
  </si>
  <si>
    <t>ZGR-001212</t>
  </si>
  <si>
    <t>ZP-DB03</t>
  </si>
  <si>
    <t>Плата управления для блока автоматики ZS-03 (1/100шт)</t>
  </si>
  <si>
    <t>Дренажные насосы</t>
  </si>
  <si>
    <t>Дренажные насосы ZEGOR</t>
  </si>
  <si>
    <t>ZGR-001048</t>
  </si>
  <si>
    <t>WQV250F</t>
  </si>
  <si>
    <t>Погружной дренажный насос (мощность 250Вт; напор 7,5м; расход 5м3/час) кабель 5м (1/1шт)</t>
  </si>
  <si>
    <t>9 665.93 руб.</t>
  </si>
  <si>
    <t>ZGR-001049</t>
  </si>
  <si>
    <t>WQV450F</t>
  </si>
  <si>
    <t>Погружной дренажный насос (мощность 450Вт; напор 12,5м; расход 19,5м3/час) кабель 5м (1шт)</t>
  </si>
  <si>
    <t>12 713.13 руб.</t>
  </si>
  <si>
    <t>ZGR-001050</t>
  </si>
  <si>
    <t>WQV750F</t>
  </si>
  <si>
    <t>Погружной дренажный насос (мощность 750Вт; напор 14м; расход 20,5м3/час) кабель 5м (1шт)</t>
  </si>
  <si>
    <t>13 658.55 руб.</t>
  </si>
  <si>
    <t>ZGR-001051</t>
  </si>
  <si>
    <t>WQV1100DF</t>
  </si>
  <si>
    <t>Погружной дренажно-фекальный насос с реж. ножом (мощность 1100Вт; напор 8,5м; расход 18м3/час) кабел</t>
  </si>
  <si>
    <t>15 276.13 руб.</t>
  </si>
  <si>
    <t>ZGR-001052</t>
  </si>
  <si>
    <t>WQV1500DF</t>
  </si>
  <si>
    <t>Погружной дренажно-фекальный насос с реж. ножом (мощность 1500Вт; напор 15м; расход 25м3/час) кабель</t>
  </si>
  <si>
    <t>18 801.39 руб.</t>
  </si>
  <si>
    <t>ZGR-001053</t>
  </si>
  <si>
    <t>AQD1100F</t>
  </si>
  <si>
    <t>Погружной дренажный насос (мощность 1100Вт; напор 13м; расход 21м3/час) кабель 8м (1/1шт)</t>
  </si>
  <si>
    <t>9 839.12 руб.</t>
  </si>
  <si>
    <t>ZGR-001054</t>
  </si>
  <si>
    <t>ZTP250C</t>
  </si>
  <si>
    <t>Погружной дренажный насос для чистой воды (мощность 250Вт; напор 6м; расход 5,5м3/час)  (1/4шт)</t>
  </si>
  <si>
    <t>4 061.23 руб.</t>
  </si>
  <si>
    <t>ZGR-001055</t>
  </si>
  <si>
    <t>ZTP400C</t>
  </si>
  <si>
    <t>Погружной дренажный насос для чистой воды (мощность 400Вт; напор 7,5м; расход 7,3м3/час)  (1/4шт)</t>
  </si>
  <si>
    <t>4 295.42 руб.</t>
  </si>
  <si>
    <t>ZGR-001056</t>
  </si>
  <si>
    <t>ZTP550C</t>
  </si>
  <si>
    <t>- Погружной дренажный насос для чистой воды (мощность 550Вт; напор 8,5м; расход 10,5м3/час)  (1/4шт)</t>
  </si>
  <si>
    <t>4 774.85 руб.</t>
  </si>
  <si>
    <t>ZGR-001057</t>
  </si>
  <si>
    <t>ZTP400D</t>
  </si>
  <si>
    <t>Погружной дренажный насос для грязной воды (мощность 400Вт; напор 5м; расход 7,5м3/час)  (1/4шт)</t>
  </si>
  <si>
    <t>4 298.61 руб.</t>
  </si>
  <si>
    <t>ZGR-001058</t>
  </si>
  <si>
    <t>ZTP550D</t>
  </si>
  <si>
    <t>- Погружной дренажный насос для грязной воды (мощность 550Вт; напор 7м; расход 11,5м3/час)  (1/4шт)</t>
  </si>
  <si>
    <t>4 686.71 руб.</t>
  </si>
  <si>
    <t>ZGR-001059</t>
  </si>
  <si>
    <t>ZTP750D</t>
  </si>
  <si>
    <t>- Погружной дренажный насос для грязной воды (мощность 750Вт; напор 8м; расход 12,6м3/час)  (1/4шт)</t>
  </si>
  <si>
    <t>5 182.98 руб.</t>
  </si>
  <si>
    <t>ZGR-001122</t>
  </si>
  <si>
    <t>AQD750F</t>
  </si>
  <si>
    <t>Погружной дренажно-фекальный насос (мощность 750Вт; напор 11,88м; расход 16м3/час) кабель 8м (1/1шт)</t>
  </si>
  <si>
    <t>9 987.86 руб.</t>
  </si>
  <si>
    <t>ZGR-001139</t>
  </si>
  <si>
    <t>AQD1100DF</t>
  </si>
  <si>
    <t>Погружной дренажно-фекальный насос с режущим ножом (мощность 1100Вт; напор 13м; расход 21 м3/час) ка</t>
  </si>
  <si>
    <t>11 417.98 руб.</t>
  </si>
  <si>
    <t>ZGR-001141</t>
  </si>
  <si>
    <t>AS-120S</t>
  </si>
  <si>
    <t>Поверхностный центробежный насос (мощность 1100Вт; напор 42м; расход 3,0 м3/час)</t>
  </si>
  <si>
    <t>8 061.77 руб.</t>
  </si>
  <si>
    <t>ZGR-001228</t>
  </si>
  <si>
    <t>WAV1100DF</t>
  </si>
  <si>
    <t>Погружной дренажный насос (мощность 1100Вт; напор 9м; расход 21м3/час) кабель 5м (1/1шт)</t>
  </si>
  <si>
    <t>11 935.66 руб.</t>
  </si>
  <si>
    <t>Насосные станции</t>
  </si>
  <si>
    <t>Насосные станции ZEGOR</t>
  </si>
  <si>
    <t>ZGR-001063</t>
  </si>
  <si>
    <t>AUQB60</t>
  </si>
  <si>
    <t>Насосная станция с баком 20л (мощность 370Вт; напор 32м; расход 1,8м3/час; глуб всасыв до 8м) (1шт)</t>
  </si>
  <si>
    <t>10 336.44 руб.</t>
  </si>
  <si>
    <t>ZGR-001065</t>
  </si>
  <si>
    <t>AUJS-120S-W</t>
  </si>
  <si>
    <t>-Насосная станция нерж. сталь с баком 24л (мощность 1100Вт; напор 47м; расход 3м3/час) (1шт)</t>
  </si>
  <si>
    <t>14 220.00 руб.</t>
  </si>
  <si>
    <t>ZGR-001068</t>
  </si>
  <si>
    <t>AUJET-100L</t>
  </si>
  <si>
    <t>Насосная станция чугун с баком 24л (мощность 750Вт; напор 48м; расход 3м3/час) (1шт)</t>
  </si>
  <si>
    <t>15 589.74 руб.</t>
  </si>
  <si>
    <t>ZGR-001069</t>
  </si>
  <si>
    <t>AUJET-120L</t>
  </si>
  <si>
    <t>Насосная станция чугун с баком 24л (мощность 1100Вт; напор 53м; расход 3,3м3/час) (1шт)</t>
  </si>
  <si>
    <t>14 943.66 руб.</t>
  </si>
  <si>
    <t>ZGR-001070</t>
  </si>
  <si>
    <t>AUJET-100S</t>
  </si>
  <si>
    <t>Насосная станция чугун с баком 24л (мощность 750Вт; напор 40м; расход 3м3/час) (1шт)</t>
  </si>
  <si>
    <t>10 627.44 руб.</t>
  </si>
  <si>
    <t>ZGR-001071</t>
  </si>
  <si>
    <t>AUJET-120S</t>
  </si>
  <si>
    <t>Насосная станция чугун с баком 24л (мощность 1100Вт; напор 47м; расход 3м3/час) (1шт)</t>
  </si>
  <si>
    <t>15 444.00 руб.</t>
  </si>
  <si>
    <t>ZGR-001123</t>
  </si>
  <si>
    <t>AUAB60</t>
  </si>
  <si>
    <t>Насосная станция чугун, с баком 20л (мощность 370Вт; напор 35м; расход 2,1 м3/час, до 8м) (1шт)</t>
  </si>
  <si>
    <t>10 273.70 руб.</t>
  </si>
  <si>
    <t>ZGR-001125</t>
  </si>
  <si>
    <t>AU ZTP800</t>
  </si>
  <si>
    <t>Насосная станция пластик, с баком 24л (мощность 800Вт; напор 40м; расход 2,85 м3/час) (1шт)</t>
  </si>
  <si>
    <t>13 174.84 руб.</t>
  </si>
  <si>
    <t>ZGR-001127</t>
  </si>
  <si>
    <t>AUAET-120L</t>
  </si>
  <si>
    <t>Насосная станция чугун, с баком 24л (мощность 1100Вт; напор 45м; расход 3,3 м3/час, до 8м) (1шт)</t>
  </si>
  <si>
    <t>13 634.85 руб.</t>
  </si>
  <si>
    <t>ZGR-001130</t>
  </si>
  <si>
    <t>AUAET-120S</t>
  </si>
  <si>
    <t>Насосная станция чугун с баком 24л (мощность 1100Вт; напор 45м; расход 3,0 м3/час, до 8м) (1шт)</t>
  </si>
  <si>
    <t>13 456.72 руб.</t>
  </si>
  <si>
    <t>ZGR-001142</t>
  </si>
  <si>
    <t>AUJS-120S</t>
  </si>
  <si>
    <t>Насосная станция нерж. сталь с баком 24л (мощность 1100Вт; напор 47м; расход 3,0 м3/час, до 8м) (1шт</t>
  </si>
  <si>
    <t>16 116.92 руб.</t>
  </si>
  <si>
    <t>Насосы повышения давления</t>
  </si>
  <si>
    <t>Насосы повышения давления VIEIR</t>
  </si>
  <si>
    <t>NAS-810001</t>
  </si>
  <si>
    <t>VERB15-10</t>
  </si>
  <si>
    <t>Насос повышения давления с сухим ротором 90Вт VR (1/8шт)</t>
  </si>
  <si>
    <t>3 744.04 руб.</t>
  </si>
  <si>
    <t>NAS-810002</t>
  </si>
  <si>
    <t>VERB15-15</t>
  </si>
  <si>
    <t>Насос повышения давления с сухим ротором 120Вт VR (1/6шт)</t>
  </si>
  <si>
    <t>4 800.16 руб.</t>
  </si>
  <si>
    <t>NAS-810003</t>
  </si>
  <si>
    <t>VERA15-11</t>
  </si>
  <si>
    <t>Насос повышения давления с мокрым ротором 100Вт VR (1/8шт)</t>
  </si>
  <si>
    <t>4 359.86 руб.</t>
  </si>
  <si>
    <t>NAS-810004</t>
  </si>
  <si>
    <t>VERA15-9</t>
  </si>
  <si>
    <t>Насос повышения давления с мокрым ротором 120Вт VR (1/8шт)</t>
  </si>
  <si>
    <t>3 870.48 руб.</t>
  </si>
  <si>
    <t>Насосы повышения давления ZEGOR</t>
  </si>
  <si>
    <t>ZGR-001119</t>
  </si>
  <si>
    <t>BBP15C-9S</t>
  </si>
  <si>
    <t>Насос повышения давления НЕРЖ с датчиком протока  100 Вт, макс.напор 9 м макс.расход 1,5 м3/час</t>
  </si>
  <si>
    <t>ZGR-001128</t>
  </si>
  <si>
    <t>BBP15Н-9А</t>
  </si>
  <si>
    <t>Насос повышения давления сухой ротор (напор 9м, расход 1,5м3/час, 100Вт) (1/8шт)</t>
  </si>
  <si>
    <t>4 687.35 руб.</t>
  </si>
  <si>
    <t>ZGR-001131</t>
  </si>
  <si>
    <t>CBP15-9</t>
  </si>
  <si>
    <t>Насос повышения давления с мокр ротор (напор 9м, расход 1,5м3/час, 100Вт) (1/8шт)</t>
  </si>
  <si>
    <t>4 847.91 руб.</t>
  </si>
  <si>
    <t>ZGR-001132</t>
  </si>
  <si>
    <t>CBP15-11</t>
  </si>
  <si>
    <t>Насос повышения давления с мокр ротор (напор 11м, расход 1,5м3/час, 150Вт) (1/8шт)</t>
  </si>
  <si>
    <t>6 681.77 руб.</t>
  </si>
  <si>
    <t>ZGR-001205</t>
  </si>
  <si>
    <t>BBP15Н-15А</t>
  </si>
  <si>
    <t>Насос повышения давления сухой ротор (напор 15м, расход 1,8м3/час) ZEGOR (1/6шт)</t>
  </si>
  <si>
    <t>5 980.14 руб.</t>
  </si>
  <si>
    <t>Поверхностные насосы</t>
  </si>
  <si>
    <t>Поверхностные насосы ZEGOR</t>
  </si>
  <si>
    <t>ZGR-001060</t>
  </si>
  <si>
    <t>QB60</t>
  </si>
  <si>
    <t>Поверхностный вихревой насос (мощность 370Вт; напор 40м; расход 2,1м3/час; глуб всасыв до 8м)</t>
  </si>
  <si>
    <t>4 651.49 руб.</t>
  </si>
  <si>
    <t>ZGR-001061</t>
  </si>
  <si>
    <t>QB80</t>
  </si>
  <si>
    <t>Поверхностный вихревой насос (мощность 750Вт; напор 53м; расход 2,7м3/час; глуб всасыв до 8м)</t>
  </si>
  <si>
    <t>8 101.67 руб.</t>
  </si>
  <si>
    <t>ZGR-001062</t>
  </si>
  <si>
    <t>AB60</t>
  </si>
  <si>
    <t>Поверхностный вихревой насос (мощность 370Вт; напор 35м; расход 2,1м3/час; глуб всасывдо 8м)</t>
  </si>
  <si>
    <t>4 272.47 руб.</t>
  </si>
  <si>
    <t>ZGR-001064</t>
  </si>
  <si>
    <t>JS-120S</t>
  </si>
  <si>
    <t>Поверхностный вихревой насос (мощность 1100Вт; напор 47м; расход 3,0м3/час; глуб всасыв до 8м)(1шт)</t>
  </si>
  <si>
    <t>11 908.02 руб.</t>
  </si>
  <si>
    <t>ZGR-001066</t>
  </si>
  <si>
    <t>JET-100L</t>
  </si>
  <si>
    <t>Поверхностный вихревой насос (750Вт; напор 48м; расход 3,0м3/час; глуб всасыв до 8м)(1шт)</t>
  </si>
  <si>
    <t>9 812.46 руб.</t>
  </si>
  <si>
    <t>ZGR-001067</t>
  </si>
  <si>
    <t>JET-120S</t>
  </si>
  <si>
    <t>Поверхностный вихревой насос (1100Вт; напор 47м; расход 3,0м3/час; глуб всасыв до 8м)(1шт)</t>
  </si>
  <si>
    <t>10 112.46 руб.</t>
  </si>
  <si>
    <t>ZGR-001072</t>
  </si>
  <si>
    <t>AET-120L</t>
  </si>
  <si>
    <t>Поверхностный вихревой насос (мощность 1100Вт; напор 45м; расход 3,3м3/час; всасыв до 8м)(1шт)</t>
  </si>
  <si>
    <t>8 455.59 руб.</t>
  </si>
  <si>
    <t>ZGR-001073</t>
  </si>
  <si>
    <t>AET-120S</t>
  </si>
  <si>
    <t>Поверхностный центробежный насос (мощность 1100Вт; напор 45м; расход 3,0м3/час; всасыв до 8м)(1шт)</t>
  </si>
  <si>
    <t>8 380.64 руб.</t>
  </si>
  <si>
    <t>ZGR-001124</t>
  </si>
  <si>
    <t>ZTP800</t>
  </si>
  <si>
    <t>Поверхностный вихревой насос (мощность 800Вт; напор 40м; расход 2,85м3/час)</t>
  </si>
  <si>
    <t>7 668.28 руб.</t>
  </si>
  <si>
    <t>ZGR-001126</t>
  </si>
  <si>
    <t>СРМ 158</t>
  </si>
  <si>
    <t>Поверхностный вихревой насос (мощность 750Вт; напор 32м; расход 6,0м3/час)</t>
  </si>
  <si>
    <t>11 082.21 руб.</t>
  </si>
  <si>
    <t>ZGR-001129</t>
  </si>
  <si>
    <t>JET-120L</t>
  </si>
  <si>
    <t>Поверхностный центробежный насос (мощность 1100Вт; напор 53м; расход 3,3м3/час)</t>
  </si>
  <si>
    <t>10 619.96 руб.</t>
  </si>
  <si>
    <t>ZGR-001140</t>
  </si>
  <si>
    <t>АB80</t>
  </si>
  <si>
    <t>Поверхностный вихревой насос (мощность 1750Вт; напор 47м; расход 2,7 м3/час)</t>
  </si>
  <si>
    <t>6 525.09 руб.</t>
  </si>
  <si>
    <t>Погружные вибрационные насосы</t>
  </si>
  <si>
    <t>Погружные вибрационные насосы ZEGOR</t>
  </si>
  <si>
    <t>ZGR-001074</t>
  </si>
  <si>
    <t>ZVM60B-10</t>
  </si>
  <si>
    <t>Вибрационный насос с термозащитой диаметр 100мм, 250Вт, 10 м (верх.забор)</t>
  </si>
  <si>
    <t>2 661.04 руб.</t>
  </si>
  <si>
    <t>ZGR-001075</t>
  </si>
  <si>
    <t>ZVM60B-15</t>
  </si>
  <si>
    <t>Вибрационный насос с термозащитой диаметр 100мм, 250Вт, 15 м (верх.забор)</t>
  </si>
  <si>
    <t>3 011.58 руб.</t>
  </si>
  <si>
    <t>ZGR-001076</t>
  </si>
  <si>
    <t>ZVM60H-10</t>
  </si>
  <si>
    <t>Вибрационный насос с термозащитой диаметр 100мм, 250Вт, 10 м (нижний забор)</t>
  </si>
  <si>
    <t>2 795.16 руб.</t>
  </si>
  <si>
    <t>ZGR-001077</t>
  </si>
  <si>
    <t>ZVM60H-15</t>
  </si>
  <si>
    <t>Вибрационный насос с термозащитой диаметр 100мм, 250Вт, 15 м (нижний забор) (4шт)</t>
  </si>
  <si>
    <t>3 104.20 руб.</t>
  </si>
  <si>
    <t>ZGR-001117</t>
  </si>
  <si>
    <t>ZVM60B-25</t>
  </si>
  <si>
    <t>Вибрационный насос с термозащитой диаметр 100мм, 250Вт, 25 м (верх.забор)</t>
  </si>
  <si>
    <t>3 651.04 руб.</t>
  </si>
  <si>
    <t>ZGR-001118</t>
  </si>
  <si>
    <t>ZVM60H-25</t>
  </si>
  <si>
    <t>Вибрационный насос с термозащитой диаметр 100мм, 250Вт, 25 м (нижний забор) (4шт)</t>
  </si>
  <si>
    <t>3 703.43 руб.</t>
  </si>
  <si>
    <t>Погружные скважные насосы</t>
  </si>
  <si>
    <t>Погружные скважные насосы ZEGOR</t>
  </si>
  <si>
    <t>ZGR-001001</t>
  </si>
  <si>
    <t>3QGD1-25-0.25kw-10m</t>
  </si>
  <si>
    <t>Скважинный винтовой насос 3" (75мм) 250 Вт;  напор 70м; макс. расход 1,7 м3/час;  кабель 10м (1/1шт)</t>
  </si>
  <si>
    <t>7 824.27 руб.</t>
  </si>
  <si>
    <t>ZGR-001002</t>
  </si>
  <si>
    <t>3QGD1-25-0.25kw-20m</t>
  </si>
  <si>
    <t>Скважинный винтовой насос 3" (75мм)  250 Вт;  напор 70м; макс. расход 1,7 м3/час;  кабель 20м (1/1шт</t>
  </si>
  <si>
    <t>8 393.67 руб.</t>
  </si>
  <si>
    <t>ZGR-001003</t>
  </si>
  <si>
    <t>3QGD1.2-30-0.37-10m</t>
  </si>
  <si>
    <t>Скважинный винтовой насос 3" (75мм) 370 Вт;  напор 90м; макс. расход 1,9 м3/час;  кабель 10м (1/1шт)</t>
  </si>
  <si>
    <t>8 730.05 руб.</t>
  </si>
  <si>
    <t>ZGR-001004</t>
  </si>
  <si>
    <t>3QGD1.2-30-0.37-20m</t>
  </si>
  <si>
    <t>Скважинный винтовой насос 3" (75мм) 370 Вт;  напор 90м; макс. расход 1,9 м3/час;  кабель 20м (1/1шт)</t>
  </si>
  <si>
    <t>9 427.04 руб.</t>
  </si>
  <si>
    <t>ZGR-001005</t>
  </si>
  <si>
    <t>3QGD1.2-50-0.55-20m</t>
  </si>
  <si>
    <t>Скважинный винтовой насос 3" (75мм) 550 Вт;  напор 110м; макс. расход 1,9 м3/час;  кабель 20м (1/1шт</t>
  </si>
  <si>
    <t>10 365.63 руб.</t>
  </si>
  <si>
    <t>ZGR-001006</t>
  </si>
  <si>
    <t>4QGD1.2-50-0.37-10m</t>
  </si>
  <si>
    <t>Скважинный винтовой насос 4" (100мм) 370 Вт;  напор 110м; макс. расход 1,9 м3/час;  кабель 10м (1шт)</t>
  </si>
  <si>
    <t>8 081.45 руб.</t>
  </si>
  <si>
    <t>ZGR-001007</t>
  </si>
  <si>
    <t>4QGD1.2-50-0.37-20m</t>
  </si>
  <si>
    <t>Скважинный винтовой насос 4" (100мм) 370 Вт;  напор 110м; макс. расход 1,9 м3/час;  кабель 20м (1шт)</t>
  </si>
  <si>
    <t>9 208.35 руб.</t>
  </si>
  <si>
    <t>ZGR-001008</t>
  </si>
  <si>
    <t>4QGD1.8-50-0.55-10m</t>
  </si>
  <si>
    <t>Скважинный винтовой насос 4" (100мм) 550 Вт;  напор 110м; макс. расход 2,9 м3/час;  кабель 10м (1шт)</t>
  </si>
  <si>
    <t>9 737.50 руб.</t>
  </si>
  <si>
    <t>ZGR-001009</t>
  </si>
  <si>
    <t>4QGD1.8-50-0.55-20m</t>
  </si>
  <si>
    <t>Скважинный винтовой насос 4" (100мм) 550 Вт;  напор 110м; макс. расход 2,9 м3/час;  кабель 20м (1шт)</t>
  </si>
  <si>
    <t>11 691.72 руб.</t>
  </si>
  <si>
    <t>ZGR-001010</t>
  </si>
  <si>
    <t>3SKM100A-0.75kw 20m</t>
  </si>
  <si>
    <t>Скважинный вихревой насос 3" (75мм) 750 Вт;  напор 59м; макс. расход 2,0 м3/час;  кабель 20м (1/1шт)</t>
  </si>
  <si>
    <t>13 144.78 руб.</t>
  </si>
  <si>
    <t>ZGR-001011</t>
  </si>
  <si>
    <t>4SKM100-0,75kw 10m</t>
  </si>
  <si>
    <t>Скважинный вихревой насос 4" (100мм) 750 Вт;  напор 58м; макс. расход 3,0 м3/час;  кабель 10м (1/1шт</t>
  </si>
  <si>
    <t>13 380.05 руб.</t>
  </si>
  <si>
    <t>ZGR-001012</t>
  </si>
  <si>
    <t>4SKM100-0,75kw 20m</t>
  </si>
  <si>
    <t>Скважинный вихревой насос 4" (100мм) 750 Вт;  напор 58м; макс. расход 3,0 м3/час;  кабель 20м (1/1шт</t>
  </si>
  <si>
    <t>14 748.29 руб.</t>
  </si>
  <si>
    <t>ZGR-001013</t>
  </si>
  <si>
    <t>4SKM100A-0,75kw 10m</t>
  </si>
  <si>
    <t>11 032.43 руб.</t>
  </si>
  <si>
    <t>ZGR-001014</t>
  </si>
  <si>
    <t>4SKM100A-0,75kw 20m</t>
  </si>
  <si>
    <t>Скважинный вихревой насос 4"(100мм) 750 Вт;  напор 58м; макс. расход 3,0 м3/час;  кабель 20м (1/1шт)</t>
  </si>
  <si>
    <t>14 029.57 руб.</t>
  </si>
  <si>
    <t>ZGR-001015</t>
  </si>
  <si>
    <t>4SKM150A-1,1kw 20m</t>
  </si>
  <si>
    <t>Скважинный вихревой насос 4" (100мм) 1100 Вт;  напор 100м; макс. расход 3,0 м3/час;  кабель 20м (1/1</t>
  </si>
  <si>
    <t>16 294.49 руб.</t>
  </si>
  <si>
    <t>ZGR-001016</t>
  </si>
  <si>
    <t>4SKM200A-1,5kw 20m</t>
  </si>
  <si>
    <t>Скважинный вихревой насос 4" (100мм) 1500 Вт;  напор 135м; макс. расход 3,0 м3/час;  кабель 20м (1/1</t>
  </si>
  <si>
    <t>21 084.85 руб.</t>
  </si>
  <si>
    <t>ZGR-001017</t>
  </si>
  <si>
    <t>3SDM2/11-0.37kw 20m</t>
  </si>
  <si>
    <t>Скважинный многоступенчатый насос 3" (75мм) 370 Вт;  напор 48м; макс. расход 3,3 м3/час;  кабель 20м</t>
  </si>
  <si>
    <t>13 277.28 руб.</t>
  </si>
  <si>
    <t>ZGR-001018</t>
  </si>
  <si>
    <t>3SDM2/17-0.55kw 20m</t>
  </si>
  <si>
    <t>Скважинный многоступенчатый насос 3" (75мм) 550 Вт;  напор 74м; макс. расход 3,3 м3/час;  кабель 20м</t>
  </si>
  <si>
    <t>14 852.32 руб.</t>
  </si>
  <si>
    <t>ZGR-001019</t>
  </si>
  <si>
    <t>3SDM2/24-0.75kw 20m</t>
  </si>
  <si>
    <t>Скважинный многоступенчатый насос 3" (75мм)750 Вт;  напор 104м; макс. расход 3,3 м3/час;  кабель 20м</t>
  </si>
  <si>
    <t>18 997.78 руб.</t>
  </si>
  <si>
    <t>ZGR-001020</t>
  </si>
  <si>
    <t>3SDM2/33-1.1kw 20m</t>
  </si>
  <si>
    <t>Скважинный многоступенчатый насос 3" (75мм) 1100 Вт;  напор 144м; макс. расход 3,3 м3/час;  кабель 2</t>
  </si>
  <si>
    <t>22 432.32 руб.</t>
  </si>
  <si>
    <t>ZGR-001021</t>
  </si>
  <si>
    <t>3SDM3/13-0.55kw 20m</t>
  </si>
  <si>
    <t>Скважинный многоступенчатый насос 3" (75мм) 550 Вт;  напор 52м; макс. расход 5,2 м3/час;  кабель 20м</t>
  </si>
  <si>
    <t>15 207.43 руб.</t>
  </si>
  <si>
    <t>ZGR-001022</t>
  </si>
  <si>
    <t>3SDM3/18-0.75kw 20m</t>
  </si>
  <si>
    <t>Скважинный многоступенчатый насос 3" (75мм) 750 Вт;  напор 71м; макс. расход 5,2 м3/час;  кабель 20м</t>
  </si>
  <si>
    <t>17 628.57 руб.</t>
  </si>
  <si>
    <t>ZGR-001023</t>
  </si>
  <si>
    <t>3SDM3/22-1.1kw 20m</t>
  </si>
  <si>
    <t>Скважинный многоступенчатый насос 3" (75мм) 1100 Вт;  напор 87м; макс. расход 5,2 м3/час;  кабель 20</t>
  </si>
  <si>
    <t>19 093.17 руб.</t>
  </si>
  <si>
    <t>ZGR-001024</t>
  </si>
  <si>
    <t>3,5SDM3/09-0.55kw 20m</t>
  </si>
  <si>
    <t>Скважинный многоступенчатый насос 3,5" (90мм) 550 Вт;  напор 50м; макс. расход 5,2 м3/час;  кабель 2</t>
  </si>
  <si>
    <t>14 490.33 руб.</t>
  </si>
  <si>
    <t>ZGR-001025</t>
  </si>
  <si>
    <t>3,5SDM3/12-0.75kw 20m</t>
  </si>
  <si>
    <t>Скважинный многоступенчатый насос 3,5" (90мм) 750 Вт;  напор 72м; макс. расход 5,2 м3/час;  кабель 2</t>
  </si>
  <si>
    <t>15 671.00 руб.</t>
  </si>
  <si>
    <t>ZGR-001026</t>
  </si>
  <si>
    <t>4SDM2/11-0.55kw 20m</t>
  </si>
  <si>
    <t>Скважинный многоступенчатый насос 4" (100мм) 550 Вт;  напор 78м; макс. расход 3,6 м3/час;  кабель 20</t>
  </si>
  <si>
    <t>16 546.02 руб.</t>
  </si>
  <si>
    <t>ZGR-001027</t>
  </si>
  <si>
    <t>4SDM2/14-0.75kw 20m</t>
  </si>
  <si>
    <t>Скважинный многоступенчатый насос 4" (100мм) 750 Вт;  напор 99м; макс. расход 3,6 м3/час;  кабель 20</t>
  </si>
  <si>
    <t>18 362.19 руб.</t>
  </si>
  <si>
    <t>ZGR-001028</t>
  </si>
  <si>
    <t>4SDM2/20-1.1kw 20m</t>
  </si>
  <si>
    <t xml:space="preserve">Скважинный многоступенчатый насос 4" (100мм) 1100 Вт;  напор 142м; макс. расход 3,6 м3/час;  кабель </t>
  </si>
  <si>
    <t>22 471.86 руб.</t>
  </si>
  <si>
    <t>ZGR-001029</t>
  </si>
  <si>
    <t>4SDM4/08-0.55kw 20m</t>
  </si>
  <si>
    <t>Скважинный многоступенчатый насос 4" (100мм)  550 Вт;  напор 57м; макс. расход 6,5 м3/час;  кабель 2</t>
  </si>
  <si>
    <t>15 941.11 руб.</t>
  </si>
  <si>
    <t>ZGR-001030</t>
  </si>
  <si>
    <t>4SDM4/10-0.75kw 20m</t>
  </si>
  <si>
    <t>Скважинный многоступенчатый насос 4" (100мм)  750 Вт;  напор 71м; макс. расход 6,5 м3/час;  кабель 2</t>
  </si>
  <si>
    <t>17 334.03 руб.</t>
  </si>
  <si>
    <t>ZGR-001031</t>
  </si>
  <si>
    <t>4SDM4/14-1.1kw 20m</t>
  </si>
  <si>
    <t xml:space="preserve">Скважинный многоступенчатый насос 4" (100мм)  1100 Вт;  напор 99м; макс. расход 6,5 м3/час;  кабель </t>
  </si>
  <si>
    <t>21 087.15 руб.</t>
  </si>
  <si>
    <t>ZGR-001032</t>
  </si>
  <si>
    <t>3ZED1.5/13-0.37kw 25m</t>
  </si>
  <si>
    <t>Скважинный многоступенчатый насос 3" (75мм) 370 Вт;  напор 49м; макс. расход 2,8 м3/час;  кабель 25м</t>
  </si>
  <si>
    <t>13 097.71 руб.</t>
  </si>
  <si>
    <t>ZGR-001033</t>
  </si>
  <si>
    <t>3ZED1.5/18-0.55kw 35m</t>
  </si>
  <si>
    <t>Скважинный многоступенчатый насос 3" (75мм) 550 Вт;  напор 65м; макс. расход 2,8 м3/час;  кабель 35м</t>
  </si>
  <si>
    <t>16 227.12 руб.</t>
  </si>
  <si>
    <t>ZGR-001034</t>
  </si>
  <si>
    <t>3ZED1.5/25-0.75kw 45m</t>
  </si>
  <si>
    <t>Скважинный многоступенчатый насос 3" (75мм) 750 Вт;  напор 90м; макс. расход 2,8 м3/час;  кабель 45м</t>
  </si>
  <si>
    <t>20 008.00 руб.</t>
  </si>
  <si>
    <t>ZGR-001035</t>
  </si>
  <si>
    <t>3ZED1.5/35-1.1kw 60m</t>
  </si>
  <si>
    <t>Скважинный многоступенчатый насос 3" (75мм) 1100 Вт;  напор 126м; макс. расход 2,8 м3/час;  кабель 6</t>
  </si>
  <si>
    <t>27 381.47 руб.</t>
  </si>
  <si>
    <t>ZGR-001036</t>
  </si>
  <si>
    <t>4ZED2/07-0.37kw 35m</t>
  </si>
  <si>
    <t>Скважинный многоступенчатый насос 4" (100мм) 370 Вт;  напор 45м; макс. расход 3,2 м3/час;  кабель 35</t>
  </si>
  <si>
    <t>15 818.54 руб.</t>
  </si>
  <si>
    <t>ZGR-001037</t>
  </si>
  <si>
    <t>4ZED2/09-0.55kw 45m</t>
  </si>
  <si>
    <t>Скважинный многоступенчатый насос 4" (100мм) 550 Вт;  напор 57м; макс. расход 3,2 м3/час;  кабель 45</t>
  </si>
  <si>
    <t>17 582.37 руб.</t>
  </si>
  <si>
    <t>ZGR-001038</t>
  </si>
  <si>
    <t>4ZED2/12-0.75kw 50m</t>
  </si>
  <si>
    <t>Скважинный многоступенчатый насос 4" (100мм) 750 Вт;  напор 76м; макс. расход 3,2 м3/час;  кабель 50</t>
  </si>
  <si>
    <t>20 018.15 руб.</t>
  </si>
  <si>
    <t>ZGR-001039</t>
  </si>
  <si>
    <t>4ZED2/18-1.1kw 55m</t>
  </si>
  <si>
    <t xml:space="preserve">Скважинный многоступенчатый насос 4" (100мм) 1100 Вт;  напор 119м; макс. расход 3,2 м3/час;  кабель </t>
  </si>
  <si>
    <t>24 917.70 руб.</t>
  </si>
  <si>
    <t>ZGR-001040</t>
  </si>
  <si>
    <t>3SEM1.5/15-0.37kw 30m</t>
  </si>
  <si>
    <t>Скважинный многоступенчатый насос 3" (75мм) 370 Вт;  напор 55м; макс. расход 2,8 м3/час;  кабель 30м</t>
  </si>
  <si>
    <t>14 162.82 руб.</t>
  </si>
  <si>
    <t>ZGR-001041</t>
  </si>
  <si>
    <t>3SEM1.5/22-0.55kw 40m</t>
  </si>
  <si>
    <t>Скважинный многоступенчатый насос 3" (75мм) 550 Вт;  напор 79м; макс. расход 2,8 м3/час;  кабель 40м</t>
  </si>
  <si>
    <t>17 375.53 руб.</t>
  </si>
  <si>
    <t>ZGR-001042</t>
  </si>
  <si>
    <t>3SEM1.5/30-0.75kw 50m</t>
  </si>
  <si>
    <t>Скважинный многоступенчатый насос 3" (75мм) 750 Вт;  напор 108м; макс. расход 2,8 м3/час;  кабель 50</t>
  </si>
  <si>
    <t>21 618.42 руб.</t>
  </si>
  <si>
    <t>ZGR-001043</t>
  </si>
  <si>
    <t>3SEM1.5/40-1.1kw 65m</t>
  </si>
  <si>
    <t>Скважинный многоступенчатый насос 3" (75мм) 1100 Вт;  напор 144м; макс. расход 2,8 м3/час;  кабель 6</t>
  </si>
  <si>
    <t>24 077.77 руб.</t>
  </si>
  <si>
    <t>ZGR-001044</t>
  </si>
  <si>
    <t>4SEM2/08-0.37kw 35m</t>
  </si>
  <si>
    <t>Скважинный многоступенчатый насос 4" (100мм) 370 Вт;  напор 51м; макс. расход 3,2 м3/час;  кабель 35</t>
  </si>
  <si>
    <t>16 756.45 руб.</t>
  </si>
  <si>
    <t>ZGR-001045</t>
  </si>
  <si>
    <t>4SEM2/11-0.55kw 45m</t>
  </si>
  <si>
    <t>Скважинный многоступенчатый насос 4" (100мм) 550 Вт;  напор 65м; макс. расход 3,2 м3/час;  кабель 45</t>
  </si>
  <si>
    <t>19 195.03 руб.</t>
  </si>
  <si>
    <t>ZGR-001046</t>
  </si>
  <si>
    <t>4SEM2/15-0.75kw 50m</t>
  </si>
  <si>
    <t>Скважинный многоступенчатый насос 4" (100мм) 750 Вт;  напор 86м; макс. расход 3,2 м3/час;  кабель 50</t>
  </si>
  <si>
    <t>21 017.66 руб.</t>
  </si>
  <si>
    <t>ZGR-001047</t>
  </si>
  <si>
    <t>4SEM2/20-1.1kw 55m</t>
  </si>
  <si>
    <t xml:space="preserve">Скважинный многоступенчатый насос 4" (100мм) 1100 Вт;  напор 125м; макс. расход 3,2 м3/час;  кабель </t>
  </si>
  <si>
    <t>25 724.02 руб.</t>
  </si>
  <si>
    <t>ZGR-001133</t>
  </si>
  <si>
    <t>3QGD1.2-50-0.55 10m</t>
  </si>
  <si>
    <t>Скважинный многоступенчатый насос 3" (75мм) 550 Вт;  напор 110м; макс. расход 1,9 м3/час;  кабель 10</t>
  </si>
  <si>
    <t>8 817.08 руб.</t>
  </si>
  <si>
    <t>ZGR-001134</t>
  </si>
  <si>
    <t>4QGD2-60-0.75 10m</t>
  </si>
  <si>
    <t>Скважинный многоступенчатый насос 4" (100мм) 750 Вт;  напор 150м; макс. расход 3,0 м3/час;  кабель 1</t>
  </si>
  <si>
    <t>9 740.30 руб.</t>
  </si>
  <si>
    <t>ZGR-001135</t>
  </si>
  <si>
    <t>4ZEF2/11-0.55kw 40m</t>
  </si>
  <si>
    <t>Скважинный многоступенчатый насос 4" (100мм) 550 Вт;  напор 70м; макс. расход 3,2 м3/час;  резьба 11</t>
  </si>
  <si>
    <t>15 626.47 руб.</t>
  </si>
  <si>
    <t>ZGR-001136</t>
  </si>
  <si>
    <t>4ZEF2/15-0.75kw 45m</t>
  </si>
  <si>
    <t>Скважинный многоступенчатый насос 4" (100мм) 750 Вт;  напор 91м; макс. расход 3,2 м3/час;  резьба 11</t>
  </si>
  <si>
    <t>19 386.78 руб.</t>
  </si>
  <si>
    <t>ZGR-001137</t>
  </si>
  <si>
    <t>4ZEF2/21-1.1kw 55m</t>
  </si>
  <si>
    <t xml:space="preserve">Скважинный многоступенчатый насос 4" (100мм) 1100 Вт;  напор 130м; макс. расход 3,2 м3/час;  резьба </t>
  </si>
  <si>
    <t>24 719.65 руб.</t>
  </si>
  <si>
    <t>ZGR-001138</t>
  </si>
  <si>
    <t>4SEM2/14-0.75kw 50m</t>
  </si>
  <si>
    <t>Скважинный многоступенчатый насос 4" (100мм) 1700 Вт;  напор 86м; макс. расход 3,2 м3/час;  резьба 1</t>
  </si>
  <si>
    <t>ZGR-001145</t>
  </si>
  <si>
    <t>3.5ZEF2/06-0.25kw-20m</t>
  </si>
  <si>
    <t>Скважинный насос 3,5" (90мм) 250 Вт;  напор 32м; макс. расход 4 м3/час;  резьба 11/4, кабель 20м (1/</t>
  </si>
  <si>
    <t>11 692.09 руб.</t>
  </si>
  <si>
    <t>ZGR-001146</t>
  </si>
  <si>
    <t>3.5ZEF2/08-0.37kw-30m</t>
  </si>
  <si>
    <t>Скважинный насос 3,5" (90мм) 370 Вт;  напор 42м; макс. расход 4 м3/час;  резьба 11/4, кабель 30м (1/</t>
  </si>
  <si>
    <t>12 970.54 руб.</t>
  </si>
  <si>
    <t>ZGR-001147</t>
  </si>
  <si>
    <t>3.5ZEF2/10-0.55kw-40m</t>
  </si>
  <si>
    <t>Скважинный насос 3,5" (90мм) 550 Вт;  напор 52м; макс. расход 4 м3/час;  резьба 11/4, кабель 40м (1/</t>
  </si>
  <si>
    <t>14 288.00 руб.</t>
  </si>
  <si>
    <t>ZGR-001148</t>
  </si>
  <si>
    <t>3.5ZEF2/12-0.75kw-50m</t>
  </si>
  <si>
    <t>Скважинный насос 3,5" (90мм) 750 Вт;  напор 63м; макс. расход 4 м3/час;  резьба 11/4, кабель 50м (1/</t>
  </si>
  <si>
    <t>16 919.92 руб.</t>
  </si>
  <si>
    <t>ZGR-001149</t>
  </si>
  <si>
    <t>3.5ZEF2/18-1.1kw-60m</t>
  </si>
  <si>
    <t>Скважинный насос 3,5" (90мм) 1100 Вт;  напор 92м; макс. расход 4 м3/час;  резьба 11/4, кабель 60м (1</t>
  </si>
  <si>
    <t>23 331.17 руб.</t>
  </si>
  <si>
    <t>ZGR-001150</t>
  </si>
  <si>
    <t>3.5ZEF2/20-1.5kw-60m</t>
  </si>
  <si>
    <t>-Скважинный насос 3,5" (90мм) 1500 Вт;  напор 135м; макс. расход 4 м3/час;  резьба 11/4, кабель 60м</t>
  </si>
  <si>
    <t>ZGR-001151</t>
  </si>
  <si>
    <t>4ZEF2/08-0.37kw-30m</t>
  </si>
  <si>
    <t>Скважинный насос 4" (100мм) 370 Вт;  напор 50м; макс. расход 3,2 м3/час;  резьба 11/4, кабель 30м (1</t>
  </si>
  <si>
    <t>16 134.34 руб.</t>
  </si>
  <si>
    <t>ZGR-001152</t>
  </si>
  <si>
    <t>4ZEF2/29-1.5kw-60m</t>
  </si>
  <si>
    <t xml:space="preserve">Скважинный насос 4" (100мм) 1500 Вт;  напор 184м; макс. расход 3,2 м3/час;  резьба 11/4, кабель 60м </t>
  </si>
  <si>
    <t>33 666.57 руб.</t>
  </si>
  <si>
    <t>ZGR-001229</t>
  </si>
  <si>
    <t>3QGD1-25-0.25kw 15m</t>
  </si>
  <si>
    <t>Скважинный винтовой насос 3" (75мм)  250 Вт;  напор 70м; макс. расход 1,7 м3/час;  кабель 15м (1/1шт</t>
  </si>
  <si>
    <t>7 940.78 руб.</t>
  </si>
  <si>
    <t>ZGR-001230</t>
  </si>
  <si>
    <t>3QGD1.2-30-0.37 25m</t>
  </si>
  <si>
    <t>Скважинный винтовой насос 3" (75мм)  370 Вт;  напор 90м; макс. расход 1,9 м3/час;  кабель 25м (1/1шт</t>
  </si>
  <si>
    <t>9 231.23 руб.</t>
  </si>
  <si>
    <t>ZGR-001231</t>
  </si>
  <si>
    <t>3QGD1.2-50-0.55 30m</t>
  </si>
  <si>
    <t>Скважинный винтовой насос 3" (75мм)  550 Вт;  напор 110м; макс. расход 1,9 м3/час;  кабель 30м (1/1ш</t>
  </si>
  <si>
    <t>10 695.74 руб.</t>
  </si>
  <si>
    <t>Циркуляционные насосы</t>
  </si>
  <si>
    <t>Циркуляционные насосы VALTEC</t>
  </si>
  <si>
    <t>VLC-921001</t>
  </si>
  <si>
    <t>VRS.254.13.0</t>
  </si>
  <si>
    <t>Насос цирк. VALTEC RS 25/4-130 с гайками</t>
  </si>
  <si>
    <t>3 989.00 руб.</t>
  </si>
  <si>
    <t>VLC-921002</t>
  </si>
  <si>
    <t>VRS.254.18.0</t>
  </si>
  <si>
    <t>Насос цирк. VALTEC RS 25/4-180 с гайками</t>
  </si>
  <si>
    <t>VLC-921003</t>
  </si>
  <si>
    <t>VRS.256.13.0</t>
  </si>
  <si>
    <t>Насос цирк. VALTEC RS 25/6-130 с гайками</t>
  </si>
  <si>
    <t>4 186.00 руб.</t>
  </si>
  <si>
    <t>VLC-921004</t>
  </si>
  <si>
    <t>VRS.256EA.18.0</t>
  </si>
  <si>
    <t>Энергосберегающий цирк насос VALTEC RS 25/6EA-180 с частотным регулированием с гайками</t>
  </si>
  <si>
    <t>8 117.00 руб.</t>
  </si>
  <si>
    <t>VLC-921005</t>
  </si>
  <si>
    <t>VRS.256EA.13.0</t>
  </si>
  <si>
    <t>Энергосберегающий цирк насос VALTEC RS 25/6EA-130 с частотным регулированием с гайками</t>
  </si>
  <si>
    <t>8 286.00 руб.</t>
  </si>
  <si>
    <t>VLC-921006</t>
  </si>
  <si>
    <t>VRS.256.18.0</t>
  </si>
  <si>
    <t>Насос цирк. VALTEC RS 25/6-180 с гайками</t>
  </si>
  <si>
    <t>VLC-921007</t>
  </si>
  <si>
    <t>VRS.258.18.0</t>
  </si>
  <si>
    <t>Насос цирк. VALTEC RS 25/8-180 с гайками</t>
  </si>
  <si>
    <t>8 077.00 руб.</t>
  </si>
  <si>
    <t>VLC-921008</t>
  </si>
  <si>
    <t>VRS.324.18.0</t>
  </si>
  <si>
    <t>Насос цирк. VALTEC RS 32/4-180 с гайками</t>
  </si>
  <si>
    <t>4 176.00 руб.</t>
  </si>
  <si>
    <t>VLC-921009</t>
  </si>
  <si>
    <t>VRS.326.18.0</t>
  </si>
  <si>
    <t>Насос цирк. VALTEC RS 32/6-180 с гайками</t>
  </si>
  <si>
    <t>4 498.00 руб.</t>
  </si>
  <si>
    <t>VLC-921010</t>
  </si>
  <si>
    <t>VRS.328.18.0</t>
  </si>
  <si>
    <t>Насос цирк. VALTEC RS 32/8-180 с гайками</t>
  </si>
  <si>
    <t>8 210.00 руб.</t>
  </si>
  <si>
    <t>VLC-921011</t>
  </si>
  <si>
    <t>VSB.004.15.0</t>
  </si>
  <si>
    <t>Насос цирк. для ГВС VALTEC VSB 04-15 латун корпус</t>
  </si>
  <si>
    <t>5 712.00 руб.</t>
  </si>
  <si>
    <t>VLC-921012</t>
  </si>
  <si>
    <t>VRS.121EM.15.0</t>
  </si>
  <si>
    <t>Энергосберегающий цирк. насос НЕРЖ для ГВС с частотным регулированием VALTEC VRS 12/1.2EM</t>
  </si>
  <si>
    <t>10 374.00 руб.</t>
  </si>
  <si>
    <t>VLC-921013</t>
  </si>
  <si>
    <t>VRS.129G.15.0</t>
  </si>
  <si>
    <t>Насос повышения давления VALTEC VRS12/9G</t>
  </si>
  <si>
    <t>5 777.00 руб.</t>
  </si>
  <si>
    <t>Циркуляционые насосы ZEGOR</t>
  </si>
  <si>
    <t>ZGR-001078</t>
  </si>
  <si>
    <t>ZRS25/4GB</t>
  </si>
  <si>
    <t>Насос циркуляционный 25/4 180мм в комплекте с гайками и кабелем (1/8 шт)</t>
  </si>
  <si>
    <t>3 289.57 руб.</t>
  </si>
  <si>
    <t>ZGR-001079</t>
  </si>
  <si>
    <t>ZRS25/6GB</t>
  </si>
  <si>
    <t>Насос циркуляционный 25/6 180мм в комплекте с гайками и кабелем (1/8 шт)</t>
  </si>
  <si>
    <t>3 584.94 руб.</t>
  </si>
  <si>
    <t>ZGR-001080</t>
  </si>
  <si>
    <t>ZRS25/8GB</t>
  </si>
  <si>
    <t>Насос циркуляционный 25/8 180мм в комплекте с гайками и кабелем (1/4 шт)</t>
  </si>
  <si>
    <t>ZGR-001081</t>
  </si>
  <si>
    <t>ZRS32/4GB</t>
  </si>
  <si>
    <t>Насос циркуляционный 32/4 180мм в комплекте с гайками и кабелем (1/8 шт)</t>
  </si>
  <si>
    <t>3 563.30 руб.</t>
  </si>
  <si>
    <t>ZGR-001082</t>
  </si>
  <si>
    <t>ZRS32/6GB</t>
  </si>
  <si>
    <t>Насос циркуляционный 32/6 180мм в комплекте с гайками и кабелем (1/8 шт)</t>
  </si>
  <si>
    <t>3 864.19 руб.</t>
  </si>
  <si>
    <t>ZGR-001083</t>
  </si>
  <si>
    <t>ZRS32/8GB</t>
  </si>
  <si>
    <t>Насос циркуляционный 32/8 180мм в комплекте с гайками и кабелем (1/4 шт)</t>
  </si>
  <si>
    <t>ZGR-001111</t>
  </si>
  <si>
    <t>ZRS25/4G-130 Pro</t>
  </si>
  <si>
    <t>Насос циркуляционный бесшумный СЕРИЯ PRO 25/4 130мм с гайками и кабелем. ГАРАНТИЯ 5 ЛЕТ (1/8 шт)</t>
  </si>
  <si>
    <t>4 695.19 руб.</t>
  </si>
  <si>
    <t>ZGR-001112</t>
  </si>
  <si>
    <t>ZRS25/4G Pro</t>
  </si>
  <si>
    <t>Насос циркуляционный бесшумный СЕРИЯ PRO 25/4 180мм с гайками и кабелем. ГАРАНТИЯ 5 ЛЕТ (1/8 шт)</t>
  </si>
  <si>
    <t>4 225.67 руб.</t>
  </si>
  <si>
    <t>ZGR-001113</t>
  </si>
  <si>
    <t>ZRS25/6G-130 Pro</t>
  </si>
  <si>
    <t>Насос циркуляционный бесшумный СЕРИЯ PRO 25/6 130мм с гайками и кабелем. ГАРАНТИЯ 5 ЛЕТ (1/8 шт)</t>
  </si>
  <si>
    <t>4 656.04 руб.</t>
  </si>
  <si>
    <t>ZGR-001114</t>
  </si>
  <si>
    <t>ZRS25/6G Pro</t>
  </si>
  <si>
    <t>Насос циркуляционный бесшумный СЕРИЯ PRO 25/6 180мм с гайками и кабелем. ГАРАНТИЯ 5 ЛЕТ (1/8 шт)</t>
  </si>
  <si>
    <t>4 887.70 руб.</t>
  </si>
  <si>
    <t>ZGR-001120</t>
  </si>
  <si>
    <t>ZRS25/4GB-130</t>
  </si>
  <si>
    <t>Насос циркуляционный 25/4 130мм в комплекте с гайками и кабелем (1/8 шт)</t>
  </si>
  <si>
    <t>3 534.17 руб.</t>
  </si>
  <si>
    <t>ZGR-001121</t>
  </si>
  <si>
    <t>ZRS25/6GB-130</t>
  </si>
  <si>
    <t>Насос циркуляционный 25/6 130мм в комплекте с гайками и кабелем (1/8 шт)</t>
  </si>
  <si>
    <t>3 775.52 руб.</t>
  </si>
  <si>
    <t>ZGR-001204</t>
  </si>
  <si>
    <t>ZRS20/6G-130 Pro</t>
  </si>
  <si>
    <t>Насос для ГВС СЕРИЯ PRO 20/6 130мм с гайками 3/4 и кабелем. ГАРАНТИЯ 5 ЛЕТ (1/8шт)</t>
  </si>
  <si>
    <t>5 230.30 руб.</t>
  </si>
  <si>
    <t>Энергосберегающие циркуляционные насосы VIEIR</t>
  </si>
  <si>
    <t>NAS-210010</t>
  </si>
  <si>
    <t>VR15-12</t>
  </si>
  <si>
    <t>Энергосберегающий циркуляционный насос для ГВС НЕРЖ корпус с режимом частного регулирования  (1/8шт)</t>
  </si>
  <si>
    <t>10 577.61 руб.</t>
  </si>
  <si>
    <t>NAS-210011</t>
  </si>
  <si>
    <t>VRD20-6-130A</t>
  </si>
  <si>
    <t>Циркуляционный насос для ГВС ЧУГУН корпус VIEIR 130мм (1/8шт)</t>
  </si>
  <si>
    <t>3 004.75 руб.</t>
  </si>
  <si>
    <t>NAS-210012</t>
  </si>
  <si>
    <t>VR25/4-180E</t>
  </si>
  <si>
    <t>Энергосберегающий циркуляционный насос с частотным регулированием "VIEIR" (8шт)</t>
  </si>
  <si>
    <t>6 989.76 руб.</t>
  </si>
  <si>
    <t>NAS-210013</t>
  </si>
  <si>
    <t>VR25/6-180E</t>
  </si>
  <si>
    <t>6 986.79 руб.</t>
  </si>
  <si>
    <t>NAS-210014</t>
  </si>
  <si>
    <t>VR32/6-180E</t>
  </si>
  <si>
    <t>8 048.86 руб.</t>
  </si>
  <si>
    <t>NAS-210015</t>
  </si>
  <si>
    <t>VR15/6-130E</t>
  </si>
  <si>
    <t>Энергосберегающий циркуляционный насос для ГВС ЛАТУНЬ корпус с частотным регулир  "VIEIR" (8шт)</t>
  </si>
  <si>
    <t>6 873.74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</si>
</sst>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88_86a6_11e9_8101_003048fd731b_5352ef7f_57f4_11ea_810f_003048fd731b1.jpeg"/><Relationship Id="rId2" Type="http://schemas.openxmlformats.org/officeDocument/2006/relationships/image" Target="../media/77fc5a8a_86a6_11e9_8101_003048fd731b_5352ef7e_57f4_11ea_810f_003048fd731b2.png"/><Relationship Id="rId3" Type="http://schemas.openxmlformats.org/officeDocument/2006/relationships/image" Target="../media/05c9cfef_77eb_11ea_8111_003048fd731b_92d88067_5a43_11f0_a775_047c1617b1433.jpeg"/><Relationship Id="rId4" Type="http://schemas.openxmlformats.org/officeDocument/2006/relationships/image" Target="../media/05c9cff1_77eb_11ea_8111_003048fd731b_92d88069_5a43_11f0_a775_047c1617b1434.jpeg"/><Relationship Id="rId5" Type="http://schemas.openxmlformats.org/officeDocument/2006/relationships/image" Target="../media/05c9cff3_77eb_11ea_8111_003048fd731b_92d8806b_5a43_11f0_a775_047c1617b1435.jpeg"/><Relationship Id="rId6" Type="http://schemas.openxmlformats.org/officeDocument/2006/relationships/image" Target="../media/05c9cff5_77eb_11ea_8111_003048fd731b_92d8806d_5a43_11f0_a775_047c1617b1436.jpeg"/><Relationship Id="rId7" Type="http://schemas.openxmlformats.org/officeDocument/2006/relationships/image" Target="../media/05c9cff7_77eb_11ea_8111_003048fd731b_c75a16de_f115_11ee_a58b_047c1617b1437.jpeg"/><Relationship Id="rId8" Type="http://schemas.openxmlformats.org/officeDocument/2006/relationships/image" Target="../media/05c9cff9_77eb_11ea_8111_003048fd731b_92d8806f_5a43_11f0_a775_047c1617b1438.jpeg"/><Relationship Id="rId9" Type="http://schemas.openxmlformats.org/officeDocument/2006/relationships/image" Target="../media/05c9cffb_77eb_11ea_8111_003048fd731b_92d88072_5a43_11f0_a775_047c1617b1439.jpeg"/><Relationship Id="rId10" Type="http://schemas.openxmlformats.org/officeDocument/2006/relationships/image" Target="../media/05c9cffd_77eb_11ea_8111_003048fd731b_92d88076_5a43_11f0_a775_047c1617b14310.jpeg"/><Relationship Id="rId11" Type="http://schemas.openxmlformats.org/officeDocument/2006/relationships/image" Target="../media/05c9cfff_77eb_11ea_8111_003048fd731b_92d88077_5a43_11f0_a775_047c1617b14311.jpeg"/><Relationship Id="rId12" Type="http://schemas.openxmlformats.org/officeDocument/2006/relationships/image" Target="../media/05c9d001_77eb_11ea_8111_003048fd731b_92d88078_5a43_11f0_a775_047c1617b14312.jpeg"/><Relationship Id="rId13" Type="http://schemas.openxmlformats.org/officeDocument/2006/relationships/image" Target="../media/05c9d003_77eb_11ea_8111_003048fd731b_92d88061_5a43_11f0_a775_047c1617b14313.jpeg"/><Relationship Id="rId14" Type="http://schemas.openxmlformats.org/officeDocument/2006/relationships/image" Target="../media/05c9d005_77eb_11ea_8111_003048fd731b_92d88064_5a43_11f0_a775_047c1617b14314.jpeg"/><Relationship Id="rId15" Type="http://schemas.openxmlformats.org/officeDocument/2006/relationships/image" Target="../media/05c9d007_77eb_11ea_8111_003048fd731b_92d88079_5a43_11f0_a775_047c1617b14315.jpeg"/><Relationship Id="rId16" Type="http://schemas.openxmlformats.org/officeDocument/2006/relationships/image" Target="../media/05c9d009_77eb_11ea_8111_003048fd731b_92d8807a_5a43_11f0_a775_047c1617b14316.jpeg"/><Relationship Id="rId17" Type="http://schemas.openxmlformats.org/officeDocument/2006/relationships/image" Target="../media/05c9d00b_77eb_11ea_8111_003048fd731b_92d8807b_5a43_11f0_a775_047c1617b14317.jpeg"/><Relationship Id="rId18" Type="http://schemas.openxmlformats.org/officeDocument/2006/relationships/image" Target="../media/05c9d00d_77eb_11ea_8111_003048fd731b_92d8807c_5a43_11f0_a775_047c1617b14318.jpeg"/><Relationship Id="rId19" Type="http://schemas.openxmlformats.org/officeDocument/2006/relationships/image" Target="../media/77fc5a6d_86a6_11e9_8101_003048fd731b_634a42e9_f953_11e9_810b_003048fd731b19.jpeg"/><Relationship Id="rId20" Type="http://schemas.openxmlformats.org/officeDocument/2006/relationships/image" Target="../media/77fc5a70_86a6_11e9_8101_003048fd731b_634a42ea_f953_11e9_810b_003048fd731b20.jpeg"/><Relationship Id="rId21" Type="http://schemas.openxmlformats.org/officeDocument/2006/relationships/image" Target="../media/77fc5a73_86a6_11e9_8101_003048fd731b_634a42eb_f953_11e9_810b_003048fd731b21.jpeg"/><Relationship Id="rId22" Type="http://schemas.openxmlformats.org/officeDocument/2006/relationships/image" Target="../media/d981da6f_77ea_11ea_8111_003048fd731b_7d28a356_7d94_11ea_8111_003048fd731b22.jpeg"/><Relationship Id="rId23" Type="http://schemas.openxmlformats.org/officeDocument/2006/relationships/image" Target="../media/77fc5a77_86a6_11e9_8101_003048fd731b_5922161b_11fe_11ef_a5b8_047c1617b14323.jpeg"/><Relationship Id="rId24" Type="http://schemas.openxmlformats.org/officeDocument/2006/relationships/image" Target="../media/77fc5a79_86a6_11e9_8101_003048fd731b_5922160f_11fe_11ef_a5b8_047c1617b14324.jpeg"/><Relationship Id="rId25" Type="http://schemas.openxmlformats.org/officeDocument/2006/relationships/image" Target="../media/77fc5a7b_86a6_11e9_8101_003048fd731b_59221610_11fe_11ef_a5b8_047c1617b14325.jpeg"/><Relationship Id="rId26" Type="http://schemas.openxmlformats.org/officeDocument/2006/relationships/image" Target="../media/77fc5a7d_86a6_11e9_8101_003048fd731b_59221613_11fe_11ef_a5b8_047c1617b14326.jpeg"/><Relationship Id="rId27" Type="http://schemas.openxmlformats.org/officeDocument/2006/relationships/image" Target="../media/77fc5a7f_86a6_11e9_8101_003048fd731b_5922161d_11fe_11ef_a5b8_047c1617b14327.jpeg"/><Relationship Id="rId28" Type="http://schemas.openxmlformats.org/officeDocument/2006/relationships/image" Target="../media/77fc5a81_86a6_11e9_8101_003048fd731b_a26f33f4_7c1e_11f0_a7a3_047c1617b14328.jpeg"/><Relationship Id="rId29" Type="http://schemas.openxmlformats.org/officeDocument/2006/relationships/image" Target="../media/77fc5a83_86a6_11e9_8101_003048fd731b_5922161c_11fe_11ef_a5b8_047c1617b14329.jpeg"/><Relationship Id="rId30" Type="http://schemas.openxmlformats.org/officeDocument/2006/relationships/image" Target="../media/77fc5a85_86a6_11e9_8101_003048fd731b_5922160c_11fe_11ef_a5b8_047c1617b14330.jpeg"/><Relationship Id="rId31" Type="http://schemas.openxmlformats.org/officeDocument/2006/relationships/image" Target="../media/e825a810_3767_11ea_810f_003048fd731b_5922160d_11fe_11ef_a5b8_047c1617b14331.jpeg"/><Relationship Id="rId32" Type="http://schemas.openxmlformats.org/officeDocument/2006/relationships/image" Target="../media/43258fd5_68f5_11ea_8111_003048fd731b_08fe4379_7ca2_11ea_8111_003048fd731b32.jpeg"/><Relationship Id="rId33" Type="http://schemas.openxmlformats.org/officeDocument/2006/relationships/image" Target="../media/a05f35f4_ce20_11eb_82ca_003048fd731b_a15553e5_602e_11ec_a20b_00259070b48733.jpeg"/><Relationship Id="rId34" Type="http://schemas.openxmlformats.org/officeDocument/2006/relationships/image" Target="../media/a05f35f6_ce20_11eb_82ca_003048fd731b_59221625_11fe_11ef_a5b8_047c1617b14334.jpeg"/><Relationship Id="rId35" Type="http://schemas.openxmlformats.org/officeDocument/2006/relationships/image" Target="../media/a05f35f8_ce20_11eb_82ca_003048fd731b_59221624_11fe_11ef_a5b8_047c1617b14335.jpeg"/><Relationship Id="rId36" Type="http://schemas.openxmlformats.org/officeDocument/2006/relationships/image" Target="../media/a05f35fa_ce20_11eb_82ca_003048fd731b_a15553e7_602e_11ec_a20b_00259070b48736.jpeg"/><Relationship Id="rId37" Type="http://schemas.openxmlformats.org/officeDocument/2006/relationships/image" Target="../media/a05f35fc_ce20_11eb_82ca_003048fd731b_a15553e8_602e_11ec_a20b_00259070b48737.jpeg"/><Relationship Id="rId38" Type="http://schemas.openxmlformats.org/officeDocument/2006/relationships/image" Target="../media/a05f35fe_ce20_11eb_82ca_003048fd731b_59221628_11fe_11ef_a5b8_047c1617b14338.jpeg"/><Relationship Id="rId39" Type="http://schemas.openxmlformats.org/officeDocument/2006/relationships/image" Target="../media/a05f3600_ce20_11eb_82ca_003048fd731b_a15553ea_602e_11ec_a20b_00259070b48739.jpeg"/><Relationship Id="rId40" Type="http://schemas.openxmlformats.org/officeDocument/2006/relationships/image" Target="../media/a05f3602_ce20_11eb_82ca_003048fd731b_a15553eb_602e_11ec_a20b_00259070b48740.jpeg"/><Relationship Id="rId41" Type="http://schemas.openxmlformats.org/officeDocument/2006/relationships/image" Target="../media/a05f3604_ce20_11eb_82ca_003048fd731b_a15553ec_602e_11ec_a20b_00259070b48741.jpeg"/><Relationship Id="rId42" Type="http://schemas.openxmlformats.org/officeDocument/2006/relationships/image" Target="../media/a05f3606_ce20_11eb_82ca_003048fd731b_a15553ed_602e_11ec_a20b_00259070b48742.jpeg"/><Relationship Id="rId43" Type="http://schemas.openxmlformats.org/officeDocument/2006/relationships/image" Target="../media/a05f3608_ce20_11eb_82ca_003048fd731b_a15553ee_602e_11ec_a20b_00259070b48743.jpeg"/><Relationship Id="rId44" Type="http://schemas.openxmlformats.org/officeDocument/2006/relationships/image" Target="../media/a05f360a_ce20_11eb_82ca_003048fd731b_a15553ef_602e_11ec_a20b_00259070b48744.jpeg"/><Relationship Id="rId45" Type="http://schemas.openxmlformats.org/officeDocument/2006/relationships/image" Target="../media/9e5408bc_9114_11ed_a3b7_047c1617b143_59221623_11fe_11ef_a5b8_047c1617b14345.jpeg"/><Relationship Id="rId46" Type="http://schemas.openxmlformats.org/officeDocument/2006/relationships/image" Target="../media/9e5408be_9114_11ed_a3b7_047c1617b143_5922161f_11fe_11ef_a5b8_047c1617b14346.jpeg"/><Relationship Id="rId47" Type="http://schemas.openxmlformats.org/officeDocument/2006/relationships/image" Target="../media/9e5408c0_9114_11ed_a3b7_047c1617b143_59221620_11fe_11ef_a5b8_047c1617b14347.jpeg"/><Relationship Id="rId48" Type="http://schemas.openxmlformats.org/officeDocument/2006/relationships/image" Target="../media/9e5408c2_9114_11ed_a3b7_047c1617b143_59221621_11fe_11ef_a5b8_047c1617b14348.jpeg"/><Relationship Id="rId49" Type="http://schemas.openxmlformats.org/officeDocument/2006/relationships/image" Target="../media/9e5408c4_9114_11ed_a3b7_047c1617b143_59221622_11fe_11ef_a5b8_047c1617b14349.jpeg"/><Relationship Id="rId50" Type="http://schemas.openxmlformats.org/officeDocument/2006/relationships/image" Target="../media/997aeb78_ce20_11eb_82ca_003048fd731b_a15553d8_602e_11ec_a20b_00259070b48750.jpeg"/><Relationship Id="rId51" Type="http://schemas.openxmlformats.org/officeDocument/2006/relationships/image" Target="../media/997aeb7a_ce20_11eb_82ca_003048fd731b_a15553d9_602e_11ec_a20b_00259070b48751.jpeg"/><Relationship Id="rId52" Type="http://schemas.openxmlformats.org/officeDocument/2006/relationships/image" Target="../media/997aeb7c_ce20_11eb_82ca_003048fd731b_a15553da_602e_11ec_a20b_00259070b48752.jpeg"/><Relationship Id="rId53" Type="http://schemas.openxmlformats.org/officeDocument/2006/relationships/image" Target="../media/997aeb7e_ce20_11eb_82ca_003048fd731b_a15553db_602e_11ec_a20b_00259070b48753.jpeg"/><Relationship Id="rId54" Type="http://schemas.openxmlformats.org/officeDocument/2006/relationships/image" Target="../media/997aeb80_ce20_11eb_82ca_003048fd731b_a15553dc_602e_11ec_a20b_00259070b48754.jpeg"/><Relationship Id="rId55" Type="http://schemas.openxmlformats.org/officeDocument/2006/relationships/image" Target="../media/997aeb82_ce20_11eb_82ca_003048fd731b_a15553dd_602e_11ec_a20b_00259070b48755.jpeg"/><Relationship Id="rId56" Type="http://schemas.openxmlformats.org/officeDocument/2006/relationships/image" Target="../media/997aeb84_ce20_11eb_82ca_003048fd731b_a15553de_602e_11ec_a20b_00259070b48756.jpeg"/><Relationship Id="rId57" Type="http://schemas.openxmlformats.org/officeDocument/2006/relationships/image" Target="../media/997aeb86_ce20_11eb_82ca_003048fd731b_a15553df_602e_11ec_a20b_00259070b48757.jpeg"/><Relationship Id="rId58" Type="http://schemas.openxmlformats.org/officeDocument/2006/relationships/image" Target="../media/997aeb88_ce20_11eb_82ca_003048fd731b_a15553e0_602e_11ec_a20b_00259070b48758.jpeg"/><Relationship Id="rId59" Type="http://schemas.openxmlformats.org/officeDocument/2006/relationships/image" Target="../media/997aeb8a_ce20_11eb_82ca_003048fd731b_a15553e1_602e_11ec_a20b_00259070b48759.jpeg"/><Relationship Id="rId60" Type="http://schemas.openxmlformats.org/officeDocument/2006/relationships/image" Target="../media/997aeb8c_ce20_11eb_82ca_003048fd731b_a15553e2_602e_11ec_a20b_00259070b48760.jpeg"/><Relationship Id="rId61" Type="http://schemas.openxmlformats.org/officeDocument/2006/relationships/image" Target="../media/997aeb8e_ce20_11eb_82ca_003048fd731b_a15553e3_602e_11ec_a20b_00259070b48761.jpeg"/><Relationship Id="rId62" Type="http://schemas.openxmlformats.org/officeDocument/2006/relationships/image" Target="../media/29b1cba1_3e5b_11ec_836e_003048fd731b_a15553e4_602e_11ec_a20b_00259070b48762.jpeg"/><Relationship Id="rId63" Type="http://schemas.openxmlformats.org/officeDocument/2006/relationships/image" Target="../media/2a13dee4_55f9_11ec_a208_00259070b487_aaacbe30_602e_11ec_a20b_00259070b48763.jpeg"/><Relationship Id="rId64" Type="http://schemas.openxmlformats.org/officeDocument/2006/relationships/image" Target="../media/2a13dee8_55f9_11ec_a208_00259070b487_aaacbe32_602e_11ec_a20b_00259070b48764.jpeg"/><Relationship Id="rId65" Type="http://schemas.openxmlformats.org/officeDocument/2006/relationships/image" Target="../media/0d5e411c_d31e_11ed_a411_047c1617b143_5922163a_11fe_11ef_a5b8_047c1617b14365.jpeg"/><Relationship Id="rId66" Type="http://schemas.openxmlformats.org/officeDocument/2006/relationships/image" Target="../media/a05f35b6_ce20_11eb_82ca_003048fd731b_5922166f_11fe_11ef_a5b8_047c1617b14366.jpeg"/><Relationship Id="rId67" Type="http://schemas.openxmlformats.org/officeDocument/2006/relationships/image" Target="../media/a05f35ba_ce20_11eb_82ca_003048fd731b_a15553f1_602e_11ec_a20b_00259070b48767.jpeg"/><Relationship Id="rId68" Type="http://schemas.openxmlformats.org/officeDocument/2006/relationships/image" Target="../media/a05f35c0_ce20_11eb_82ca_003048fd731b_59221668_11fe_11ef_a5b8_047c1617b14368.jpeg"/><Relationship Id="rId69" Type="http://schemas.openxmlformats.org/officeDocument/2006/relationships/image" Target="../media/a05f35c2_ce20_11eb_82ca_003048fd731b_5922166a_11fe_11ef_a5b8_047c1617b14369.jpeg"/><Relationship Id="rId70" Type="http://schemas.openxmlformats.org/officeDocument/2006/relationships/image" Target="../media/a05f35c4_ce20_11eb_82ca_003048fd731b_59221669_11fe_11ef_a5b8_047c1617b14370.jpeg"/><Relationship Id="rId71" Type="http://schemas.openxmlformats.org/officeDocument/2006/relationships/image" Target="../media/a05f35c6_ce20_11eb_82ca_003048fd731b_5922166c_11fe_11ef_a5b8_047c1617b14371.jpeg"/><Relationship Id="rId72" Type="http://schemas.openxmlformats.org/officeDocument/2006/relationships/image" Target="../media/29b1cba3_3e5b_11ec_836e_003048fd731b_59221664_11fe_11ef_a5b8_047c1617b14372.jpeg"/><Relationship Id="rId73" Type="http://schemas.openxmlformats.org/officeDocument/2006/relationships/image" Target="../media/29b1cba7_3e5b_11ec_836e_003048fd731b_59221663_11fe_11ef_a5b8_047c1617b14373.jpeg"/><Relationship Id="rId74" Type="http://schemas.openxmlformats.org/officeDocument/2006/relationships/image" Target="../media/29b1cbab_3e5b_11ec_836e_003048fd731b_59221666_11fe_11ef_a5b8_047c1617b14374.jpeg"/><Relationship Id="rId75" Type="http://schemas.openxmlformats.org/officeDocument/2006/relationships/image" Target="../media/29b1cbb1_3e5b_11ec_836e_003048fd731b_59221667_11fe_11ef_a5b8_047c1617b14375.jpeg"/><Relationship Id="rId76" Type="http://schemas.openxmlformats.org/officeDocument/2006/relationships/image" Target="../media/2a13deea_55f9_11ec_a208_00259070b487_5922166e_11fe_11ef_a5b8_047c1617b14376.jpeg"/><Relationship Id="rId77" Type="http://schemas.openxmlformats.org/officeDocument/2006/relationships/image" Target="../media/e825a802_3767_11ea_810f_003048fd731b_5922167a_11fe_11ef_a5b8_047c1617b14377.png"/><Relationship Id="rId78" Type="http://schemas.openxmlformats.org/officeDocument/2006/relationships/image" Target="../media/e825a804_3767_11ea_810f_003048fd731b_5922167e_11fe_11ef_a5b8_047c1617b14378.png"/><Relationship Id="rId79" Type="http://schemas.openxmlformats.org/officeDocument/2006/relationships/image" Target="../media/e825a806_3767_11ea_810f_003048fd731b_eed7e2e1_3767_11ea_810f_003048fd731b79.jpeg"/><Relationship Id="rId80" Type="http://schemas.openxmlformats.org/officeDocument/2006/relationships/image" Target="../media/e825a808_3767_11ea_810f_003048fd731b_59221677_11fe_11ef_a5b8_047c1617b14380.jpeg"/><Relationship Id="rId81" Type="http://schemas.openxmlformats.org/officeDocument/2006/relationships/image" Target="../media/6563d0c9_1094_11ec_8327_003048fd731b_a155542e_602e_11ec_a20b_00259070b48781.jpeg"/><Relationship Id="rId82" Type="http://schemas.openxmlformats.org/officeDocument/2006/relationships/image" Target="../media/29b1cbad_3e5b_11ec_836e_003048fd731b_59221684_11fe_11ef_a5b8_047c1617b14382.jpeg"/><Relationship Id="rId83" Type="http://schemas.openxmlformats.org/officeDocument/2006/relationships/image" Target="../media/29b1cbb3_3e5b_11ec_836e_003048fd731b_59221687_11fe_11ef_a5b8_047c1617b14383.jpeg"/><Relationship Id="rId84" Type="http://schemas.openxmlformats.org/officeDocument/2006/relationships/image" Target="../media/29b1cbb5_3e5b_11ec_836e_003048fd731b_59221686_11fe_11ef_a5b8_047c1617b14384.jpeg"/><Relationship Id="rId85" Type="http://schemas.openxmlformats.org/officeDocument/2006/relationships/image" Target="../media/9e5408b6_9114_11ed_a3b7_047c1617b143_59221682_11fe_11ef_a5b8_047c1617b14385.jpeg"/><Relationship Id="rId86" Type="http://schemas.openxmlformats.org/officeDocument/2006/relationships/image" Target="../media/997aeb90_ce20_11eb_82ca_003048fd731b_a1555423_602e_11ec_a20b_00259070b48786.jpeg"/><Relationship Id="rId87" Type="http://schemas.openxmlformats.org/officeDocument/2006/relationships/image" Target="../media/997aeb92_ce20_11eb_82ca_003048fd731b_a1555424_602e_11ec_a20b_00259070b48787.jpeg"/><Relationship Id="rId88" Type="http://schemas.openxmlformats.org/officeDocument/2006/relationships/image" Target="../media/a05f35b4_ce20_11eb_82ca_003048fd731b_a1555425_602e_11ec_a20b_00259070b48788.jpeg"/><Relationship Id="rId89" Type="http://schemas.openxmlformats.org/officeDocument/2006/relationships/image" Target="../media/a05f35b8_ce20_11eb_82ca_003048fd731b_a1555426_602e_11ec_a20b_00259070b48789.jpeg"/><Relationship Id="rId90" Type="http://schemas.openxmlformats.org/officeDocument/2006/relationships/image" Target="../media/a05f35bc_ce20_11eb_82ca_003048fd731b_a1555427_602e_11ec_a20b_00259070b48790.jpeg"/><Relationship Id="rId91" Type="http://schemas.openxmlformats.org/officeDocument/2006/relationships/image" Target="../media/a05f35be_ce20_11eb_82ca_003048fd731b_a1555428_602e_11ec_a20b_00259070b48791.jpeg"/><Relationship Id="rId92" Type="http://schemas.openxmlformats.org/officeDocument/2006/relationships/image" Target="../media/a05f35c8_ce20_11eb_82ca_003048fd731b_a1555429_602e_11ec_a20b_00259070b48792.jpeg"/><Relationship Id="rId93" Type="http://schemas.openxmlformats.org/officeDocument/2006/relationships/image" Target="../media/a05f35ca_ce20_11eb_82ca_003048fd731b_a155542a_602e_11ec_a20b_00259070b48793.jpeg"/><Relationship Id="rId94" Type="http://schemas.openxmlformats.org/officeDocument/2006/relationships/image" Target="../media/29b1cba5_3e5b_11ec_836e_003048fd731b_a155542b_602e_11ec_a20b_00259070b48794.jpeg"/><Relationship Id="rId95" Type="http://schemas.openxmlformats.org/officeDocument/2006/relationships/image" Target="../media/29b1cba9_3e5b_11ec_836e_003048fd731b_a155542c_602e_11ec_a20b_00259070b48795.jpeg"/><Relationship Id="rId96" Type="http://schemas.openxmlformats.org/officeDocument/2006/relationships/image" Target="../media/29b1cbaf_3e5b_11ec_836e_003048fd731b_a155542d_602e_11ec_a20b_00259070b48796.jpeg"/><Relationship Id="rId97" Type="http://schemas.openxmlformats.org/officeDocument/2006/relationships/image" Target="../media/2a13dee6_55f9_11ec_a208_00259070b487_aaacbe31_602e_11ec_a20b_00259070b48797.jpeg"/><Relationship Id="rId98" Type="http://schemas.openxmlformats.org/officeDocument/2006/relationships/image" Target="../media/a05f35cc_ce20_11eb_82ca_003048fd731b_59221633_11fe_11ef_a5b8_047c1617b14398.jpeg"/><Relationship Id="rId99" Type="http://schemas.openxmlformats.org/officeDocument/2006/relationships/image" Target="../media/a05f35ce_ce20_11eb_82ca_003048fd731b_59221634_11fe_11ef_a5b8_047c1617b14399.jpeg"/><Relationship Id="rId100" Type="http://schemas.openxmlformats.org/officeDocument/2006/relationships/image" Target="../media/a05f35d0_ce20_11eb_82ca_003048fd731b_59221636_11fe_11ef_a5b8_047c1617b143100.jpeg"/><Relationship Id="rId101" Type="http://schemas.openxmlformats.org/officeDocument/2006/relationships/image" Target="../media/a05f35d2_ce20_11eb_82ca_003048fd731b_59221637_11fe_11ef_a5b8_047c1617b143101.jpeg"/><Relationship Id="rId102" Type="http://schemas.openxmlformats.org/officeDocument/2006/relationships/image" Target="../media/6563d0c5_1094_11ec_8327_003048fd731b_59221635_11fe_11ef_a5b8_047c1617b143102.jpeg"/><Relationship Id="rId103" Type="http://schemas.openxmlformats.org/officeDocument/2006/relationships/image" Target="../media/6563d0c7_1094_11ec_8327_003048fd731b_59221638_11fe_11ef_a5b8_047c1617b143103.jpeg"/><Relationship Id="rId104" Type="http://schemas.openxmlformats.org/officeDocument/2006/relationships/image" Target="../media/ae0ac902_cdfe_11eb_82ca_003048fd731b_592216a0_11fe_11ef_a5b8_047c1617b143104.jpeg"/><Relationship Id="rId105" Type="http://schemas.openxmlformats.org/officeDocument/2006/relationships/image" Target="../media/ae0ac904_cdfe_11eb_82ca_003048fd731b_592216a2_11fe_11ef_a5b8_047c1617b143105.jpeg"/><Relationship Id="rId106" Type="http://schemas.openxmlformats.org/officeDocument/2006/relationships/image" Target="../media/ae0ac906_cdfe_11eb_82ca_003048fd731b_592216a6_11fe_11ef_a5b8_047c1617b143106.jpeg"/><Relationship Id="rId107" Type="http://schemas.openxmlformats.org/officeDocument/2006/relationships/image" Target="../media/ae0ac908_cdfe_11eb_82ca_003048fd731b_592216a8_11fe_11ef_a5b8_047c1617b143107.jpeg"/><Relationship Id="rId108" Type="http://schemas.openxmlformats.org/officeDocument/2006/relationships/image" Target="../media/ae0ac90a_cdfe_11eb_82ca_003048fd731b_592216ae_11fe_11ef_a5b8_047c1617b143108.jpeg"/><Relationship Id="rId109" Type="http://schemas.openxmlformats.org/officeDocument/2006/relationships/image" Target="../media/ae0ac90c_cdfe_11eb_82ca_003048fd731b_62fcdd9f_11fe_11ef_a5b8_047c1617b143109.jpeg"/><Relationship Id="rId110" Type="http://schemas.openxmlformats.org/officeDocument/2006/relationships/image" Target="../media/ae0ac90e_cdfe_11eb_82ca_003048fd731b_62fcdda1_11fe_11ef_a5b8_047c1617b143110.jpeg"/><Relationship Id="rId111" Type="http://schemas.openxmlformats.org/officeDocument/2006/relationships/image" Target="../media/ae0ac910_cdfe_11eb_82ca_003048fd731b_62fcdda3_11fe_11ef_a5b8_047c1617b143111.jpeg"/><Relationship Id="rId112" Type="http://schemas.openxmlformats.org/officeDocument/2006/relationships/image" Target="../media/ae0ac912_cdfe_11eb_82ca_003048fd731b_62fcdda5_11fe_11ef_a5b8_047c1617b143112.jpeg"/><Relationship Id="rId113" Type="http://schemas.openxmlformats.org/officeDocument/2006/relationships/image" Target="../media/ae0ac914_cdfe_11eb_82ca_003048fd731b_592216cc_11fe_11ef_a5b8_047c1617b143113.jpeg"/><Relationship Id="rId114" Type="http://schemas.openxmlformats.org/officeDocument/2006/relationships/image" Target="../media/ae0ac916_cdfe_11eb_82ca_003048fd731b_62fcddc1_11fe_11ef_a5b8_047c1617b143114.jpeg"/><Relationship Id="rId115" Type="http://schemas.openxmlformats.org/officeDocument/2006/relationships/image" Target="../media/ae0ac918_cdfe_11eb_82ca_003048fd731b_62fcddc3_11fe_11ef_a5b8_047c1617b143115.jpeg"/><Relationship Id="rId116" Type="http://schemas.openxmlformats.org/officeDocument/2006/relationships/image" Target="../media/ae0ac91a_cdfe_11eb_82ca_003048fd731b_62fcddc5_11fe_11ef_a5b8_047c1617b143116.jpeg"/><Relationship Id="rId117" Type="http://schemas.openxmlformats.org/officeDocument/2006/relationships/image" Target="../media/ae0ac91c_cdfe_11eb_82ca_003048fd731b_62fcddc7_11fe_11ef_a5b8_047c1617b143117.jpeg"/><Relationship Id="rId118" Type="http://schemas.openxmlformats.org/officeDocument/2006/relationships/image" Target="../media/ae0ac91e_cdfe_11eb_82ca_003048fd731b_62fcddc9_11fe_11ef_a5b8_047c1617b143118.jpeg"/><Relationship Id="rId119" Type="http://schemas.openxmlformats.org/officeDocument/2006/relationships/image" Target="../media/ae0ac920_cdfe_11eb_82ca_003048fd731b_62fcddcb_11fe_11ef_a5b8_047c1617b143119.jpeg"/><Relationship Id="rId120" Type="http://schemas.openxmlformats.org/officeDocument/2006/relationships/image" Target="../media/ae0ac922_cdfe_11eb_82ca_003048fd731b_592216b0_11fe_11ef_a5b8_047c1617b143120.jpeg"/><Relationship Id="rId121" Type="http://schemas.openxmlformats.org/officeDocument/2006/relationships/image" Target="../media/ae0ac924_cdfe_11eb_82ca_003048fd731b_592216b2_11fe_11ef_a5b8_047c1617b143121.jpeg"/><Relationship Id="rId122" Type="http://schemas.openxmlformats.org/officeDocument/2006/relationships/image" Target="../media/ae0ac926_cdfe_11eb_82ca_003048fd731b_592216b4_11fe_11ef_a5b8_047c1617b143122.jpeg"/><Relationship Id="rId123" Type="http://schemas.openxmlformats.org/officeDocument/2006/relationships/image" Target="../media/ae0ac928_cdfe_11eb_82ca_003048fd731b_592216b6_11fe_11ef_a5b8_047c1617b143123.jpeg"/><Relationship Id="rId124" Type="http://schemas.openxmlformats.org/officeDocument/2006/relationships/image" Target="../media/ae0ac92a_cdfe_11eb_82ca_003048fd731b_592216b8_11fe_11ef_a5b8_047c1617b143124.jpeg"/><Relationship Id="rId125" Type="http://schemas.openxmlformats.org/officeDocument/2006/relationships/image" Target="../media/ae0ac92c_cdfe_11eb_82ca_003048fd731b_592216ba_11fe_11ef_a5b8_047c1617b143125.jpeg"/><Relationship Id="rId126" Type="http://schemas.openxmlformats.org/officeDocument/2006/relationships/image" Target="../media/ae0ac92e_cdfe_11eb_82ca_003048fd731b_592216bc_11fe_11ef_a5b8_047c1617b143126.jpeg"/><Relationship Id="rId127" Type="http://schemas.openxmlformats.org/officeDocument/2006/relationships/image" Target="../media/ae0ac930_cdfe_11eb_82ca_003048fd731b_5922168e_11fe_11ef_a5b8_047c1617b143127.jpeg"/><Relationship Id="rId128" Type="http://schemas.openxmlformats.org/officeDocument/2006/relationships/image" Target="../media/ae0ac932_cdfe_11eb_82ca_003048fd731b_59221690_11fe_11ef_a5b8_047c1617b143128.jpeg"/><Relationship Id="rId129" Type="http://schemas.openxmlformats.org/officeDocument/2006/relationships/image" Target="../media/ae0ac934_cdfe_11eb_82ca_003048fd731b_62fcdda9_11fe_11ef_a5b8_047c1617b143129.jpeg"/><Relationship Id="rId130" Type="http://schemas.openxmlformats.org/officeDocument/2006/relationships/image" Target="../media/ae0ac936_cdfe_11eb_82ca_003048fd731b_62fcddab_11fe_11ef_a5b8_047c1617b143130.jpeg"/><Relationship Id="rId131" Type="http://schemas.openxmlformats.org/officeDocument/2006/relationships/image" Target="../media/ae0ac938_cdfe_11eb_82ca_003048fd731b_62fcddad_11fe_11ef_a5b8_047c1617b143131.jpeg"/><Relationship Id="rId132" Type="http://schemas.openxmlformats.org/officeDocument/2006/relationships/image" Target="../media/ae0ac93a_cdfe_11eb_82ca_003048fd731b_62fcddaf_11fe_11ef_a5b8_047c1617b143132.jpeg"/><Relationship Id="rId133" Type="http://schemas.openxmlformats.org/officeDocument/2006/relationships/image" Target="../media/997aeb54_ce20_11eb_82ca_003048fd731b_62fcddb1_11fe_11ef_a5b8_047c1617b143133.jpeg"/><Relationship Id="rId134" Type="http://schemas.openxmlformats.org/officeDocument/2006/relationships/image" Target="../media/997aeb56_ce20_11eb_82ca_003048fd731b_62fcddb3_11fe_11ef_a5b8_047c1617b143134.jpeg"/><Relationship Id="rId135" Type="http://schemas.openxmlformats.org/officeDocument/2006/relationships/image" Target="../media/997aeb58_ce20_11eb_82ca_003048fd731b_592216ce_11fe_11ef_a5b8_047c1617b143135.jpeg"/><Relationship Id="rId136" Type="http://schemas.openxmlformats.org/officeDocument/2006/relationships/image" Target="../media/997aeb5a_ce20_11eb_82ca_003048fd731b_592216d0_11fe_11ef_a5b8_047c1617b143136.jpeg"/><Relationship Id="rId137" Type="http://schemas.openxmlformats.org/officeDocument/2006/relationships/image" Target="../media/997aeb5c_ce20_11eb_82ca_003048fd731b_592216d2_11fe_11ef_a5b8_047c1617b143137.jpeg"/><Relationship Id="rId138" Type="http://schemas.openxmlformats.org/officeDocument/2006/relationships/image" Target="../media/997aeb5e_ce20_11eb_82ca_003048fd731b_62fcdd9d_11fe_11ef_a5b8_047c1617b143138.jpeg"/><Relationship Id="rId139" Type="http://schemas.openxmlformats.org/officeDocument/2006/relationships/image" Target="../media/997aeb60_ce20_11eb_82ca_003048fd731b_62fcddd7_11fe_11ef_a5b8_047c1617b143139.jpeg"/><Relationship Id="rId140" Type="http://schemas.openxmlformats.org/officeDocument/2006/relationships/image" Target="../media/997aeb62_ce20_11eb_82ca_003048fd731b_62fcddd9_11fe_11ef_a5b8_047c1617b143140.jpeg"/><Relationship Id="rId141" Type="http://schemas.openxmlformats.org/officeDocument/2006/relationships/image" Target="../media/997aeb64_ce20_11eb_82ca_003048fd731b_62fcdddb_11fe_11ef_a5b8_047c1617b143141.jpeg"/><Relationship Id="rId142" Type="http://schemas.openxmlformats.org/officeDocument/2006/relationships/image" Target="../media/997aeb66_ce20_11eb_82ca_003048fd731b_62fcdddd_11fe_11ef_a5b8_047c1617b143142.jpeg"/><Relationship Id="rId143" Type="http://schemas.openxmlformats.org/officeDocument/2006/relationships/image" Target="../media/997aeb68_ce20_11eb_82ca_003048fd731b_592216be_11fe_11ef_a5b8_047c1617b143143.jpeg"/><Relationship Id="rId144" Type="http://schemas.openxmlformats.org/officeDocument/2006/relationships/image" Target="../media/997aeb6a_ce20_11eb_82ca_003048fd731b_592216c0_11fe_11ef_a5b8_047c1617b143144.jpeg"/><Relationship Id="rId145" Type="http://schemas.openxmlformats.org/officeDocument/2006/relationships/image" Target="../media/997aeb6c_ce20_11eb_82ca_003048fd731b_592216c2_11fe_11ef_a5b8_047c1617b143145.jpeg"/><Relationship Id="rId146" Type="http://schemas.openxmlformats.org/officeDocument/2006/relationships/image" Target="../media/997aeb6e_ce20_11eb_82ca_003048fd731b_592216c4_11fe_11ef_a5b8_047c1617b143146.jpeg"/><Relationship Id="rId147" Type="http://schemas.openxmlformats.org/officeDocument/2006/relationships/image" Target="../media/997aeb70_ce20_11eb_82ca_003048fd731b_62fcddb5_11fe_11ef_a5b8_047c1617b143147.jpeg"/><Relationship Id="rId148" Type="http://schemas.openxmlformats.org/officeDocument/2006/relationships/image" Target="../media/997aeb72_ce20_11eb_82ca_003048fd731b_62fcddb7_11fe_11ef_a5b8_047c1617b143148.jpeg"/><Relationship Id="rId149" Type="http://schemas.openxmlformats.org/officeDocument/2006/relationships/image" Target="../media/997aeb74_ce20_11eb_82ca_003048fd731b_62fcddbb_11fe_11ef_a5b8_047c1617b143149.jpeg"/><Relationship Id="rId150" Type="http://schemas.openxmlformats.org/officeDocument/2006/relationships/image" Target="../media/997aeb76_ce20_11eb_82ca_003048fd731b_62fcddbd_11fe_11ef_a5b8_047c1617b143150.jpeg"/><Relationship Id="rId151" Type="http://schemas.openxmlformats.org/officeDocument/2006/relationships/image" Target="../media/2a13ded8_55f9_11ec_a208_00259070b487_592216aa_11fe_11ef_a5b8_047c1617b143151.jpeg"/><Relationship Id="rId152" Type="http://schemas.openxmlformats.org/officeDocument/2006/relationships/image" Target="../media/2a13deda_55f9_11ec_a208_00259070b487_62fcdda7_11fe_11ef_a5b8_047c1617b143152.jpeg"/><Relationship Id="rId153" Type="http://schemas.openxmlformats.org/officeDocument/2006/relationships/image" Target="../media/2a13dedc_55f9_11ec_a208_00259070b487_62fcdde0_11fe_11ef_a5b8_047c1617b143153.jpeg"/><Relationship Id="rId154" Type="http://schemas.openxmlformats.org/officeDocument/2006/relationships/image" Target="../media/2a13dede_55f9_11ec_a208_00259070b487_62fcdde1_11fe_11ef_a5b8_047c1617b143154.jpeg"/><Relationship Id="rId155" Type="http://schemas.openxmlformats.org/officeDocument/2006/relationships/image" Target="../media/2a13dee0_55f9_11ec_a208_00259070b487_62fcdde2_11fe_11ef_a5b8_047c1617b143155.jpeg"/><Relationship Id="rId156" Type="http://schemas.openxmlformats.org/officeDocument/2006/relationships/image" Target="../media/2a13dee2_55f9_11ec_a208_00259070b487_62fcddb9_11fe_11ef_a5b8_047c1617b143156.jpeg"/><Relationship Id="rId157" Type="http://schemas.openxmlformats.org/officeDocument/2006/relationships/image" Target="../media/acb0bedf_7c2b_11ec_a214_00259070b487_59221692_11fe_11ef_a5b8_047c1617b143157.jpeg"/><Relationship Id="rId158" Type="http://schemas.openxmlformats.org/officeDocument/2006/relationships/image" Target="../media/acb0bee1_7c2b_11ec_a214_00259070b487_59221694_11fe_11ef_a5b8_047c1617b143158.jpeg"/><Relationship Id="rId159" Type="http://schemas.openxmlformats.org/officeDocument/2006/relationships/image" Target="../media/acb0bee3_7c2b_11ec_a214_00259070b487_59221696_11fe_11ef_a5b8_047c1617b143159.jpeg"/><Relationship Id="rId160" Type="http://schemas.openxmlformats.org/officeDocument/2006/relationships/image" Target="../media/acb0bee5_7c2b_11ec_a214_00259070b487_59221698_11fe_11ef_a5b8_047c1617b143160.jpeg"/><Relationship Id="rId161" Type="http://schemas.openxmlformats.org/officeDocument/2006/relationships/image" Target="../media/acb0bee7_7c2b_11ec_a214_00259070b487_5922169a_11fe_11ef_a5b8_047c1617b143161.jpeg"/><Relationship Id="rId162" Type="http://schemas.openxmlformats.org/officeDocument/2006/relationships/image" Target="../media/acb0bee9_7c2b_11ec_a214_00259070b487_14e1e0c9_f93d_11ef_a6ea_047c1617b143162.jpeg"/><Relationship Id="rId163" Type="http://schemas.openxmlformats.org/officeDocument/2006/relationships/image" Target="../media/acb0beeb_7c2b_11ec_a214_00259070b487_62fcdddf_11fe_11ef_a5b8_047c1617b143163.jpeg"/><Relationship Id="rId164" Type="http://schemas.openxmlformats.org/officeDocument/2006/relationships/image" Target="../media/acb0beed_7c2b_11ec_a214_00259070b487_62fcdde3_11fe_11ef_a5b8_047c1617b143164.jpeg"/><Relationship Id="rId165" Type="http://schemas.openxmlformats.org/officeDocument/2006/relationships/image" Target="../media/adcdd9ab_05b7_11ee_a455_047c1617b143_5922169e_11fe_11ef_a5b8_047c1617b143165.jpeg"/><Relationship Id="rId166" Type="http://schemas.openxmlformats.org/officeDocument/2006/relationships/image" Target="../media/adcdd9ad_05b7_11ee_a455_047c1617b143_592216a4_11fe_11ef_a5b8_047c1617b143166.jpeg"/><Relationship Id="rId167" Type="http://schemas.openxmlformats.org/officeDocument/2006/relationships/image" Target="../media/adcdd9af_05b7_11ee_a455_047c1617b143_592216ac_11fe_11ef_a5b8_047c1617b143167.jpeg"/><Relationship Id="rId168" Type="http://schemas.openxmlformats.org/officeDocument/2006/relationships/image" Target="../media/77fc5a31_86a6_11e9_8101_003048fd731b_695c4511_11fe_11ef_a5b8_047c1617b143168.jpeg"/><Relationship Id="rId169" Type="http://schemas.openxmlformats.org/officeDocument/2006/relationships/image" Target="../media/77fc5a33_86a6_11e9_8101_003048fd731b_695c4515_11fe_11ef_a5b8_047c1617b143169.jpeg"/><Relationship Id="rId170" Type="http://schemas.openxmlformats.org/officeDocument/2006/relationships/image" Target="../media/77fc5a35_86a6_11e9_8101_003048fd731b_695c4519_11fe_11ef_a5b8_047c1617b143170.jpeg"/><Relationship Id="rId171" Type="http://schemas.openxmlformats.org/officeDocument/2006/relationships/image" Target="../media/77fc5a37_86a6_11e9_8101_003048fd731b_695c4525_11fe_11ef_a5b8_047c1617b143171.jpeg"/><Relationship Id="rId172" Type="http://schemas.openxmlformats.org/officeDocument/2006/relationships/image" Target="../media/77fc5a39_86a6_11e9_8101_003048fd731b_695c4521_11fe_11ef_a5b8_047c1617b143172.jpeg"/><Relationship Id="rId173" Type="http://schemas.openxmlformats.org/officeDocument/2006/relationships/image" Target="../media/77fc5a3b_86a6_11e9_8101_003048fd731b_695c451d_11fe_11ef_a5b8_047c1617b143173.jpeg"/><Relationship Id="rId174" Type="http://schemas.openxmlformats.org/officeDocument/2006/relationships/image" Target="../media/77fc5a3d_86a6_11e9_8101_003048fd731b_695c4529_11fe_11ef_a5b8_047c1617b143174.jpeg"/><Relationship Id="rId175" Type="http://schemas.openxmlformats.org/officeDocument/2006/relationships/image" Target="../media/77fc5a3f_86a6_11e9_8101_003048fd731b_695c452d_11fe_11ef_a5b8_047c1617b143175.jpeg"/><Relationship Id="rId176" Type="http://schemas.openxmlformats.org/officeDocument/2006/relationships/image" Target="../media/77fc5a41_86a6_11e9_8101_003048fd731b_695c4531_11fe_11ef_a5b8_047c1617b143176.jpeg"/><Relationship Id="rId177" Type="http://schemas.openxmlformats.org/officeDocument/2006/relationships/image" Target="../media/77fc5a43_86a6_11e9_8101_003048fd731b_695c4535_11fe_11ef_a5b8_047c1617b143177.jpeg"/><Relationship Id="rId178" Type="http://schemas.openxmlformats.org/officeDocument/2006/relationships/image" Target="../media/77fc5a45_86a6_11e9_8101_003048fd731b_62fcdde8_11fe_11ef_a5b8_047c1617b143178.jpeg"/><Relationship Id="rId179" Type="http://schemas.openxmlformats.org/officeDocument/2006/relationships/image" Target="../media/77fc5a47_86a6_11e9_8101_003048fd731b_62fcdde4_11fe_11ef_a5b8_047c1617b143179.jpeg"/><Relationship Id="rId180" Type="http://schemas.openxmlformats.org/officeDocument/2006/relationships/image" Target="../media/77fc5a4a_86a6_11e9_8101_003048fd731b_695c450d_11fe_11ef_a5b8_047c1617b143180.jpeg"/><Relationship Id="rId181" Type="http://schemas.openxmlformats.org/officeDocument/2006/relationships/image" Target="../media/a05f35d4_ce20_11eb_82ca_003048fd731b_a15553cc_602e_11ec_a20b_00259070b487181.jpeg"/><Relationship Id="rId182" Type="http://schemas.openxmlformats.org/officeDocument/2006/relationships/image" Target="../media/a05f35d6_ce20_11eb_82ca_003048fd731b_a15553cd_602e_11ec_a20b_00259070b487182.jpeg"/><Relationship Id="rId183" Type="http://schemas.openxmlformats.org/officeDocument/2006/relationships/image" Target="../media/a05f35d8_ce20_11eb_82ca_003048fd731b_a15553ce_602e_11ec_a20b_00259070b487183.jpeg"/><Relationship Id="rId184" Type="http://schemas.openxmlformats.org/officeDocument/2006/relationships/image" Target="../media/a05f35da_ce20_11eb_82ca_003048fd731b_a15553cf_602e_11ec_a20b_00259070b487184.jpeg"/><Relationship Id="rId185" Type="http://schemas.openxmlformats.org/officeDocument/2006/relationships/image" Target="../media/a05f35dc_ce20_11eb_82ca_003048fd731b_a15553d0_602e_11ec_a20b_00259070b487185.jpeg"/><Relationship Id="rId186" Type="http://schemas.openxmlformats.org/officeDocument/2006/relationships/image" Target="../media/a05f35de_ce20_11eb_82ca_003048fd731b_a15553d1_602e_11ec_a20b_00259070b487186.jpeg"/><Relationship Id="rId187" Type="http://schemas.openxmlformats.org/officeDocument/2006/relationships/image" Target="../media/c83f9ca6_f027_11eb_82fb_003048fd731b_62fcddff_11fe_11ef_a5b8_047c1617b143187.jpeg"/><Relationship Id="rId188" Type="http://schemas.openxmlformats.org/officeDocument/2006/relationships/image" Target="../media/c83f9ca8_f027_11eb_82fb_003048fd731b_62fcddfd_11fe_11ef_a5b8_047c1617b143188.jpeg"/><Relationship Id="rId189" Type="http://schemas.openxmlformats.org/officeDocument/2006/relationships/image" Target="../media/c83f9caa_f027_11eb_82fb_003048fd731b_62fcde03_11fe_11ef_a5b8_047c1617b143189.jpeg"/><Relationship Id="rId190" Type="http://schemas.openxmlformats.org/officeDocument/2006/relationships/image" Target="../media/c83f9cac_f027_11eb_82fb_003048fd731b_62fcde01_11fe_11ef_a5b8_047c1617b143190.jpeg"/><Relationship Id="rId191" Type="http://schemas.openxmlformats.org/officeDocument/2006/relationships/image" Target="../media/6563d0cb_1094_11ec_8327_003048fd731b_a15553d6_602e_11ec_a20b_00259070b487191.jpeg"/><Relationship Id="rId192" Type="http://schemas.openxmlformats.org/officeDocument/2006/relationships/image" Target="../media/6563d0cd_1094_11ec_8327_003048fd731b_a15553d7_602e_11ec_a20b_00259070b487192.jpeg"/><Relationship Id="rId193" Type="http://schemas.openxmlformats.org/officeDocument/2006/relationships/image" Target="../media/4c4fcfe5_66a3_11ed_a377_047c1617b143_62fcddfb_11fe_11ef_a5b8_047c1617b143193.jpeg"/><Relationship Id="rId194" Type="http://schemas.openxmlformats.org/officeDocument/2006/relationships/image" Target="../media/bde62654_091f_11eb_81b8_003048fd731b_62fcddec_11fe_11ef_a5b8_047c1617b143194.png"/><Relationship Id="rId195" Type="http://schemas.openxmlformats.org/officeDocument/2006/relationships/image" Target="../media/bde62656_091f_11eb_81b8_003048fd731b_a043d914_14ec_11eb_81c7_003048fd731b195.jpeg"/><Relationship Id="rId196" Type="http://schemas.openxmlformats.org/officeDocument/2006/relationships/image" Target="../media/f093110e_0c72_11ec_8321_003048fd731b_695c4544_11fe_11ef_a5b8_047c1617b143196.jpeg"/><Relationship Id="rId197" Type="http://schemas.openxmlformats.org/officeDocument/2006/relationships/image" Target="../media/f0931110_0c72_11ec_8321_003048fd731b_695c4548_11fe_11ef_a5b8_047c1617b143197.jpeg"/><Relationship Id="rId198" Type="http://schemas.openxmlformats.org/officeDocument/2006/relationships/image" Target="../media/f0931112_0c72_11ec_8321_003048fd731b_695c454c_11fe_11ef_a5b8_047c1617b143198.jpeg"/><Relationship Id="rId199" Type="http://schemas.openxmlformats.org/officeDocument/2006/relationships/image" Target="../media/f0931114_0c72_11ec_8321_003048fd731b_62fcdded_11fe_11ef_a5b8_047c1617b14319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6" name="Image_77" descr="Image_77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7" name="Image_78" descr="Image_78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8" name="Image_79" descr="Image_7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9" name="Image_80" descr="Image_8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0" name="Image_81" descr="Image_8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1" name="Image_82" descr="Image_8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5" name="Image_86" descr="Image_8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6" name="Image_87" descr="Image_87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7" name="Image_90" descr="Image_9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8" name="Image_91" descr="Image_9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447800"/>
    <xdr:pic>
      <xdr:nvPicPr>
        <xdr:cNvPr id="79" name="Image_92" descr="Image_92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0" name="Image_93" descr="Image_9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1" name="Image_95" descr="Image_9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2" name="Image_96" descr="Image_9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3" name="Image_97" descr="Image_9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4" name="Image_98" descr="Image_9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5" name="Image_99" descr="Image_9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6" name="Image_102" descr="Image_10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7" name="Image_103" descr="Image_10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8" name="Image_104" descr="Image_10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9" name="Image_105" descr="Image_10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0" name="Image_106" descr="Image_106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1" name="Image_107" descr="Image_10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2" name="Image_108" descr="Image_10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3" name="Image_109" descr="Image_10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4" name="Image_110" descr="Image_11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5" name="Image_111" descr="Image_11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6" name="Image_112" descr="Image_11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7" name="Image_113" descr="Image_11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8" name="Image_116" descr="Image_116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99" name="Image_117" descr="Image_117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0" name="Image_118" descr="Image_118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1" name="Image_119" descr="Image_119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2" name="Image_120" descr="Image_120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3" name="Image_121" descr="Image_121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4" name="Image_124" descr="Image_124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5" name="Image_125" descr="Image_125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6" name="Image_126" descr="Image_126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07" name="Image_127" descr="Image_127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08" name="Image_128" descr="Image_128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09" name="Image_129" descr="Image_129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0" name="Image_130" descr="Image_130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1" name="Image_131" descr="Image_131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2" name="Image_132" descr="Image_132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3" name="Image_133" descr="Image_133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4" name="Image_134" descr="Image_134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5" name="Image_135" descr="Image_135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6" name="Image_136" descr="Image_136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7" name="Image_137" descr="Image_137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8" name="Image_138" descr="Image_138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9" name="Image_139" descr="Image_139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0" name="Image_140" descr="Image_140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1" name="Image_141" descr="Image_141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2" name="Image_142" descr="Image_142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3" name="Image_143" descr="Image_143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4" name="Image_144" descr="Image_144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5" name="Image_145" descr="Image_145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6" name="Image_146" descr="Image_146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7" name="Image_147" descr="Image_147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8" name="Image_148" descr="Image_148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9" name="Image_149" descr="Image_149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0" name="Image_150" descr="Image_150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1" name="Image_151" descr="Image_151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2" name="Image_152" descr="Image_15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3" name="Image_153" descr="Image_15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4" name="Image_154" descr="Image_15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5" name="Image_155" descr="Image_155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6" name="Image_156" descr="Image_156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7" name="Image_157" descr="Image_157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8" name="Image_158" descr="Image_158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9" name="Image_159" descr="Image_159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0" name="Image_160" descr="Image_160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1" name="Image_161" descr="Image_16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2" name="Image_162" descr="Image_162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3" name="Image_163" descr="Image_163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4" name="Image_164" descr="Image_164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5" name="Image_165" descr="Image_165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6" name="Image_166" descr="Image_166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7" name="Image_167" descr="Image_167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8" name="Image_168" descr="Image_168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9" name="Image_169" descr="Image_169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0" name="Image_170" descr="Image_170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1" name="Image_171" descr="Image_17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2" name="Image_172" descr="Image_17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3" name="Image_173" descr="Image_17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4" name="Image_174" descr="Image_17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5" name="Image_175" descr="Image_17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6" name="Image_176" descr="Image_17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7" name="Image_177" descr="Image_17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8" name="Image_178" descr="Image_178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9" name="Image_179" descr="Image_179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0" name="Image_180" descr="Image_180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1" name="Image_181" descr="Image_181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2" name="Image_182" descr="Image_182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3" name="Image_183" descr="Image_183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4" name="Image_184" descr="Image_184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5" name="Image_185" descr="Image_185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6" name="Image_186" descr="Image_186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7" name="Image_187" descr="Image_187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8" name="Image_190" descr="Image_190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69" name="Image_191" descr="Image_191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0" name="Image_192" descr="Image_192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1" name="Image_193" descr="Image_193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2" name="Image_194" descr="Image_194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3" name="Image_195" descr="Image_195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4" name="Image_196" descr="Image_196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5" name="Image_197" descr="Image_197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6" name="Image_198" descr="Image_198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7" name="Image_199" descr="Image_199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8" name="Image_200" descr="Image_200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9" name="Image_201" descr="Image_201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0" name="Image_202" descr="Image_202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1" name="Image_204" descr="Image_20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2" name="Image_205" descr="Image_20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3" name="Image_206" descr="Image_20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4" name="Image_207" descr="Image_20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5" name="Image_208" descr="Image_20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6" name="Image_209" descr="Image_20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7" name="Image_210" descr="Image_21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8" name="Image_211" descr="Image_21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9" name="Image_212" descr="Image_21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0" name="Image_213" descr="Image_21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1" name="Image_214" descr="Image_21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2" name="Image_215" descr="Image_21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3" name="Image_216" descr="Image_21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4" name="Image_218" descr="Image_21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71575"/>
    <xdr:pic>
      <xdr:nvPicPr>
        <xdr:cNvPr id="195" name="Image_219" descr="Image_21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6" name="Image_220" descr="Image_22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7" name="Image_221" descr="Image_22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8" name="Image_222" descr="Image_22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9" name="Image_223" descr="Image_22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822262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J5*1037.00</f>
        <v>0</v>
      </c>
      <c r="L5" s="5"/>
    </row>
    <row r="6" spans="1:12" customHeight="1" ht="105" outlineLevel="4">
      <c r="A6" s="1"/>
      <c r="B6" s="1">
        <v>822263</v>
      </c>
      <c r="C6" s="1" t="s">
        <v>17</v>
      </c>
      <c r="D6" s="1"/>
      <c r="E6" s="2" t="s">
        <v>18</v>
      </c>
      <c r="F6" s="2" t="s">
        <v>19</v>
      </c>
      <c r="G6" s="2">
        <v>6</v>
      </c>
      <c r="H6" s="2">
        <v>0</v>
      </c>
      <c r="I6" s="1">
        <v>0</v>
      </c>
      <c r="J6" s="3" t="s">
        <v>16</v>
      </c>
      <c r="K6" s="2" t="str">
        <f>J6*1588.31</f>
        <v>0</v>
      </c>
      <c r="L6" s="5"/>
    </row>
    <row r="7" spans="1:12" customHeight="1" ht="105" outlineLevel="4">
      <c r="A7" s="1"/>
      <c r="B7" s="1">
        <v>826217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J7*1519.80</f>
        <v>0</v>
      </c>
      <c r="L7" s="5"/>
    </row>
    <row r="8" spans="1:12" customHeight="1" ht="105" outlineLevel="4">
      <c r="A8" s="1"/>
      <c r="B8" s="1">
        <v>826218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J8*1553.29</f>
        <v>0</v>
      </c>
      <c r="L8" s="5"/>
    </row>
    <row r="9" spans="1:12" customHeight="1" ht="105" outlineLevel="4">
      <c r="A9" s="1"/>
      <c r="B9" s="1">
        <v>826219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J9*1906.72</f>
        <v>0</v>
      </c>
      <c r="L9" s="5"/>
    </row>
    <row r="10" spans="1:12" customHeight="1" ht="105" outlineLevel="4">
      <c r="A10" s="1"/>
      <c r="B10" s="1">
        <v>826220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J10*1118.94</f>
        <v>0</v>
      </c>
      <c r="L10" s="5"/>
    </row>
    <row r="11" spans="1:12" customHeight="1" ht="105" outlineLevel="4">
      <c r="A11" s="1"/>
      <c r="B11" s="1">
        <v>826221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J11*0.00</f>
        <v>0</v>
      </c>
      <c r="L11" s="5"/>
    </row>
    <row r="12" spans="1:12" customHeight="1" ht="105" outlineLevel="4">
      <c r="A12" s="1"/>
      <c r="B12" s="1">
        <v>826222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J12*1260.04</f>
        <v>0</v>
      </c>
      <c r="L12" s="5"/>
    </row>
    <row r="13" spans="1:12" customHeight="1" ht="105" outlineLevel="4">
      <c r="A13" s="1"/>
      <c r="B13" s="1">
        <v>826223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J13*1181.50</f>
        <v>0</v>
      </c>
      <c r="L13" s="5"/>
    </row>
    <row r="14" spans="1:12" customHeight="1" ht="105" outlineLevel="4">
      <c r="A14" s="1"/>
      <c r="B14" s="1">
        <v>826224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J14*1081.71</f>
        <v>0</v>
      </c>
      <c r="L14" s="5"/>
    </row>
    <row r="15" spans="1:12" customHeight="1" ht="105" outlineLevel="4">
      <c r="A15" s="1"/>
      <c r="B15" s="1">
        <v>826225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J15*1017.28</f>
        <v>0</v>
      </c>
      <c r="L15" s="5"/>
    </row>
    <row r="16" spans="1:12" customHeight="1" ht="105" outlineLevel="4">
      <c r="A16" s="1"/>
      <c r="B16" s="1">
        <v>826226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J16*1417.46</f>
        <v>0</v>
      </c>
      <c r="L16" s="5"/>
    </row>
    <row r="17" spans="1:12" customHeight="1" ht="105" outlineLevel="4">
      <c r="A17" s="1"/>
      <c r="B17" s="1">
        <v>826227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J17*6650.74</f>
        <v>0</v>
      </c>
      <c r="L17" s="5"/>
    </row>
    <row r="18" spans="1:12" customHeight="1" ht="105" outlineLevel="4">
      <c r="A18" s="1"/>
      <c r="B18" s="1">
        <v>826228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J18*4651.18</f>
        <v>0</v>
      </c>
      <c r="L18" s="5"/>
    </row>
    <row r="19" spans="1:12" customHeight="1" ht="105" outlineLevel="4">
      <c r="A19" s="1"/>
      <c r="B19" s="1">
        <v>826229</v>
      </c>
      <c r="C19" s="1" t="s">
        <v>56</v>
      </c>
      <c r="D19" s="1"/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J19*4137.12</f>
        <v>0</v>
      </c>
      <c r="L19" s="5"/>
    </row>
    <row r="20" spans="1:12" customHeight="1" ht="105" outlineLevel="4">
      <c r="A20" s="1"/>
      <c r="B20" s="1">
        <v>826230</v>
      </c>
      <c r="C20" s="1" t="s">
        <v>59</v>
      </c>
      <c r="D20" s="1"/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J20*1229.27</f>
        <v>0</v>
      </c>
      <c r="L20" s="5"/>
    </row>
    <row r="21" spans="1:12" customHeight="1" ht="105" outlineLevel="4">
      <c r="A21" s="1"/>
      <c r="B21" s="1">
        <v>826231</v>
      </c>
      <c r="C21" s="1" t="s">
        <v>62</v>
      </c>
      <c r="D21" s="1"/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J21*3690.36</f>
        <v>0</v>
      </c>
      <c r="L21" s="5"/>
    </row>
    <row r="22" spans="1:12" customHeight="1" ht="105" outlineLevel="4">
      <c r="A22" s="1"/>
      <c r="B22" s="1">
        <v>826232</v>
      </c>
      <c r="C22" s="1" t="s">
        <v>65</v>
      </c>
      <c r="D22" s="1"/>
      <c r="E22" s="2" t="s">
        <v>66</v>
      </c>
      <c r="F22" s="2" t="s">
        <v>67</v>
      </c>
      <c r="G22" s="2">
        <v>0</v>
      </c>
      <c r="H22" s="2">
        <v>0</v>
      </c>
      <c r="I22" s="1">
        <v>0</v>
      </c>
      <c r="J22" s="3" t="s">
        <v>16</v>
      </c>
      <c r="K22" s="2" t="str">
        <f>J22*2077.91</f>
        <v>0</v>
      </c>
      <c r="L22" s="5"/>
    </row>
    <row r="23" spans="1:12" outlineLevel="2">
      <c r="A23" s="8" t="s">
        <v>68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customHeight="1" ht="105" outlineLevel="4">
      <c r="A24" s="1"/>
      <c r="B24" s="1">
        <v>822251</v>
      </c>
      <c r="C24" s="1" t="s">
        <v>69</v>
      </c>
      <c r="D24" s="1" t="s">
        <v>70</v>
      </c>
      <c r="E24" s="2" t="s">
        <v>71</v>
      </c>
      <c r="F24" s="2" t="s">
        <v>72</v>
      </c>
      <c r="G24" s="2">
        <v>3</v>
      </c>
      <c r="H24" s="2" t="s">
        <v>73</v>
      </c>
      <c r="I24" s="1">
        <v>0</v>
      </c>
      <c r="J24" s="3" t="s">
        <v>16</v>
      </c>
      <c r="K24" s="2" t="str">
        <f>J24*2828.00</f>
        <v>0</v>
      </c>
      <c r="L24" s="5"/>
    </row>
    <row r="25" spans="1:12" customHeight="1" ht="105" outlineLevel="4">
      <c r="A25" s="1"/>
      <c r="B25" s="1">
        <v>822252</v>
      </c>
      <c r="C25" s="1" t="s">
        <v>74</v>
      </c>
      <c r="D25" s="1" t="s">
        <v>75</v>
      </c>
      <c r="E25" s="2" t="s">
        <v>76</v>
      </c>
      <c r="F25" s="2" t="s">
        <v>77</v>
      </c>
      <c r="G25" s="2" t="s">
        <v>73</v>
      </c>
      <c r="H25" s="2" t="s">
        <v>78</v>
      </c>
      <c r="I25" s="1">
        <v>0</v>
      </c>
      <c r="J25" s="3" t="s">
        <v>16</v>
      </c>
      <c r="K25" s="2" t="str">
        <f>J25*654.00</f>
        <v>0</v>
      </c>
      <c r="L25" s="5"/>
    </row>
    <row r="26" spans="1:12" customHeight="1" ht="105" outlineLevel="4">
      <c r="A26" s="1"/>
      <c r="B26" s="1">
        <v>822253</v>
      </c>
      <c r="C26" s="1" t="s">
        <v>79</v>
      </c>
      <c r="D26" s="1" t="s">
        <v>80</v>
      </c>
      <c r="E26" s="2" t="s">
        <v>81</v>
      </c>
      <c r="F26" s="2" t="s">
        <v>82</v>
      </c>
      <c r="G26" s="2" t="s">
        <v>83</v>
      </c>
      <c r="H26" s="2" t="s">
        <v>84</v>
      </c>
      <c r="I26" s="1">
        <v>0</v>
      </c>
      <c r="J26" s="3" t="s">
        <v>16</v>
      </c>
      <c r="K26" s="2" t="str">
        <f>J26*697.00</f>
        <v>0</v>
      </c>
      <c r="L26" s="5"/>
    </row>
    <row r="27" spans="1:12" customHeight="1" ht="105" outlineLevel="4">
      <c r="A27" s="1"/>
      <c r="B27" s="1">
        <v>825485</v>
      </c>
      <c r="C27" s="1" t="s">
        <v>85</v>
      </c>
      <c r="D27" s="1" t="s">
        <v>86</v>
      </c>
      <c r="E27" s="2" t="s">
        <v>87</v>
      </c>
      <c r="F27" s="2" t="s">
        <v>88</v>
      </c>
      <c r="G27" s="2">
        <v>4</v>
      </c>
      <c r="H27" s="2" t="s">
        <v>89</v>
      </c>
      <c r="I27" s="1">
        <v>0</v>
      </c>
      <c r="J27" s="3" t="s">
        <v>16</v>
      </c>
      <c r="K27" s="2" t="str">
        <f>J27*2555.00</f>
        <v>0</v>
      </c>
      <c r="L27" s="5"/>
    </row>
    <row r="28" spans="1:12" outlineLevel="2">
      <c r="A28" s="8" t="s">
        <v>90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5"/>
    </row>
    <row r="29" spans="1:12" customHeight="1" ht="105" outlineLevel="4">
      <c r="A29" s="1"/>
      <c r="B29" s="1">
        <v>822254</v>
      </c>
      <c r="C29" s="1" t="s">
        <v>91</v>
      </c>
      <c r="D29" s="1" t="s">
        <v>92</v>
      </c>
      <c r="E29" s="2" t="s">
        <v>93</v>
      </c>
      <c r="F29" s="2" t="s">
        <v>94</v>
      </c>
      <c r="G29" s="2" t="s">
        <v>89</v>
      </c>
      <c r="H29" s="2">
        <v>0</v>
      </c>
      <c r="I29" s="1">
        <v>0</v>
      </c>
      <c r="J29" s="3" t="s">
        <v>16</v>
      </c>
      <c r="K29" s="2" t="str">
        <f>J29*348.08</f>
        <v>0</v>
      </c>
      <c r="L29" s="5"/>
    </row>
    <row r="30" spans="1:12" customHeight="1" ht="105" outlineLevel="4">
      <c r="A30" s="1"/>
      <c r="B30" s="1">
        <v>822255</v>
      </c>
      <c r="C30" s="1" t="s">
        <v>95</v>
      </c>
      <c r="D30" s="1" t="s">
        <v>96</v>
      </c>
      <c r="E30" s="2" t="s">
        <v>97</v>
      </c>
      <c r="F30" s="2" t="s">
        <v>98</v>
      </c>
      <c r="G30" s="2">
        <v>8</v>
      </c>
      <c r="H30" s="2">
        <v>0</v>
      </c>
      <c r="I30" s="1">
        <v>0</v>
      </c>
      <c r="J30" s="3" t="s">
        <v>16</v>
      </c>
      <c r="K30" s="2" t="str">
        <f>J30*2115.23</f>
        <v>0</v>
      </c>
      <c r="L30" s="5"/>
    </row>
    <row r="31" spans="1:12" customHeight="1" ht="105" outlineLevel="4">
      <c r="A31" s="1"/>
      <c r="B31" s="1">
        <v>822256</v>
      </c>
      <c r="C31" s="1" t="s">
        <v>99</v>
      </c>
      <c r="D31" s="1" t="s">
        <v>100</v>
      </c>
      <c r="E31" s="2" t="s">
        <v>101</v>
      </c>
      <c r="F31" s="2" t="s">
        <v>102</v>
      </c>
      <c r="G31" s="2">
        <v>5</v>
      </c>
      <c r="H31" s="2">
        <v>0</v>
      </c>
      <c r="I31" s="1">
        <v>0</v>
      </c>
      <c r="J31" s="3" t="s">
        <v>16</v>
      </c>
      <c r="K31" s="2" t="str">
        <f>J31*1835.58</f>
        <v>0</v>
      </c>
      <c r="L31" s="5"/>
    </row>
    <row r="32" spans="1:12" customHeight="1" ht="105" outlineLevel="4">
      <c r="A32" s="1"/>
      <c r="B32" s="1">
        <v>822257</v>
      </c>
      <c r="C32" s="1" t="s">
        <v>103</v>
      </c>
      <c r="D32" s="1" t="s">
        <v>104</v>
      </c>
      <c r="E32" s="2" t="s">
        <v>105</v>
      </c>
      <c r="F32" s="2" t="s">
        <v>106</v>
      </c>
      <c r="G32" s="2" t="s">
        <v>83</v>
      </c>
      <c r="H32" s="2">
        <v>0</v>
      </c>
      <c r="I32" s="1">
        <v>0</v>
      </c>
      <c r="J32" s="3" t="s">
        <v>16</v>
      </c>
      <c r="K32" s="2" t="str">
        <f>J32*684.25</f>
        <v>0</v>
      </c>
      <c r="L32" s="5"/>
    </row>
    <row r="33" spans="1:12" customHeight="1" ht="105" outlineLevel="4">
      <c r="A33" s="1"/>
      <c r="B33" s="1">
        <v>822258</v>
      </c>
      <c r="C33" s="1" t="s">
        <v>107</v>
      </c>
      <c r="D33" s="1" t="s">
        <v>108</v>
      </c>
      <c r="E33" s="2" t="s">
        <v>109</v>
      </c>
      <c r="F33" s="2" t="s">
        <v>110</v>
      </c>
      <c r="G33" s="2" t="s">
        <v>83</v>
      </c>
      <c r="H33" s="2">
        <v>0</v>
      </c>
      <c r="I33" s="1">
        <v>0</v>
      </c>
      <c r="J33" s="3" t="s">
        <v>16</v>
      </c>
      <c r="K33" s="2" t="str">
        <f>J33*446.25</f>
        <v>0</v>
      </c>
      <c r="L33" s="5"/>
    </row>
    <row r="34" spans="1:12" customHeight="1" ht="105" outlineLevel="4">
      <c r="A34" s="1"/>
      <c r="B34" s="1">
        <v>822259</v>
      </c>
      <c r="C34" s="1" t="s">
        <v>111</v>
      </c>
      <c r="D34" s="1" t="s">
        <v>112</v>
      </c>
      <c r="E34" s="2" t="s">
        <v>113</v>
      </c>
      <c r="F34" s="2" t="s">
        <v>114</v>
      </c>
      <c r="G34" s="2" t="s">
        <v>73</v>
      </c>
      <c r="H34" s="2">
        <v>0</v>
      </c>
      <c r="I34" s="1">
        <v>0</v>
      </c>
      <c r="J34" s="3" t="s">
        <v>16</v>
      </c>
      <c r="K34" s="2" t="str">
        <f>J34*412.04</f>
        <v>0</v>
      </c>
      <c r="L34" s="5"/>
    </row>
    <row r="35" spans="1:12" customHeight="1" ht="105" outlineLevel="4">
      <c r="A35" s="1"/>
      <c r="B35" s="1">
        <v>822260</v>
      </c>
      <c r="C35" s="1" t="s">
        <v>115</v>
      </c>
      <c r="D35" s="1" t="s">
        <v>116</v>
      </c>
      <c r="E35" s="2" t="s">
        <v>117</v>
      </c>
      <c r="F35" s="2" t="s">
        <v>118</v>
      </c>
      <c r="G35" s="2">
        <v>6</v>
      </c>
      <c r="H35" s="2">
        <v>0</v>
      </c>
      <c r="I35" s="1">
        <v>0</v>
      </c>
      <c r="J35" s="3" t="s">
        <v>16</v>
      </c>
      <c r="K35" s="2" t="str">
        <f>J35*776.48</f>
        <v>0</v>
      </c>
      <c r="L35" s="5"/>
    </row>
    <row r="36" spans="1:12" customHeight="1" ht="105" outlineLevel="4">
      <c r="A36" s="1"/>
      <c r="B36" s="1">
        <v>822261</v>
      </c>
      <c r="C36" s="1" t="s">
        <v>119</v>
      </c>
      <c r="D36" s="1" t="s">
        <v>120</v>
      </c>
      <c r="E36" s="2" t="s">
        <v>121</v>
      </c>
      <c r="F36" s="2" t="s">
        <v>122</v>
      </c>
      <c r="G36" s="2">
        <v>3</v>
      </c>
      <c r="H36" s="2">
        <v>0</v>
      </c>
      <c r="I36" s="1">
        <v>0</v>
      </c>
      <c r="J36" s="3" t="s">
        <v>16</v>
      </c>
      <c r="K36" s="2" t="str">
        <f>J36*2067.63</f>
        <v>0</v>
      </c>
      <c r="L36" s="5"/>
    </row>
    <row r="37" spans="1:12" customHeight="1" ht="105" outlineLevel="4">
      <c r="A37" s="1"/>
      <c r="B37" s="1">
        <v>825019</v>
      </c>
      <c r="C37" s="1" t="s">
        <v>123</v>
      </c>
      <c r="D37" s="1" t="s">
        <v>124</v>
      </c>
      <c r="E37" s="2" t="s">
        <v>125</v>
      </c>
      <c r="F37" s="2" t="s">
        <v>126</v>
      </c>
      <c r="G37" s="2">
        <v>0</v>
      </c>
      <c r="H37" s="2">
        <v>0</v>
      </c>
      <c r="I37" s="1">
        <v>0</v>
      </c>
      <c r="J37" s="3" t="s">
        <v>16</v>
      </c>
      <c r="K37" s="2" t="str">
        <f>J37*2278.85</f>
        <v>0</v>
      </c>
      <c r="L37" s="5"/>
    </row>
    <row r="38" spans="1:12" customHeight="1" ht="105" outlineLevel="4">
      <c r="A38" s="1"/>
      <c r="B38" s="1">
        <v>825408</v>
      </c>
      <c r="C38" s="1" t="s">
        <v>127</v>
      </c>
      <c r="D38" s="1" t="s">
        <v>128</v>
      </c>
      <c r="E38" s="2" t="s">
        <v>129</v>
      </c>
      <c r="F38" s="2" t="s">
        <v>130</v>
      </c>
      <c r="G38" s="2">
        <v>0</v>
      </c>
      <c r="H38" s="2">
        <v>0</v>
      </c>
      <c r="I38" s="1">
        <v>0</v>
      </c>
      <c r="J38" s="3" t="s">
        <v>16</v>
      </c>
      <c r="K38" s="2" t="str">
        <f>J38*413.53</f>
        <v>0</v>
      </c>
      <c r="L38" s="5"/>
    </row>
    <row r="39" spans="1:12" outlineLevel="2">
      <c r="A39" s="8" t="s">
        <v>131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833412</v>
      </c>
      <c r="C40" s="1" t="s">
        <v>132</v>
      </c>
      <c r="D40" s="1" t="s">
        <v>133</v>
      </c>
      <c r="E40" s="2" t="s">
        <v>134</v>
      </c>
      <c r="F40" s="2" t="s">
        <v>135</v>
      </c>
      <c r="G40" s="2">
        <v>8</v>
      </c>
      <c r="H40" s="2">
        <v>0</v>
      </c>
      <c r="I40" s="1">
        <v>0</v>
      </c>
      <c r="J40" s="3" t="s">
        <v>16</v>
      </c>
      <c r="K40" s="2" t="str">
        <f>J40*3534.62</f>
        <v>0</v>
      </c>
      <c r="L40" s="5"/>
    </row>
    <row r="41" spans="1:12" customHeight="1" ht="105" outlineLevel="4">
      <c r="A41" s="1"/>
      <c r="B41" s="1">
        <v>833413</v>
      </c>
      <c r="C41" s="1" t="s">
        <v>136</v>
      </c>
      <c r="D41" s="1" t="s">
        <v>137</v>
      </c>
      <c r="E41" s="2" t="s">
        <v>138</v>
      </c>
      <c r="F41" s="2" t="s">
        <v>139</v>
      </c>
      <c r="G41" s="2">
        <v>10</v>
      </c>
      <c r="H41" s="2">
        <v>0</v>
      </c>
      <c r="I41" s="1">
        <v>0</v>
      </c>
      <c r="J41" s="3" t="s">
        <v>16</v>
      </c>
      <c r="K41" s="2" t="str">
        <f>J41*3953.94</f>
        <v>0</v>
      </c>
      <c r="L41" s="5"/>
    </row>
    <row r="42" spans="1:12" customHeight="1" ht="105" outlineLevel="4">
      <c r="A42" s="1"/>
      <c r="B42" s="1">
        <v>833414</v>
      </c>
      <c r="C42" s="1" t="s">
        <v>140</v>
      </c>
      <c r="D42" s="1" t="s">
        <v>141</v>
      </c>
      <c r="E42" s="2" t="s">
        <v>142</v>
      </c>
      <c r="F42" s="2" t="s">
        <v>143</v>
      </c>
      <c r="G42" s="2">
        <v>10</v>
      </c>
      <c r="H42" s="2">
        <v>0</v>
      </c>
      <c r="I42" s="1">
        <v>0</v>
      </c>
      <c r="J42" s="3" t="s">
        <v>16</v>
      </c>
      <c r="K42" s="2" t="str">
        <f>J42*2848.56</f>
        <v>0</v>
      </c>
      <c r="L42" s="5"/>
    </row>
    <row r="43" spans="1:12" customHeight="1" ht="105" outlineLevel="4">
      <c r="A43" s="1"/>
      <c r="B43" s="1">
        <v>833415</v>
      </c>
      <c r="C43" s="1" t="s">
        <v>144</v>
      </c>
      <c r="D43" s="1" t="s">
        <v>145</v>
      </c>
      <c r="E43" s="2" t="s">
        <v>146</v>
      </c>
      <c r="F43" s="2" t="s">
        <v>147</v>
      </c>
      <c r="G43" s="2">
        <v>0</v>
      </c>
      <c r="H43" s="2">
        <v>0</v>
      </c>
      <c r="I43" s="1">
        <v>0</v>
      </c>
      <c r="J43" s="3" t="s">
        <v>16</v>
      </c>
      <c r="K43" s="2" t="str">
        <f>J43*2817.00</f>
        <v>0</v>
      </c>
      <c r="L43" s="5"/>
    </row>
    <row r="44" spans="1:12" customHeight="1" ht="105" outlineLevel="4">
      <c r="A44" s="1"/>
      <c r="B44" s="1">
        <v>833416</v>
      </c>
      <c r="C44" s="1" t="s">
        <v>148</v>
      </c>
      <c r="D44" s="1" t="s">
        <v>149</v>
      </c>
      <c r="E44" s="2" t="s">
        <v>150</v>
      </c>
      <c r="F44" s="2" t="s">
        <v>151</v>
      </c>
      <c r="G44" s="2" t="s">
        <v>83</v>
      </c>
      <c r="H44" s="2">
        <v>0</v>
      </c>
      <c r="I44" s="1">
        <v>0</v>
      </c>
      <c r="J44" s="3" t="s">
        <v>16</v>
      </c>
      <c r="K44" s="2" t="str">
        <f>J44*3164.40</f>
        <v>0</v>
      </c>
      <c r="L44" s="5"/>
    </row>
    <row r="45" spans="1:12" customHeight="1" ht="105" outlineLevel="4">
      <c r="A45" s="1"/>
      <c r="B45" s="1">
        <v>833417</v>
      </c>
      <c r="C45" s="1" t="s">
        <v>152</v>
      </c>
      <c r="D45" s="1" t="s">
        <v>153</v>
      </c>
      <c r="E45" s="2" t="s">
        <v>154</v>
      </c>
      <c r="F45" s="2" t="s">
        <v>155</v>
      </c>
      <c r="G45" s="2">
        <v>6</v>
      </c>
      <c r="H45" s="2">
        <v>0</v>
      </c>
      <c r="I45" s="1">
        <v>0</v>
      </c>
      <c r="J45" s="3" t="s">
        <v>16</v>
      </c>
      <c r="K45" s="2" t="str">
        <f>J45*3303.41</f>
        <v>0</v>
      </c>
      <c r="L45" s="5"/>
    </row>
    <row r="46" spans="1:12" customHeight="1" ht="105" outlineLevel="4">
      <c r="A46" s="1"/>
      <c r="B46" s="1">
        <v>833418</v>
      </c>
      <c r="C46" s="1" t="s">
        <v>156</v>
      </c>
      <c r="D46" s="1" t="s">
        <v>157</v>
      </c>
      <c r="E46" s="2" t="s">
        <v>158</v>
      </c>
      <c r="F46" s="2" t="s">
        <v>159</v>
      </c>
      <c r="G46" s="2">
        <v>0</v>
      </c>
      <c r="H46" s="2">
        <v>0</v>
      </c>
      <c r="I46" s="1">
        <v>0</v>
      </c>
      <c r="J46" s="3" t="s">
        <v>16</v>
      </c>
      <c r="K46" s="2" t="str">
        <f>J46*525.66</f>
        <v>0</v>
      </c>
      <c r="L46" s="5"/>
    </row>
    <row r="47" spans="1:12" customHeight="1" ht="105" outlineLevel="4">
      <c r="A47" s="1"/>
      <c r="B47" s="1">
        <v>833419</v>
      </c>
      <c r="C47" s="1" t="s">
        <v>160</v>
      </c>
      <c r="D47" s="1" t="s">
        <v>161</v>
      </c>
      <c r="E47" s="2" t="s">
        <v>162</v>
      </c>
      <c r="F47" s="2" t="s">
        <v>163</v>
      </c>
      <c r="G47" s="2" t="s">
        <v>73</v>
      </c>
      <c r="H47" s="2">
        <v>0</v>
      </c>
      <c r="I47" s="1">
        <v>0</v>
      </c>
      <c r="J47" s="3" t="s">
        <v>16</v>
      </c>
      <c r="K47" s="2" t="str">
        <f>J47*505.44</f>
        <v>0</v>
      </c>
      <c r="L47" s="5"/>
    </row>
    <row r="48" spans="1:12" customHeight="1" ht="105" outlineLevel="4">
      <c r="A48" s="1"/>
      <c r="B48" s="1">
        <v>833420</v>
      </c>
      <c r="C48" s="1" t="s">
        <v>164</v>
      </c>
      <c r="D48" s="1" t="s">
        <v>165</v>
      </c>
      <c r="E48" s="2" t="s">
        <v>166</v>
      </c>
      <c r="F48" s="2" t="s">
        <v>167</v>
      </c>
      <c r="G48" s="2">
        <v>0</v>
      </c>
      <c r="H48" s="2">
        <v>0</v>
      </c>
      <c r="I48" s="1">
        <v>0</v>
      </c>
      <c r="J48" s="3" t="s">
        <v>16</v>
      </c>
      <c r="K48" s="2" t="str">
        <f>J48*471.74</f>
        <v>0</v>
      </c>
      <c r="L48" s="5"/>
    </row>
    <row r="49" spans="1:12" customHeight="1" ht="105" outlineLevel="4">
      <c r="A49" s="1"/>
      <c r="B49" s="1">
        <v>833421</v>
      </c>
      <c r="C49" s="1" t="s">
        <v>168</v>
      </c>
      <c r="D49" s="1" t="s">
        <v>169</v>
      </c>
      <c r="E49" s="2" t="s">
        <v>170</v>
      </c>
      <c r="F49" s="2" t="s">
        <v>171</v>
      </c>
      <c r="G49" s="2">
        <v>0</v>
      </c>
      <c r="H49" s="2">
        <v>0</v>
      </c>
      <c r="I49" s="1">
        <v>0</v>
      </c>
      <c r="J49" s="3" t="s">
        <v>16</v>
      </c>
      <c r="K49" s="2" t="str">
        <f>J49*663.12</f>
        <v>0</v>
      </c>
      <c r="L49" s="5"/>
    </row>
    <row r="50" spans="1:12" customHeight="1" ht="105" outlineLevel="4">
      <c r="A50" s="1"/>
      <c r="B50" s="1">
        <v>833422</v>
      </c>
      <c r="C50" s="1" t="s">
        <v>172</v>
      </c>
      <c r="D50" s="1" t="s">
        <v>173</v>
      </c>
      <c r="E50" s="2" t="s">
        <v>174</v>
      </c>
      <c r="F50" s="2" t="s">
        <v>175</v>
      </c>
      <c r="G50" s="2" t="s">
        <v>83</v>
      </c>
      <c r="H50" s="2">
        <v>0</v>
      </c>
      <c r="I50" s="1">
        <v>0</v>
      </c>
      <c r="J50" s="3" t="s">
        <v>16</v>
      </c>
      <c r="K50" s="2" t="str">
        <f>J50*595.45</f>
        <v>0</v>
      </c>
      <c r="L50" s="5"/>
    </row>
    <row r="51" spans="1:12" customHeight="1" ht="105" outlineLevel="4">
      <c r="A51" s="1"/>
      <c r="B51" s="1">
        <v>833423</v>
      </c>
      <c r="C51" s="1" t="s">
        <v>176</v>
      </c>
      <c r="D51" s="1" t="s">
        <v>177</v>
      </c>
      <c r="E51" s="2" t="s">
        <v>178</v>
      </c>
      <c r="F51" s="2" t="s">
        <v>179</v>
      </c>
      <c r="G51" s="2" t="s">
        <v>73</v>
      </c>
      <c r="H51" s="2">
        <v>0</v>
      </c>
      <c r="I51" s="1">
        <v>0</v>
      </c>
      <c r="J51" s="3" t="s">
        <v>16</v>
      </c>
      <c r="K51" s="2" t="str">
        <f>J51*670.41</f>
        <v>0</v>
      </c>
      <c r="L51" s="5"/>
    </row>
    <row r="52" spans="1:12" customHeight="1" ht="105" outlineLevel="4">
      <c r="A52" s="1"/>
      <c r="B52" s="1">
        <v>873443</v>
      </c>
      <c r="C52" s="1" t="s">
        <v>180</v>
      </c>
      <c r="D52" s="1" t="s">
        <v>181</v>
      </c>
      <c r="E52" s="2" t="s">
        <v>182</v>
      </c>
      <c r="F52" s="2" t="s">
        <v>183</v>
      </c>
      <c r="G52" s="2">
        <v>-8</v>
      </c>
      <c r="H52" s="2">
        <v>0</v>
      </c>
      <c r="I52" s="1">
        <v>0</v>
      </c>
      <c r="J52" s="3" t="s">
        <v>16</v>
      </c>
      <c r="K52" s="2" t="str">
        <f>J52*114.25</f>
        <v>0</v>
      </c>
      <c r="L52" s="5"/>
    </row>
    <row r="53" spans="1:12" customHeight="1" ht="105" outlineLevel="4">
      <c r="A53" s="1"/>
      <c r="B53" s="1">
        <v>873444</v>
      </c>
      <c r="C53" s="1" t="s">
        <v>184</v>
      </c>
      <c r="D53" s="1" t="s">
        <v>185</v>
      </c>
      <c r="E53" s="2" t="s">
        <v>186</v>
      </c>
      <c r="F53" s="2" t="s">
        <v>187</v>
      </c>
      <c r="G53" s="2">
        <v>0</v>
      </c>
      <c r="H53" s="2">
        <v>0</v>
      </c>
      <c r="I53" s="1">
        <v>0</v>
      </c>
      <c r="J53" s="3" t="s">
        <v>16</v>
      </c>
      <c r="K53" s="2" t="str">
        <f>J53*994.36</f>
        <v>0</v>
      </c>
      <c r="L53" s="5"/>
    </row>
    <row r="54" spans="1:12" customHeight="1" ht="105" outlineLevel="4">
      <c r="A54" s="1"/>
      <c r="B54" s="1">
        <v>873445</v>
      </c>
      <c r="C54" s="1" t="s">
        <v>188</v>
      </c>
      <c r="D54" s="1" t="s">
        <v>189</v>
      </c>
      <c r="E54" s="2" t="s">
        <v>190</v>
      </c>
      <c r="F54" s="2" t="s">
        <v>187</v>
      </c>
      <c r="G54" s="2">
        <v>0</v>
      </c>
      <c r="H54" s="2">
        <v>0</v>
      </c>
      <c r="I54" s="1">
        <v>0</v>
      </c>
      <c r="J54" s="3" t="s">
        <v>16</v>
      </c>
      <c r="K54" s="2" t="str">
        <f>J54*994.36</f>
        <v>0</v>
      </c>
      <c r="L54" s="5"/>
    </row>
    <row r="55" spans="1:12" customHeight="1" ht="105" outlineLevel="4">
      <c r="A55" s="1"/>
      <c r="B55" s="1">
        <v>873446</v>
      </c>
      <c r="C55" s="1" t="s">
        <v>191</v>
      </c>
      <c r="D55" s="1" t="s">
        <v>192</v>
      </c>
      <c r="E55" s="2" t="s">
        <v>193</v>
      </c>
      <c r="F55" s="2" t="s">
        <v>187</v>
      </c>
      <c r="G55" s="2">
        <v>0</v>
      </c>
      <c r="H55" s="2">
        <v>0</v>
      </c>
      <c r="I55" s="1">
        <v>0</v>
      </c>
      <c r="J55" s="3" t="s">
        <v>16</v>
      </c>
      <c r="K55" s="2" t="str">
        <f>J55*994.36</f>
        <v>0</v>
      </c>
      <c r="L55" s="5"/>
    </row>
    <row r="56" spans="1:12" customHeight="1" ht="105" outlineLevel="4">
      <c r="A56" s="1"/>
      <c r="B56" s="1">
        <v>873447</v>
      </c>
      <c r="C56" s="1" t="s">
        <v>194</v>
      </c>
      <c r="D56" s="1" t="s">
        <v>195</v>
      </c>
      <c r="E56" s="2" t="s">
        <v>196</v>
      </c>
      <c r="F56" s="2" t="s">
        <v>187</v>
      </c>
      <c r="G56" s="2">
        <v>0</v>
      </c>
      <c r="H56" s="2">
        <v>0</v>
      </c>
      <c r="I56" s="1">
        <v>0</v>
      </c>
      <c r="J56" s="3" t="s">
        <v>16</v>
      </c>
      <c r="K56" s="2" t="str">
        <f>J56*994.36</f>
        <v>0</v>
      </c>
      <c r="L56" s="5"/>
    </row>
    <row r="57" spans="1:12" outlineLevel="1">
      <c r="A57" s="7" t="s">
        <v>197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5"/>
    </row>
    <row r="58" spans="1:12" outlineLevel="2">
      <c r="A58" s="8" t="s">
        <v>198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5"/>
    </row>
    <row r="59" spans="1:12" customHeight="1" ht="105" outlineLevel="4">
      <c r="A59" s="1"/>
      <c r="B59" s="1">
        <v>833378</v>
      </c>
      <c r="C59" s="1" t="s">
        <v>199</v>
      </c>
      <c r="D59" s="1" t="s">
        <v>200</v>
      </c>
      <c r="E59" s="2" t="s">
        <v>201</v>
      </c>
      <c r="F59" s="2" t="s">
        <v>202</v>
      </c>
      <c r="G59" s="2">
        <v>5</v>
      </c>
      <c r="H59" s="2">
        <v>0</v>
      </c>
      <c r="I59" s="1">
        <v>0</v>
      </c>
      <c r="J59" s="3" t="s">
        <v>16</v>
      </c>
      <c r="K59" s="2" t="str">
        <f>J59*9665.93</f>
        <v>0</v>
      </c>
      <c r="L59" s="5"/>
    </row>
    <row r="60" spans="1:12" customHeight="1" ht="105" outlineLevel="4">
      <c r="A60" s="1"/>
      <c r="B60" s="1">
        <v>833379</v>
      </c>
      <c r="C60" s="1" t="s">
        <v>203</v>
      </c>
      <c r="D60" s="1" t="s">
        <v>204</v>
      </c>
      <c r="E60" s="2" t="s">
        <v>205</v>
      </c>
      <c r="F60" s="2" t="s">
        <v>206</v>
      </c>
      <c r="G60" s="2">
        <v>5</v>
      </c>
      <c r="H60" s="2">
        <v>0</v>
      </c>
      <c r="I60" s="1">
        <v>0</v>
      </c>
      <c r="J60" s="3" t="s">
        <v>16</v>
      </c>
      <c r="K60" s="2" t="str">
        <f>J60*12713.13</f>
        <v>0</v>
      </c>
      <c r="L60" s="5"/>
    </row>
    <row r="61" spans="1:12" customHeight="1" ht="105" outlineLevel="4">
      <c r="A61" s="1"/>
      <c r="B61" s="1">
        <v>833380</v>
      </c>
      <c r="C61" s="1" t="s">
        <v>207</v>
      </c>
      <c r="D61" s="1" t="s">
        <v>208</v>
      </c>
      <c r="E61" s="2" t="s">
        <v>209</v>
      </c>
      <c r="F61" s="2" t="s">
        <v>210</v>
      </c>
      <c r="G61" s="2">
        <v>2</v>
      </c>
      <c r="H61" s="2">
        <v>0</v>
      </c>
      <c r="I61" s="1">
        <v>0</v>
      </c>
      <c r="J61" s="3" t="s">
        <v>16</v>
      </c>
      <c r="K61" s="2" t="str">
        <f>J61*13658.55</f>
        <v>0</v>
      </c>
      <c r="L61" s="5"/>
    </row>
    <row r="62" spans="1:12" customHeight="1" ht="105" outlineLevel="4">
      <c r="A62" s="1"/>
      <c r="B62" s="1">
        <v>833381</v>
      </c>
      <c r="C62" s="1" t="s">
        <v>211</v>
      </c>
      <c r="D62" s="1" t="s">
        <v>212</v>
      </c>
      <c r="E62" s="2" t="s">
        <v>213</v>
      </c>
      <c r="F62" s="2" t="s">
        <v>214</v>
      </c>
      <c r="G62" s="2">
        <v>2</v>
      </c>
      <c r="H62" s="2">
        <v>0</v>
      </c>
      <c r="I62" s="1">
        <v>0</v>
      </c>
      <c r="J62" s="3" t="s">
        <v>16</v>
      </c>
      <c r="K62" s="2" t="str">
        <f>J62*15276.13</f>
        <v>0</v>
      </c>
      <c r="L62" s="5"/>
    </row>
    <row r="63" spans="1:12" customHeight="1" ht="105" outlineLevel="4">
      <c r="A63" s="1"/>
      <c r="B63" s="1">
        <v>833382</v>
      </c>
      <c r="C63" s="1" t="s">
        <v>215</v>
      </c>
      <c r="D63" s="1" t="s">
        <v>216</v>
      </c>
      <c r="E63" s="2" t="s">
        <v>217</v>
      </c>
      <c r="F63" s="2" t="s">
        <v>218</v>
      </c>
      <c r="G63" s="2">
        <v>1</v>
      </c>
      <c r="H63" s="2">
        <v>0</v>
      </c>
      <c r="I63" s="1">
        <v>0</v>
      </c>
      <c r="J63" s="3" t="s">
        <v>16</v>
      </c>
      <c r="K63" s="2" t="str">
        <f>J63*18801.39</f>
        <v>0</v>
      </c>
      <c r="L63" s="5"/>
    </row>
    <row r="64" spans="1:12" customHeight="1" ht="105" outlineLevel="4">
      <c r="A64" s="1"/>
      <c r="B64" s="1">
        <v>833383</v>
      </c>
      <c r="C64" s="1" t="s">
        <v>219</v>
      </c>
      <c r="D64" s="1" t="s">
        <v>220</v>
      </c>
      <c r="E64" s="2" t="s">
        <v>221</v>
      </c>
      <c r="F64" s="2" t="s">
        <v>222</v>
      </c>
      <c r="G64" s="2">
        <v>3</v>
      </c>
      <c r="H64" s="2">
        <v>0</v>
      </c>
      <c r="I64" s="1">
        <v>0</v>
      </c>
      <c r="J64" s="3" t="s">
        <v>16</v>
      </c>
      <c r="K64" s="2" t="str">
        <f>J64*9839.12</f>
        <v>0</v>
      </c>
      <c r="L64" s="5"/>
    </row>
    <row r="65" spans="1:12" customHeight="1" ht="105" outlineLevel="4">
      <c r="A65" s="1"/>
      <c r="B65" s="1">
        <v>833384</v>
      </c>
      <c r="C65" s="1" t="s">
        <v>223</v>
      </c>
      <c r="D65" s="1" t="s">
        <v>224</v>
      </c>
      <c r="E65" s="2" t="s">
        <v>225</v>
      </c>
      <c r="F65" s="2" t="s">
        <v>226</v>
      </c>
      <c r="G65" s="2">
        <v>0</v>
      </c>
      <c r="H65" s="2">
        <v>0</v>
      </c>
      <c r="I65" s="1">
        <v>0</v>
      </c>
      <c r="J65" s="3" t="s">
        <v>16</v>
      </c>
      <c r="K65" s="2" t="str">
        <f>J65*4061.23</f>
        <v>0</v>
      </c>
      <c r="L65" s="5"/>
    </row>
    <row r="66" spans="1:12" customHeight="1" ht="105" outlineLevel="4">
      <c r="A66" s="1"/>
      <c r="B66" s="1">
        <v>833385</v>
      </c>
      <c r="C66" s="1" t="s">
        <v>227</v>
      </c>
      <c r="D66" s="1" t="s">
        <v>228</v>
      </c>
      <c r="E66" s="2" t="s">
        <v>229</v>
      </c>
      <c r="F66" s="2" t="s">
        <v>230</v>
      </c>
      <c r="G66" s="2">
        <v>0</v>
      </c>
      <c r="H66" s="2">
        <v>0</v>
      </c>
      <c r="I66" s="1">
        <v>0</v>
      </c>
      <c r="J66" s="3" t="s">
        <v>16</v>
      </c>
      <c r="K66" s="2" t="str">
        <f>J66*4295.42</f>
        <v>0</v>
      </c>
      <c r="L66" s="5"/>
    </row>
    <row r="67" spans="1:12" customHeight="1" ht="105" outlineLevel="4">
      <c r="A67" s="1"/>
      <c r="B67" s="1">
        <v>833386</v>
      </c>
      <c r="C67" s="1" t="s">
        <v>231</v>
      </c>
      <c r="D67" s="1" t="s">
        <v>232</v>
      </c>
      <c r="E67" s="2" t="s">
        <v>233</v>
      </c>
      <c r="F67" s="2" t="s">
        <v>234</v>
      </c>
      <c r="G67" s="2">
        <v>1</v>
      </c>
      <c r="H67" s="2">
        <v>0</v>
      </c>
      <c r="I67" s="1">
        <v>0</v>
      </c>
      <c r="J67" s="3" t="s">
        <v>16</v>
      </c>
      <c r="K67" s="2" t="str">
        <f>J67*4774.85</f>
        <v>0</v>
      </c>
      <c r="L67" s="5"/>
    </row>
    <row r="68" spans="1:12" customHeight="1" ht="105" outlineLevel="4">
      <c r="A68" s="1"/>
      <c r="B68" s="1">
        <v>833387</v>
      </c>
      <c r="C68" s="1" t="s">
        <v>235</v>
      </c>
      <c r="D68" s="1" t="s">
        <v>236</v>
      </c>
      <c r="E68" s="2" t="s">
        <v>237</v>
      </c>
      <c r="F68" s="2" t="s">
        <v>238</v>
      </c>
      <c r="G68" s="2">
        <v>0</v>
      </c>
      <c r="H68" s="2">
        <v>0</v>
      </c>
      <c r="I68" s="1">
        <v>0</v>
      </c>
      <c r="J68" s="3" t="s">
        <v>16</v>
      </c>
      <c r="K68" s="2" t="str">
        <f>J68*4298.61</f>
        <v>0</v>
      </c>
      <c r="L68" s="5"/>
    </row>
    <row r="69" spans="1:12" customHeight="1" ht="105" outlineLevel="4">
      <c r="A69" s="1"/>
      <c r="B69" s="1">
        <v>833388</v>
      </c>
      <c r="C69" s="1" t="s">
        <v>239</v>
      </c>
      <c r="D69" s="1" t="s">
        <v>240</v>
      </c>
      <c r="E69" s="2" t="s">
        <v>241</v>
      </c>
      <c r="F69" s="2" t="s">
        <v>242</v>
      </c>
      <c r="G69" s="2">
        <v>9</v>
      </c>
      <c r="H69" s="2">
        <v>0</v>
      </c>
      <c r="I69" s="1">
        <v>8</v>
      </c>
      <c r="J69" s="3" t="s">
        <v>16</v>
      </c>
      <c r="K69" s="2" t="str">
        <f>J69*4686.71</f>
        <v>0</v>
      </c>
      <c r="L69" s="5"/>
    </row>
    <row r="70" spans="1:12" customHeight="1" ht="105" outlineLevel="4">
      <c r="A70" s="1"/>
      <c r="B70" s="1">
        <v>833389</v>
      </c>
      <c r="C70" s="1" t="s">
        <v>243</v>
      </c>
      <c r="D70" s="1" t="s">
        <v>244</v>
      </c>
      <c r="E70" s="2" t="s">
        <v>245</v>
      </c>
      <c r="F70" s="2" t="s">
        <v>246</v>
      </c>
      <c r="G70" s="2">
        <v>0</v>
      </c>
      <c r="H70" s="2">
        <v>0</v>
      </c>
      <c r="I70" s="1">
        <v>0</v>
      </c>
      <c r="J70" s="3" t="s">
        <v>16</v>
      </c>
      <c r="K70" s="2" t="str">
        <f>J70*5182.98</f>
        <v>0</v>
      </c>
      <c r="L70" s="5"/>
    </row>
    <row r="71" spans="1:12" customHeight="1" ht="105" outlineLevel="4">
      <c r="A71" s="1"/>
      <c r="B71" s="1">
        <v>837269</v>
      </c>
      <c r="C71" s="1" t="s">
        <v>247</v>
      </c>
      <c r="D71" s="1" t="s">
        <v>248</v>
      </c>
      <c r="E71" s="2" t="s">
        <v>249</v>
      </c>
      <c r="F71" s="2" t="s">
        <v>250</v>
      </c>
      <c r="G71" s="2">
        <v>1</v>
      </c>
      <c r="H71" s="2">
        <v>0</v>
      </c>
      <c r="I71" s="1">
        <v>0</v>
      </c>
      <c r="J71" s="3" t="s">
        <v>16</v>
      </c>
      <c r="K71" s="2" t="str">
        <f>J71*9987.86</f>
        <v>0</v>
      </c>
      <c r="L71" s="5"/>
    </row>
    <row r="72" spans="1:12" customHeight="1" ht="105" outlineLevel="4">
      <c r="A72" s="1"/>
      <c r="B72" s="1">
        <v>839076</v>
      </c>
      <c r="C72" s="1" t="s">
        <v>251</v>
      </c>
      <c r="D72" s="1" t="s">
        <v>252</v>
      </c>
      <c r="E72" s="2" t="s">
        <v>253</v>
      </c>
      <c r="F72" s="2" t="s">
        <v>254</v>
      </c>
      <c r="G72" s="2">
        <v>4</v>
      </c>
      <c r="H72" s="2">
        <v>0</v>
      </c>
      <c r="I72" s="1">
        <v>0</v>
      </c>
      <c r="J72" s="3" t="s">
        <v>16</v>
      </c>
      <c r="K72" s="2" t="str">
        <f>J72*11417.98</f>
        <v>0</v>
      </c>
      <c r="L72" s="5"/>
    </row>
    <row r="73" spans="1:12" customHeight="1" ht="105" outlineLevel="4">
      <c r="A73" s="1"/>
      <c r="B73" s="1">
        <v>839078</v>
      </c>
      <c r="C73" s="1" t="s">
        <v>255</v>
      </c>
      <c r="D73" s="1" t="s">
        <v>256</v>
      </c>
      <c r="E73" s="2" t="s">
        <v>257</v>
      </c>
      <c r="F73" s="2" t="s">
        <v>258</v>
      </c>
      <c r="G73" s="2">
        <v>3</v>
      </c>
      <c r="H73" s="2">
        <v>0</v>
      </c>
      <c r="I73" s="1">
        <v>0</v>
      </c>
      <c r="J73" s="3" t="s">
        <v>16</v>
      </c>
      <c r="K73" s="2" t="str">
        <f>J73*8061.77</f>
        <v>0</v>
      </c>
      <c r="L73" s="5"/>
    </row>
    <row r="74" spans="1:12" customHeight="1" ht="105" outlineLevel="4">
      <c r="A74" s="1"/>
      <c r="B74" s="1">
        <v>877763</v>
      </c>
      <c r="C74" s="1" t="s">
        <v>259</v>
      </c>
      <c r="D74" s="1" t="s">
        <v>260</v>
      </c>
      <c r="E74" s="2" t="s">
        <v>261</v>
      </c>
      <c r="F74" s="2" t="s">
        <v>262</v>
      </c>
      <c r="G74" s="2">
        <v>2</v>
      </c>
      <c r="H74" s="2">
        <v>0</v>
      </c>
      <c r="I74" s="1">
        <v>0</v>
      </c>
      <c r="J74" s="3" t="s">
        <v>16</v>
      </c>
      <c r="K74" s="2" t="str">
        <f>J74*11935.66</f>
        <v>0</v>
      </c>
      <c r="L74" s="5"/>
    </row>
    <row r="75" spans="1:12" outlineLevel="1">
      <c r="A75" s="7" t="s">
        <v>263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5"/>
    </row>
    <row r="76" spans="1:12" outlineLevel="2">
      <c r="A76" s="8" t="s">
        <v>264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5"/>
    </row>
    <row r="77" spans="1:12" customHeight="1" ht="105" outlineLevel="4">
      <c r="A77" s="1"/>
      <c r="B77" s="1">
        <v>833393</v>
      </c>
      <c r="C77" s="1" t="s">
        <v>265</v>
      </c>
      <c r="D77" s="1" t="s">
        <v>266</v>
      </c>
      <c r="E77" s="2" t="s">
        <v>267</v>
      </c>
      <c r="F77" s="2" t="s">
        <v>268</v>
      </c>
      <c r="G77" s="2">
        <v>3</v>
      </c>
      <c r="H77" s="2">
        <v>0</v>
      </c>
      <c r="I77" s="1">
        <v>0</v>
      </c>
      <c r="J77" s="3" t="s">
        <v>16</v>
      </c>
      <c r="K77" s="2" t="str">
        <f>J77*10336.44</f>
        <v>0</v>
      </c>
      <c r="L77" s="5"/>
    </row>
    <row r="78" spans="1:12" customHeight="1" ht="105" outlineLevel="4">
      <c r="A78" s="1"/>
      <c r="B78" s="1">
        <v>833395</v>
      </c>
      <c r="C78" s="1" t="s">
        <v>269</v>
      </c>
      <c r="D78" s="1" t="s">
        <v>270</v>
      </c>
      <c r="E78" s="2" t="s">
        <v>271</v>
      </c>
      <c r="F78" s="2" t="s">
        <v>272</v>
      </c>
      <c r="G78" s="2">
        <v>0</v>
      </c>
      <c r="H78" s="2">
        <v>0</v>
      </c>
      <c r="I78" s="1">
        <v>0</v>
      </c>
      <c r="J78" s="3" t="s">
        <v>16</v>
      </c>
      <c r="K78" s="2" t="str">
        <f>J78*14220.00</f>
        <v>0</v>
      </c>
      <c r="L78" s="5"/>
    </row>
    <row r="79" spans="1:12" customHeight="1" ht="105" outlineLevel="4">
      <c r="A79" s="1"/>
      <c r="B79" s="1">
        <v>833398</v>
      </c>
      <c r="C79" s="1" t="s">
        <v>273</v>
      </c>
      <c r="D79" s="1" t="s">
        <v>274</v>
      </c>
      <c r="E79" s="2" t="s">
        <v>275</v>
      </c>
      <c r="F79" s="2" t="s">
        <v>276</v>
      </c>
      <c r="G79" s="2">
        <v>4</v>
      </c>
      <c r="H79" s="2">
        <v>0</v>
      </c>
      <c r="I79" s="1">
        <v>0</v>
      </c>
      <c r="J79" s="3" t="s">
        <v>16</v>
      </c>
      <c r="K79" s="2" t="str">
        <f>J79*15589.74</f>
        <v>0</v>
      </c>
      <c r="L79" s="5"/>
    </row>
    <row r="80" spans="1:12" customHeight="1" ht="105" outlineLevel="4">
      <c r="A80" s="1"/>
      <c r="B80" s="1">
        <v>833399</v>
      </c>
      <c r="C80" s="1" t="s">
        <v>277</v>
      </c>
      <c r="D80" s="1" t="s">
        <v>278</v>
      </c>
      <c r="E80" s="2" t="s">
        <v>279</v>
      </c>
      <c r="F80" s="2" t="s">
        <v>280</v>
      </c>
      <c r="G80" s="2">
        <v>3</v>
      </c>
      <c r="H80" s="2">
        <v>0</v>
      </c>
      <c r="I80" s="1">
        <v>0</v>
      </c>
      <c r="J80" s="3" t="s">
        <v>16</v>
      </c>
      <c r="K80" s="2" t="str">
        <f>J80*14943.66</f>
        <v>0</v>
      </c>
      <c r="L80" s="5"/>
    </row>
    <row r="81" spans="1:12" customHeight="1" ht="105" outlineLevel="4">
      <c r="A81" s="1"/>
      <c r="B81" s="1">
        <v>833400</v>
      </c>
      <c r="C81" s="1" t="s">
        <v>281</v>
      </c>
      <c r="D81" s="1" t="s">
        <v>282</v>
      </c>
      <c r="E81" s="2" t="s">
        <v>283</v>
      </c>
      <c r="F81" s="2" t="s">
        <v>284</v>
      </c>
      <c r="G81" s="2">
        <v>0</v>
      </c>
      <c r="H81" s="2">
        <v>0</v>
      </c>
      <c r="I81" s="1">
        <v>0</v>
      </c>
      <c r="J81" s="3" t="s">
        <v>16</v>
      </c>
      <c r="K81" s="2" t="str">
        <f>J81*10627.44</f>
        <v>0</v>
      </c>
      <c r="L81" s="5"/>
    </row>
    <row r="82" spans="1:12" customHeight="1" ht="105" outlineLevel="4">
      <c r="A82" s="1"/>
      <c r="B82" s="1">
        <v>833401</v>
      </c>
      <c r="C82" s="1" t="s">
        <v>285</v>
      </c>
      <c r="D82" s="1" t="s">
        <v>286</v>
      </c>
      <c r="E82" s="2" t="s">
        <v>287</v>
      </c>
      <c r="F82" s="2" t="s">
        <v>288</v>
      </c>
      <c r="G82" s="2">
        <v>2</v>
      </c>
      <c r="H82" s="2">
        <v>0</v>
      </c>
      <c r="I82" s="1">
        <v>0</v>
      </c>
      <c r="J82" s="3" t="s">
        <v>16</v>
      </c>
      <c r="K82" s="2" t="str">
        <f>J82*15444.00</f>
        <v>0</v>
      </c>
      <c r="L82" s="5"/>
    </row>
    <row r="83" spans="1:12" customHeight="1" ht="105" outlineLevel="4">
      <c r="A83" s="1"/>
      <c r="B83" s="1">
        <v>837270</v>
      </c>
      <c r="C83" s="1" t="s">
        <v>289</v>
      </c>
      <c r="D83" s="1" t="s">
        <v>290</v>
      </c>
      <c r="E83" s="2" t="s">
        <v>291</v>
      </c>
      <c r="F83" s="2" t="s">
        <v>292</v>
      </c>
      <c r="G83" s="2">
        <v>4</v>
      </c>
      <c r="H83" s="2">
        <v>0</v>
      </c>
      <c r="I83" s="1">
        <v>0</v>
      </c>
      <c r="J83" s="3" t="s">
        <v>16</v>
      </c>
      <c r="K83" s="2" t="str">
        <f>J83*10273.70</f>
        <v>0</v>
      </c>
      <c r="L83" s="5"/>
    </row>
    <row r="84" spans="1:12" customHeight="1" ht="105" outlineLevel="4">
      <c r="A84" s="1"/>
      <c r="B84" s="1">
        <v>837272</v>
      </c>
      <c r="C84" s="1" t="s">
        <v>293</v>
      </c>
      <c r="D84" s="1" t="s">
        <v>294</v>
      </c>
      <c r="E84" s="2" t="s">
        <v>295</v>
      </c>
      <c r="F84" s="2" t="s">
        <v>296</v>
      </c>
      <c r="G84" s="2">
        <v>5</v>
      </c>
      <c r="H84" s="2">
        <v>0</v>
      </c>
      <c r="I84" s="1">
        <v>0</v>
      </c>
      <c r="J84" s="3" t="s">
        <v>16</v>
      </c>
      <c r="K84" s="2" t="str">
        <f>J84*13174.84</f>
        <v>0</v>
      </c>
      <c r="L84" s="5"/>
    </row>
    <row r="85" spans="1:12" customHeight="1" ht="105" outlineLevel="4">
      <c r="A85" s="1"/>
      <c r="B85" s="1">
        <v>837274</v>
      </c>
      <c r="C85" s="1" t="s">
        <v>297</v>
      </c>
      <c r="D85" s="1" t="s">
        <v>298</v>
      </c>
      <c r="E85" s="2" t="s">
        <v>299</v>
      </c>
      <c r="F85" s="2" t="s">
        <v>300</v>
      </c>
      <c r="G85" s="2">
        <v>2</v>
      </c>
      <c r="H85" s="2">
        <v>0</v>
      </c>
      <c r="I85" s="1">
        <v>0</v>
      </c>
      <c r="J85" s="3" t="s">
        <v>16</v>
      </c>
      <c r="K85" s="2" t="str">
        <f>J85*13634.85</f>
        <v>0</v>
      </c>
      <c r="L85" s="5"/>
    </row>
    <row r="86" spans="1:12" customHeight="1" ht="105" outlineLevel="4">
      <c r="A86" s="1"/>
      <c r="B86" s="1">
        <v>837277</v>
      </c>
      <c r="C86" s="1" t="s">
        <v>301</v>
      </c>
      <c r="D86" s="1" t="s">
        <v>302</v>
      </c>
      <c r="E86" s="2" t="s">
        <v>303</v>
      </c>
      <c r="F86" s="2" t="s">
        <v>304</v>
      </c>
      <c r="G86" s="2">
        <v>2</v>
      </c>
      <c r="H86" s="2">
        <v>0</v>
      </c>
      <c r="I86" s="1">
        <v>0</v>
      </c>
      <c r="J86" s="3" t="s">
        <v>16</v>
      </c>
      <c r="K86" s="2" t="str">
        <f>J86*13456.72</f>
        <v>0</v>
      </c>
      <c r="L86" s="5"/>
    </row>
    <row r="87" spans="1:12" customHeight="1" ht="105" outlineLevel="4">
      <c r="A87" s="1"/>
      <c r="B87" s="1">
        <v>839079</v>
      </c>
      <c r="C87" s="1" t="s">
        <v>305</v>
      </c>
      <c r="D87" s="1" t="s">
        <v>306</v>
      </c>
      <c r="E87" s="2" t="s">
        <v>307</v>
      </c>
      <c r="F87" s="2" t="s">
        <v>308</v>
      </c>
      <c r="G87" s="2">
        <v>2</v>
      </c>
      <c r="H87" s="2">
        <v>0</v>
      </c>
      <c r="I87" s="1">
        <v>0</v>
      </c>
      <c r="J87" s="3" t="s">
        <v>16</v>
      </c>
      <c r="K87" s="2" t="str">
        <f>J87*16116.92</f>
        <v>0</v>
      </c>
      <c r="L87" s="5"/>
    </row>
    <row r="88" spans="1:12" outlineLevel="1">
      <c r="A88" s="7" t="s">
        <v>309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5"/>
    </row>
    <row r="89" spans="1:12" outlineLevel="2">
      <c r="A89" s="8" t="s">
        <v>310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825012</v>
      </c>
      <c r="C90" s="1" t="s">
        <v>311</v>
      </c>
      <c r="D90" s="1" t="s">
        <v>312</v>
      </c>
      <c r="E90" s="2" t="s">
        <v>313</v>
      </c>
      <c r="F90" s="2" t="s">
        <v>314</v>
      </c>
      <c r="G90" s="2">
        <v>2</v>
      </c>
      <c r="H90" s="2">
        <v>0</v>
      </c>
      <c r="I90" s="1">
        <v>0</v>
      </c>
      <c r="J90" s="3" t="s">
        <v>16</v>
      </c>
      <c r="K90" s="2" t="str">
        <f>J90*3744.04</f>
        <v>0</v>
      </c>
      <c r="L90" s="5"/>
    </row>
    <row r="91" spans="1:12" customHeight="1" ht="105" outlineLevel="4">
      <c r="A91" s="1"/>
      <c r="B91" s="1">
        <v>825013</v>
      </c>
      <c r="C91" s="1" t="s">
        <v>315</v>
      </c>
      <c r="D91" s="1" t="s">
        <v>316</v>
      </c>
      <c r="E91" s="2" t="s">
        <v>317</v>
      </c>
      <c r="F91" s="2" t="s">
        <v>318</v>
      </c>
      <c r="G91" s="2">
        <v>1</v>
      </c>
      <c r="H91" s="2">
        <v>0</v>
      </c>
      <c r="I91" s="1">
        <v>0</v>
      </c>
      <c r="J91" s="3" t="s">
        <v>16</v>
      </c>
      <c r="K91" s="2" t="str">
        <f>J91*4800.16</f>
        <v>0</v>
      </c>
      <c r="L91" s="5"/>
    </row>
    <row r="92" spans="1:12" customHeight="1" ht="105" outlineLevel="4">
      <c r="A92" s="1"/>
      <c r="B92" s="1">
        <v>825014</v>
      </c>
      <c r="C92" s="1" t="s">
        <v>319</v>
      </c>
      <c r="D92" s="1" t="s">
        <v>320</v>
      </c>
      <c r="E92" s="2" t="s">
        <v>321</v>
      </c>
      <c r="F92" s="2" t="s">
        <v>322</v>
      </c>
      <c r="G92" s="2">
        <v>2</v>
      </c>
      <c r="H92" s="2">
        <v>0</v>
      </c>
      <c r="I92" s="1">
        <v>0</v>
      </c>
      <c r="J92" s="3" t="s">
        <v>16</v>
      </c>
      <c r="K92" s="2" t="str">
        <f>J92*4359.86</f>
        <v>0</v>
      </c>
      <c r="L92" s="5"/>
    </row>
    <row r="93" spans="1:12" customHeight="1" ht="105" outlineLevel="4">
      <c r="A93" s="1"/>
      <c r="B93" s="1">
        <v>825015</v>
      </c>
      <c r="C93" s="1" t="s">
        <v>323</v>
      </c>
      <c r="D93" s="1" t="s">
        <v>324</v>
      </c>
      <c r="E93" s="2" t="s">
        <v>325</v>
      </c>
      <c r="F93" s="2" t="s">
        <v>326</v>
      </c>
      <c r="G93" s="2">
        <v>3</v>
      </c>
      <c r="H93" s="2">
        <v>0</v>
      </c>
      <c r="I93" s="1">
        <v>0</v>
      </c>
      <c r="J93" s="3" t="s">
        <v>16</v>
      </c>
      <c r="K93" s="2" t="str">
        <f>J93*3870.48</f>
        <v>0</v>
      </c>
      <c r="L93" s="5"/>
    </row>
    <row r="94" spans="1:12" outlineLevel="2">
      <c r="A94" s="8" t="s">
        <v>327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5"/>
    </row>
    <row r="95" spans="1:12" customHeight="1" ht="105" outlineLevel="4">
      <c r="A95" s="1"/>
      <c r="B95" s="1">
        <v>835195</v>
      </c>
      <c r="C95" s="1" t="s">
        <v>328</v>
      </c>
      <c r="D95" s="1" t="s">
        <v>329</v>
      </c>
      <c r="E95" s="2" t="s">
        <v>330</v>
      </c>
      <c r="F95" s="2" t="s">
        <v>34</v>
      </c>
      <c r="G95" s="2">
        <v>0</v>
      </c>
      <c r="H95" s="2">
        <v>0</v>
      </c>
      <c r="I95" s="1">
        <v>0</v>
      </c>
      <c r="J95" s="3" t="s">
        <v>16</v>
      </c>
      <c r="K95" s="2" t="str">
        <f>J95*0.00</f>
        <v>0</v>
      </c>
      <c r="L95" s="5"/>
    </row>
    <row r="96" spans="1:12" customHeight="1" ht="105" outlineLevel="4">
      <c r="A96" s="1"/>
      <c r="B96" s="1">
        <v>837275</v>
      </c>
      <c r="C96" s="1" t="s">
        <v>331</v>
      </c>
      <c r="D96" s="1" t="s">
        <v>332</v>
      </c>
      <c r="E96" s="2" t="s">
        <v>333</v>
      </c>
      <c r="F96" s="2" t="s">
        <v>334</v>
      </c>
      <c r="G96" s="2">
        <v>8</v>
      </c>
      <c r="H96" s="2">
        <v>0</v>
      </c>
      <c r="I96" s="1">
        <v>0</v>
      </c>
      <c r="J96" s="3" t="s">
        <v>16</v>
      </c>
      <c r="K96" s="2" t="str">
        <f>J96*4687.35</f>
        <v>0</v>
      </c>
      <c r="L96" s="5"/>
    </row>
    <row r="97" spans="1:12" customHeight="1" ht="105" outlineLevel="4">
      <c r="A97" s="1"/>
      <c r="B97" s="1">
        <v>837278</v>
      </c>
      <c r="C97" s="1" t="s">
        <v>335</v>
      </c>
      <c r="D97" s="1" t="s">
        <v>336</v>
      </c>
      <c r="E97" s="2" t="s">
        <v>337</v>
      </c>
      <c r="F97" s="2" t="s">
        <v>338</v>
      </c>
      <c r="G97" s="2">
        <v>2</v>
      </c>
      <c r="H97" s="2">
        <v>0</v>
      </c>
      <c r="I97" s="1">
        <v>0</v>
      </c>
      <c r="J97" s="3" t="s">
        <v>16</v>
      </c>
      <c r="K97" s="2" t="str">
        <f>J97*4847.91</f>
        <v>0</v>
      </c>
      <c r="L97" s="5"/>
    </row>
    <row r="98" spans="1:12" customHeight="1" ht="105" outlineLevel="4">
      <c r="A98" s="1"/>
      <c r="B98" s="1">
        <v>837279</v>
      </c>
      <c r="C98" s="1" t="s">
        <v>339</v>
      </c>
      <c r="D98" s="1" t="s">
        <v>340</v>
      </c>
      <c r="E98" s="2" t="s">
        <v>341</v>
      </c>
      <c r="F98" s="2" t="s">
        <v>342</v>
      </c>
      <c r="G98" s="2">
        <v>4</v>
      </c>
      <c r="H98" s="2">
        <v>0</v>
      </c>
      <c r="I98" s="1">
        <v>0</v>
      </c>
      <c r="J98" s="3" t="s">
        <v>16</v>
      </c>
      <c r="K98" s="2" t="str">
        <f>J98*6681.77</f>
        <v>0</v>
      </c>
      <c r="L98" s="5"/>
    </row>
    <row r="99" spans="1:12" customHeight="1" ht="105" outlineLevel="4">
      <c r="A99" s="1"/>
      <c r="B99" s="1">
        <v>873440</v>
      </c>
      <c r="C99" s="1" t="s">
        <v>343</v>
      </c>
      <c r="D99" s="1" t="s">
        <v>344</v>
      </c>
      <c r="E99" s="2" t="s">
        <v>345</v>
      </c>
      <c r="F99" s="2" t="s">
        <v>346</v>
      </c>
      <c r="G99" s="2">
        <v>3</v>
      </c>
      <c r="H99" s="2">
        <v>0</v>
      </c>
      <c r="I99" s="1">
        <v>0</v>
      </c>
      <c r="J99" s="3" t="s">
        <v>16</v>
      </c>
      <c r="K99" s="2" t="str">
        <f>J99*5980.14</f>
        <v>0</v>
      </c>
      <c r="L99" s="5"/>
    </row>
    <row r="100" spans="1:12" outlineLevel="1">
      <c r="A100" s="7" t="s">
        <v>347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5"/>
    </row>
    <row r="101" spans="1:12" outlineLevel="2">
      <c r="A101" s="8" t="s">
        <v>348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5"/>
    </row>
    <row r="102" spans="1:12" customHeight="1" ht="105" outlineLevel="4">
      <c r="A102" s="1"/>
      <c r="B102" s="1">
        <v>833390</v>
      </c>
      <c r="C102" s="1" t="s">
        <v>349</v>
      </c>
      <c r="D102" s="1" t="s">
        <v>350</v>
      </c>
      <c r="E102" s="2" t="s">
        <v>351</v>
      </c>
      <c r="F102" s="2" t="s">
        <v>352</v>
      </c>
      <c r="G102" s="2">
        <v>5</v>
      </c>
      <c r="H102" s="2">
        <v>0</v>
      </c>
      <c r="I102" s="1">
        <v>0</v>
      </c>
      <c r="J102" s="3" t="s">
        <v>16</v>
      </c>
      <c r="K102" s="2" t="str">
        <f>J102*4651.49</f>
        <v>0</v>
      </c>
      <c r="L102" s="5"/>
    </row>
    <row r="103" spans="1:12" customHeight="1" ht="105" outlineLevel="4">
      <c r="A103" s="1"/>
      <c r="B103" s="1">
        <v>833391</v>
      </c>
      <c r="C103" s="1" t="s">
        <v>353</v>
      </c>
      <c r="D103" s="1" t="s">
        <v>354</v>
      </c>
      <c r="E103" s="2" t="s">
        <v>355</v>
      </c>
      <c r="F103" s="2" t="s">
        <v>356</v>
      </c>
      <c r="G103" s="2">
        <v>4</v>
      </c>
      <c r="H103" s="2">
        <v>0</v>
      </c>
      <c r="I103" s="1">
        <v>0</v>
      </c>
      <c r="J103" s="3" t="s">
        <v>16</v>
      </c>
      <c r="K103" s="2" t="str">
        <f>J103*8101.67</f>
        <v>0</v>
      </c>
      <c r="L103" s="5"/>
    </row>
    <row r="104" spans="1:12" customHeight="1" ht="105" outlineLevel="4">
      <c r="A104" s="1"/>
      <c r="B104" s="1">
        <v>833392</v>
      </c>
      <c r="C104" s="1" t="s">
        <v>357</v>
      </c>
      <c r="D104" s="1" t="s">
        <v>358</v>
      </c>
      <c r="E104" s="2" t="s">
        <v>359</v>
      </c>
      <c r="F104" s="2" t="s">
        <v>360</v>
      </c>
      <c r="G104" s="2">
        <v>8</v>
      </c>
      <c r="H104" s="2">
        <v>0</v>
      </c>
      <c r="I104" s="1">
        <v>0</v>
      </c>
      <c r="J104" s="3" t="s">
        <v>16</v>
      </c>
      <c r="K104" s="2" t="str">
        <f>J104*4272.47</f>
        <v>0</v>
      </c>
      <c r="L104" s="5"/>
    </row>
    <row r="105" spans="1:12" customHeight="1" ht="105" outlineLevel="4">
      <c r="A105" s="1"/>
      <c r="B105" s="1">
        <v>833394</v>
      </c>
      <c r="C105" s="1" t="s">
        <v>361</v>
      </c>
      <c r="D105" s="1" t="s">
        <v>362</v>
      </c>
      <c r="E105" s="2" t="s">
        <v>363</v>
      </c>
      <c r="F105" s="2" t="s">
        <v>364</v>
      </c>
      <c r="G105" s="2">
        <v>2</v>
      </c>
      <c r="H105" s="2">
        <v>0</v>
      </c>
      <c r="I105" s="1">
        <v>0</v>
      </c>
      <c r="J105" s="3" t="s">
        <v>16</v>
      </c>
      <c r="K105" s="2" t="str">
        <f>J105*11908.02</f>
        <v>0</v>
      </c>
      <c r="L105" s="5"/>
    </row>
    <row r="106" spans="1:12" customHeight="1" ht="105" outlineLevel="4">
      <c r="A106" s="1"/>
      <c r="B106" s="1">
        <v>833396</v>
      </c>
      <c r="C106" s="1" t="s">
        <v>365</v>
      </c>
      <c r="D106" s="1" t="s">
        <v>366</v>
      </c>
      <c r="E106" s="2" t="s">
        <v>367</v>
      </c>
      <c r="F106" s="2" t="s">
        <v>368</v>
      </c>
      <c r="G106" s="2">
        <v>2</v>
      </c>
      <c r="H106" s="2">
        <v>0</v>
      </c>
      <c r="I106" s="1">
        <v>0</v>
      </c>
      <c r="J106" s="3" t="s">
        <v>16</v>
      </c>
      <c r="K106" s="2" t="str">
        <f>J106*9812.46</f>
        <v>0</v>
      </c>
      <c r="L106" s="5"/>
    </row>
    <row r="107" spans="1:12" customHeight="1" ht="105" outlineLevel="4">
      <c r="A107" s="1"/>
      <c r="B107" s="1">
        <v>833397</v>
      </c>
      <c r="C107" s="1" t="s">
        <v>369</v>
      </c>
      <c r="D107" s="1" t="s">
        <v>370</v>
      </c>
      <c r="E107" s="2" t="s">
        <v>371</v>
      </c>
      <c r="F107" s="2" t="s">
        <v>372</v>
      </c>
      <c r="G107" s="2">
        <v>2</v>
      </c>
      <c r="H107" s="2">
        <v>0</v>
      </c>
      <c r="I107" s="1">
        <v>0</v>
      </c>
      <c r="J107" s="3" t="s">
        <v>16</v>
      </c>
      <c r="K107" s="2" t="str">
        <f>J107*10112.46</f>
        <v>0</v>
      </c>
      <c r="L107" s="5"/>
    </row>
    <row r="108" spans="1:12" customHeight="1" ht="105" outlineLevel="4">
      <c r="A108" s="1"/>
      <c r="B108" s="1">
        <v>833402</v>
      </c>
      <c r="C108" s="1" t="s">
        <v>373</v>
      </c>
      <c r="D108" s="1" t="s">
        <v>374</v>
      </c>
      <c r="E108" s="2" t="s">
        <v>375</v>
      </c>
      <c r="F108" s="2" t="s">
        <v>376</v>
      </c>
      <c r="G108" s="2">
        <v>2</v>
      </c>
      <c r="H108" s="2">
        <v>0</v>
      </c>
      <c r="I108" s="1">
        <v>0</v>
      </c>
      <c r="J108" s="3" t="s">
        <v>16</v>
      </c>
      <c r="K108" s="2" t="str">
        <f>J108*8455.59</f>
        <v>0</v>
      </c>
      <c r="L108" s="5"/>
    </row>
    <row r="109" spans="1:12" customHeight="1" ht="105" outlineLevel="4">
      <c r="A109" s="1"/>
      <c r="B109" s="1">
        <v>833403</v>
      </c>
      <c r="C109" s="1" t="s">
        <v>377</v>
      </c>
      <c r="D109" s="1" t="s">
        <v>378</v>
      </c>
      <c r="E109" s="2" t="s">
        <v>379</v>
      </c>
      <c r="F109" s="2" t="s">
        <v>380</v>
      </c>
      <c r="G109" s="2">
        <v>3</v>
      </c>
      <c r="H109" s="2">
        <v>0</v>
      </c>
      <c r="I109" s="1">
        <v>0</v>
      </c>
      <c r="J109" s="3" t="s">
        <v>16</v>
      </c>
      <c r="K109" s="2" t="str">
        <f>J109*8380.64</f>
        <v>0</v>
      </c>
      <c r="L109" s="5"/>
    </row>
    <row r="110" spans="1:12" customHeight="1" ht="105" outlineLevel="4">
      <c r="A110" s="1"/>
      <c r="B110" s="1">
        <v>837271</v>
      </c>
      <c r="C110" s="1" t="s">
        <v>381</v>
      </c>
      <c r="D110" s="1" t="s">
        <v>382</v>
      </c>
      <c r="E110" s="2" t="s">
        <v>383</v>
      </c>
      <c r="F110" s="2" t="s">
        <v>384</v>
      </c>
      <c r="G110" s="2">
        <v>3</v>
      </c>
      <c r="H110" s="2">
        <v>0</v>
      </c>
      <c r="I110" s="1">
        <v>0</v>
      </c>
      <c r="J110" s="3" t="s">
        <v>16</v>
      </c>
      <c r="K110" s="2" t="str">
        <f>J110*7668.28</f>
        <v>0</v>
      </c>
      <c r="L110" s="5"/>
    </row>
    <row r="111" spans="1:12" customHeight="1" ht="105" outlineLevel="4">
      <c r="A111" s="1"/>
      <c r="B111" s="1">
        <v>837273</v>
      </c>
      <c r="C111" s="1" t="s">
        <v>385</v>
      </c>
      <c r="D111" s="1" t="s">
        <v>386</v>
      </c>
      <c r="E111" s="2" t="s">
        <v>387</v>
      </c>
      <c r="F111" s="2" t="s">
        <v>388</v>
      </c>
      <c r="G111" s="2">
        <v>2</v>
      </c>
      <c r="H111" s="2">
        <v>0</v>
      </c>
      <c r="I111" s="1">
        <v>0</v>
      </c>
      <c r="J111" s="3" t="s">
        <v>16</v>
      </c>
      <c r="K111" s="2" t="str">
        <f>J111*11082.21</f>
        <v>0</v>
      </c>
      <c r="L111" s="5"/>
    </row>
    <row r="112" spans="1:12" customHeight="1" ht="105" outlineLevel="4">
      <c r="A112" s="1"/>
      <c r="B112" s="1">
        <v>837276</v>
      </c>
      <c r="C112" s="1" t="s">
        <v>389</v>
      </c>
      <c r="D112" s="1" t="s">
        <v>390</v>
      </c>
      <c r="E112" s="2" t="s">
        <v>391</v>
      </c>
      <c r="F112" s="2" t="s">
        <v>392</v>
      </c>
      <c r="G112" s="2">
        <v>2</v>
      </c>
      <c r="H112" s="2">
        <v>0</v>
      </c>
      <c r="I112" s="1">
        <v>0</v>
      </c>
      <c r="J112" s="3" t="s">
        <v>16</v>
      </c>
      <c r="K112" s="2" t="str">
        <f>J112*10619.96</f>
        <v>0</v>
      </c>
      <c r="L112" s="5"/>
    </row>
    <row r="113" spans="1:12" customHeight="1" ht="105" outlineLevel="4">
      <c r="A113" s="1"/>
      <c r="B113" s="1">
        <v>839077</v>
      </c>
      <c r="C113" s="1" t="s">
        <v>393</v>
      </c>
      <c r="D113" s="1" t="s">
        <v>394</v>
      </c>
      <c r="E113" s="2" t="s">
        <v>395</v>
      </c>
      <c r="F113" s="2" t="s">
        <v>396</v>
      </c>
      <c r="G113" s="2">
        <v>5</v>
      </c>
      <c r="H113" s="2">
        <v>0</v>
      </c>
      <c r="I113" s="1">
        <v>0</v>
      </c>
      <c r="J113" s="3" t="s">
        <v>16</v>
      </c>
      <c r="K113" s="2" t="str">
        <f>J113*6525.09</f>
        <v>0</v>
      </c>
      <c r="L113" s="5"/>
    </row>
    <row r="114" spans="1:12" outlineLevel="1">
      <c r="A114" s="7" t="s">
        <v>397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5"/>
    </row>
    <row r="115" spans="1:12" outlineLevel="2">
      <c r="A115" s="8" t="s">
        <v>398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5"/>
    </row>
    <row r="116" spans="1:12" customHeight="1" ht="105" outlineLevel="4">
      <c r="A116" s="1"/>
      <c r="B116" s="1">
        <v>833404</v>
      </c>
      <c r="C116" s="1" t="s">
        <v>399</v>
      </c>
      <c r="D116" s="1" t="s">
        <v>400</v>
      </c>
      <c r="E116" s="2" t="s">
        <v>401</v>
      </c>
      <c r="F116" s="2" t="s">
        <v>402</v>
      </c>
      <c r="G116" s="2" t="s">
        <v>83</v>
      </c>
      <c r="H116" s="2">
        <v>0</v>
      </c>
      <c r="I116" s="1">
        <v>0</v>
      </c>
      <c r="J116" s="3" t="s">
        <v>16</v>
      </c>
      <c r="K116" s="2" t="str">
        <f>J116*2661.04</f>
        <v>0</v>
      </c>
      <c r="L116" s="5"/>
    </row>
    <row r="117" spans="1:12" customHeight="1" ht="105" outlineLevel="4">
      <c r="A117" s="1"/>
      <c r="B117" s="1">
        <v>833405</v>
      </c>
      <c r="C117" s="1" t="s">
        <v>403</v>
      </c>
      <c r="D117" s="1" t="s">
        <v>404</v>
      </c>
      <c r="E117" s="2" t="s">
        <v>405</v>
      </c>
      <c r="F117" s="2" t="s">
        <v>406</v>
      </c>
      <c r="G117" s="2" t="s">
        <v>73</v>
      </c>
      <c r="H117" s="2">
        <v>0</v>
      </c>
      <c r="I117" s="1">
        <v>0</v>
      </c>
      <c r="J117" s="3" t="s">
        <v>16</v>
      </c>
      <c r="K117" s="2" t="str">
        <f>J117*3011.58</f>
        <v>0</v>
      </c>
      <c r="L117" s="5"/>
    </row>
    <row r="118" spans="1:12" customHeight="1" ht="105" outlineLevel="4">
      <c r="A118" s="1"/>
      <c r="B118" s="1">
        <v>833406</v>
      </c>
      <c r="C118" s="1" t="s">
        <v>407</v>
      </c>
      <c r="D118" s="1" t="s">
        <v>408</v>
      </c>
      <c r="E118" s="2" t="s">
        <v>409</v>
      </c>
      <c r="F118" s="2" t="s">
        <v>410</v>
      </c>
      <c r="G118" s="2" t="s">
        <v>83</v>
      </c>
      <c r="H118" s="2">
        <v>0</v>
      </c>
      <c r="I118" s="1">
        <v>0</v>
      </c>
      <c r="J118" s="3" t="s">
        <v>16</v>
      </c>
      <c r="K118" s="2" t="str">
        <f>J118*2795.16</f>
        <v>0</v>
      </c>
      <c r="L118" s="5"/>
    </row>
    <row r="119" spans="1:12" customHeight="1" ht="105" outlineLevel="4">
      <c r="A119" s="1"/>
      <c r="B119" s="1">
        <v>833407</v>
      </c>
      <c r="C119" s="1" t="s">
        <v>411</v>
      </c>
      <c r="D119" s="1" t="s">
        <v>412</v>
      </c>
      <c r="E119" s="2" t="s">
        <v>413</v>
      </c>
      <c r="F119" s="2" t="s">
        <v>414</v>
      </c>
      <c r="G119" s="2" t="s">
        <v>73</v>
      </c>
      <c r="H119" s="2">
        <v>0</v>
      </c>
      <c r="I119" s="1">
        <v>0</v>
      </c>
      <c r="J119" s="3" t="s">
        <v>16</v>
      </c>
      <c r="K119" s="2" t="str">
        <f>J119*3104.20</f>
        <v>0</v>
      </c>
      <c r="L119" s="5"/>
    </row>
    <row r="120" spans="1:12" customHeight="1" ht="105" outlineLevel="4">
      <c r="A120" s="1"/>
      <c r="B120" s="1">
        <v>835193</v>
      </c>
      <c r="C120" s="1" t="s">
        <v>415</v>
      </c>
      <c r="D120" s="1" t="s">
        <v>416</v>
      </c>
      <c r="E120" s="2" t="s">
        <v>417</v>
      </c>
      <c r="F120" s="2" t="s">
        <v>418</v>
      </c>
      <c r="G120" s="2">
        <v>9</v>
      </c>
      <c r="H120" s="2">
        <v>0</v>
      </c>
      <c r="I120" s="1">
        <v>0</v>
      </c>
      <c r="J120" s="3" t="s">
        <v>16</v>
      </c>
      <c r="K120" s="2" t="str">
        <f>J120*3651.04</f>
        <v>0</v>
      </c>
      <c r="L120" s="5"/>
    </row>
    <row r="121" spans="1:12" customHeight="1" ht="105" outlineLevel="4">
      <c r="A121" s="1"/>
      <c r="B121" s="1">
        <v>835194</v>
      </c>
      <c r="C121" s="1" t="s">
        <v>419</v>
      </c>
      <c r="D121" s="1" t="s">
        <v>420</v>
      </c>
      <c r="E121" s="2" t="s">
        <v>421</v>
      </c>
      <c r="F121" s="2" t="s">
        <v>422</v>
      </c>
      <c r="G121" s="2" t="s">
        <v>83</v>
      </c>
      <c r="H121" s="2">
        <v>0</v>
      </c>
      <c r="I121" s="1">
        <v>0</v>
      </c>
      <c r="J121" s="3" t="s">
        <v>16</v>
      </c>
      <c r="K121" s="2" t="str">
        <f>J121*3703.43</f>
        <v>0</v>
      </c>
      <c r="L121" s="5"/>
    </row>
    <row r="122" spans="1:12" outlineLevel="1">
      <c r="A122" s="7" t="s">
        <v>423</v>
      </c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5"/>
    </row>
    <row r="123" spans="1:12" outlineLevel="2">
      <c r="A123" s="8" t="s">
        <v>424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5"/>
    </row>
    <row r="124" spans="1:12" customHeight="1" ht="105" outlineLevel="4">
      <c r="A124" s="1"/>
      <c r="B124" s="1">
        <v>833331</v>
      </c>
      <c r="C124" s="1" t="s">
        <v>425</v>
      </c>
      <c r="D124" s="1" t="s">
        <v>426</v>
      </c>
      <c r="E124" s="2" t="s">
        <v>427</v>
      </c>
      <c r="F124" s="2" t="s">
        <v>428</v>
      </c>
      <c r="G124" s="2">
        <v>5</v>
      </c>
      <c r="H124" s="2">
        <v>0</v>
      </c>
      <c r="I124" s="1">
        <v>0</v>
      </c>
      <c r="J124" s="3" t="s">
        <v>16</v>
      </c>
      <c r="K124" s="2" t="str">
        <f>J124*7824.27</f>
        <v>0</v>
      </c>
      <c r="L124" s="5"/>
    </row>
    <row r="125" spans="1:12" customHeight="1" ht="105" outlineLevel="4">
      <c r="A125" s="1"/>
      <c r="B125" s="1">
        <v>833332</v>
      </c>
      <c r="C125" s="1" t="s">
        <v>429</v>
      </c>
      <c r="D125" s="1" t="s">
        <v>430</v>
      </c>
      <c r="E125" s="2" t="s">
        <v>431</v>
      </c>
      <c r="F125" s="2" t="s">
        <v>432</v>
      </c>
      <c r="G125" s="2">
        <v>2</v>
      </c>
      <c r="H125" s="2">
        <v>0</v>
      </c>
      <c r="I125" s="1">
        <v>0</v>
      </c>
      <c r="J125" s="3" t="s">
        <v>16</v>
      </c>
      <c r="K125" s="2" t="str">
        <f>J125*8393.67</f>
        <v>0</v>
      </c>
      <c r="L125" s="5"/>
    </row>
    <row r="126" spans="1:12" customHeight="1" ht="105" outlineLevel="4">
      <c r="A126" s="1"/>
      <c r="B126" s="1">
        <v>833333</v>
      </c>
      <c r="C126" s="1" t="s">
        <v>433</v>
      </c>
      <c r="D126" s="1" t="s">
        <v>434</v>
      </c>
      <c r="E126" s="2" t="s">
        <v>435</v>
      </c>
      <c r="F126" s="2" t="s">
        <v>436</v>
      </c>
      <c r="G126" s="2">
        <v>2</v>
      </c>
      <c r="H126" s="2">
        <v>0</v>
      </c>
      <c r="I126" s="1">
        <v>0</v>
      </c>
      <c r="J126" s="3" t="s">
        <v>16</v>
      </c>
      <c r="K126" s="2" t="str">
        <f>J126*8730.05</f>
        <v>0</v>
      </c>
      <c r="L126" s="5"/>
    </row>
    <row r="127" spans="1:12" customHeight="1" ht="105" outlineLevel="4">
      <c r="A127" s="1"/>
      <c r="B127" s="1">
        <v>833334</v>
      </c>
      <c r="C127" s="1" t="s">
        <v>437</v>
      </c>
      <c r="D127" s="1" t="s">
        <v>438</v>
      </c>
      <c r="E127" s="2" t="s">
        <v>439</v>
      </c>
      <c r="F127" s="2" t="s">
        <v>440</v>
      </c>
      <c r="G127" s="2">
        <v>3</v>
      </c>
      <c r="H127" s="2">
        <v>0</v>
      </c>
      <c r="I127" s="1">
        <v>0</v>
      </c>
      <c r="J127" s="3" t="s">
        <v>16</v>
      </c>
      <c r="K127" s="2" t="str">
        <f>J127*9427.04</f>
        <v>0</v>
      </c>
      <c r="L127" s="5"/>
    </row>
    <row r="128" spans="1:12" customHeight="1" ht="105" outlineLevel="4">
      <c r="A128" s="1"/>
      <c r="B128" s="1">
        <v>833335</v>
      </c>
      <c r="C128" s="1" t="s">
        <v>441</v>
      </c>
      <c r="D128" s="1" t="s">
        <v>442</v>
      </c>
      <c r="E128" s="2" t="s">
        <v>443</v>
      </c>
      <c r="F128" s="2" t="s">
        <v>444</v>
      </c>
      <c r="G128" s="2">
        <v>1</v>
      </c>
      <c r="H128" s="2">
        <v>0</v>
      </c>
      <c r="I128" s="1">
        <v>0</v>
      </c>
      <c r="J128" s="3" t="s">
        <v>16</v>
      </c>
      <c r="K128" s="2" t="str">
        <f>J128*10365.63</f>
        <v>0</v>
      </c>
      <c r="L128" s="5"/>
    </row>
    <row r="129" spans="1:12" customHeight="1" ht="105" outlineLevel="4">
      <c r="A129" s="1"/>
      <c r="B129" s="1">
        <v>833336</v>
      </c>
      <c r="C129" s="1" t="s">
        <v>445</v>
      </c>
      <c r="D129" s="1" t="s">
        <v>446</v>
      </c>
      <c r="E129" s="2" t="s">
        <v>447</v>
      </c>
      <c r="F129" s="2" t="s">
        <v>448</v>
      </c>
      <c r="G129" s="2">
        <v>2</v>
      </c>
      <c r="H129" s="2">
        <v>0</v>
      </c>
      <c r="I129" s="1">
        <v>0</v>
      </c>
      <c r="J129" s="3" t="s">
        <v>16</v>
      </c>
      <c r="K129" s="2" t="str">
        <f>J129*8081.45</f>
        <v>0</v>
      </c>
      <c r="L129" s="5"/>
    </row>
    <row r="130" spans="1:12" customHeight="1" ht="105" outlineLevel="4">
      <c r="A130" s="1"/>
      <c r="B130" s="1">
        <v>833337</v>
      </c>
      <c r="C130" s="1" t="s">
        <v>449</v>
      </c>
      <c r="D130" s="1" t="s">
        <v>450</v>
      </c>
      <c r="E130" s="2" t="s">
        <v>451</v>
      </c>
      <c r="F130" s="2" t="s">
        <v>452</v>
      </c>
      <c r="G130" s="2">
        <v>2</v>
      </c>
      <c r="H130" s="2">
        <v>0</v>
      </c>
      <c r="I130" s="1">
        <v>0</v>
      </c>
      <c r="J130" s="3" t="s">
        <v>16</v>
      </c>
      <c r="K130" s="2" t="str">
        <f>J130*9208.35</f>
        <v>0</v>
      </c>
      <c r="L130" s="5"/>
    </row>
    <row r="131" spans="1:12" customHeight="1" ht="105" outlineLevel="4">
      <c r="A131" s="1"/>
      <c r="B131" s="1">
        <v>833338</v>
      </c>
      <c r="C131" s="1" t="s">
        <v>453</v>
      </c>
      <c r="D131" s="1" t="s">
        <v>454</v>
      </c>
      <c r="E131" s="2" t="s">
        <v>455</v>
      </c>
      <c r="F131" s="2" t="s">
        <v>456</v>
      </c>
      <c r="G131" s="2">
        <v>1</v>
      </c>
      <c r="H131" s="2">
        <v>0</v>
      </c>
      <c r="I131" s="1">
        <v>0</v>
      </c>
      <c r="J131" s="3" t="s">
        <v>16</v>
      </c>
      <c r="K131" s="2" t="str">
        <f>J131*9737.50</f>
        <v>0</v>
      </c>
      <c r="L131" s="5"/>
    </row>
    <row r="132" spans="1:12" customHeight="1" ht="105" outlineLevel="4">
      <c r="A132" s="1"/>
      <c r="B132" s="1">
        <v>833339</v>
      </c>
      <c r="C132" s="1" t="s">
        <v>457</v>
      </c>
      <c r="D132" s="1" t="s">
        <v>458</v>
      </c>
      <c r="E132" s="2" t="s">
        <v>459</v>
      </c>
      <c r="F132" s="2" t="s">
        <v>460</v>
      </c>
      <c r="G132" s="2">
        <v>2</v>
      </c>
      <c r="H132" s="2">
        <v>0</v>
      </c>
      <c r="I132" s="1">
        <v>0</v>
      </c>
      <c r="J132" s="3" t="s">
        <v>16</v>
      </c>
      <c r="K132" s="2" t="str">
        <f>J132*11691.72</f>
        <v>0</v>
      </c>
      <c r="L132" s="5"/>
    </row>
    <row r="133" spans="1:12" customHeight="1" ht="105" outlineLevel="4">
      <c r="A133" s="1"/>
      <c r="B133" s="1">
        <v>833340</v>
      </c>
      <c r="C133" s="1" t="s">
        <v>461</v>
      </c>
      <c r="D133" s="1" t="s">
        <v>462</v>
      </c>
      <c r="E133" s="2" t="s">
        <v>463</v>
      </c>
      <c r="F133" s="2" t="s">
        <v>464</v>
      </c>
      <c r="G133" s="2">
        <v>3</v>
      </c>
      <c r="H133" s="2">
        <v>0</v>
      </c>
      <c r="I133" s="1">
        <v>0</v>
      </c>
      <c r="J133" s="3" t="s">
        <v>16</v>
      </c>
      <c r="K133" s="2" t="str">
        <f>J133*13144.78</f>
        <v>0</v>
      </c>
      <c r="L133" s="5"/>
    </row>
    <row r="134" spans="1:12" customHeight="1" ht="105" outlineLevel="4">
      <c r="A134" s="1"/>
      <c r="B134" s="1">
        <v>833341</v>
      </c>
      <c r="C134" s="1" t="s">
        <v>465</v>
      </c>
      <c r="D134" s="1" t="s">
        <v>466</v>
      </c>
      <c r="E134" s="2" t="s">
        <v>467</v>
      </c>
      <c r="F134" s="2" t="s">
        <v>468</v>
      </c>
      <c r="G134" s="2">
        <v>2</v>
      </c>
      <c r="H134" s="2">
        <v>0</v>
      </c>
      <c r="I134" s="1">
        <v>0</v>
      </c>
      <c r="J134" s="3" t="s">
        <v>16</v>
      </c>
      <c r="K134" s="2" t="str">
        <f>J134*13380.05</f>
        <v>0</v>
      </c>
      <c r="L134" s="5"/>
    </row>
    <row r="135" spans="1:12" customHeight="1" ht="105" outlineLevel="4">
      <c r="A135" s="1"/>
      <c r="B135" s="1">
        <v>833342</v>
      </c>
      <c r="C135" s="1" t="s">
        <v>469</v>
      </c>
      <c r="D135" s="1" t="s">
        <v>470</v>
      </c>
      <c r="E135" s="2" t="s">
        <v>471</v>
      </c>
      <c r="F135" s="2" t="s">
        <v>472</v>
      </c>
      <c r="G135" s="2">
        <v>2</v>
      </c>
      <c r="H135" s="2">
        <v>0</v>
      </c>
      <c r="I135" s="1">
        <v>0</v>
      </c>
      <c r="J135" s="3" t="s">
        <v>16</v>
      </c>
      <c r="K135" s="2" t="str">
        <f>J135*14748.29</f>
        <v>0</v>
      </c>
      <c r="L135" s="5"/>
    </row>
    <row r="136" spans="1:12" customHeight="1" ht="105" outlineLevel="4">
      <c r="A136" s="1"/>
      <c r="B136" s="1">
        <v>833343</v>
      </c>
      <c r="C136" s="1" t="s">
        <v>473</v>
      </c>
      <c r="D136" s="1" t="s">
        <v>474</v>
      </c>
      <c r="E136" s="2" t="s">
        <v>467</v>
      </c>
      <c r="F136" s="2" t="s">
        <v>475</v>
      </c>
      <c r="G136" s="2">
        <v>2</v>
      </c>
      <c r="H136" s="2">
        <v>0</v>
      </c>
      <c r="I136" s="1">
        <v>0</v>
      </c>
      <c r="J136" s="3" t="s">
        <v>16</v>
      </c>
      <c r="K136" s="2" t="str">
        <f>J136*11032.43</f>
        <v>0</v>
      </c>
      <c r="L136" s="5"/>
    </row>
    <row r="137" spans="1:12" customHeight="1" ht="105" outlineLevel="4">
      <c r="A137" s="1"/>
      <c r="B137" s="1">
        <v>833344</v>
      </c>
      <c r="C137" s="1" t="s">
        <v>476</v>
      </c>
      <c r="D137" s="1" t="s">
        <v>477</v>
      </c>
      <c r="E137" s="2" t="s">
        <v>478</v>
      </c>
      <c r="F137" s="2" t="s">
        <v>479</v>
      </c>
      <c r="G137" s="2">
        <v>1</v>
      </c>
      <c r="H137" s="2">
        <v>0</v>
      </c>
      <c r="I137" s="1">
        <v>0</v>
      </c>
      <c r="J137" s="3" t="s">
        <v>16</v>
      </c>
      <c r="K137" s="2" t="str">
        <f>J137*14029.57</f>
        <v>0</v>
      </c>
      <c r="L137" s="5"/>
    </row>
    <row r="138" spans="1:12" customHeight="1" ht="105" outlineLevel="4">
      <c r="A138" s="1"/>
      <c r="B138" s="1">
        <v>833345</v>
      </c>
      <c r="C138" s="1" t="s">
        <v>480</v>
      </c>
      <c r="D138" s="1" t="s">
        <v>481</v>
      </c>
      <c r="E138" s="2" t="s">
        <v>482</v>
      </c>
      <c r="F138" s="2" t="s">
        <v>483</v>
      </c>
      <c r="G138" s="2">
        <v>3</v>
      </c>
      <c r="H138" s="2">
        <v>0</v>
      </c>
      <c r="I138" s="1">
        <v>0</v>
      </c>
      <c r="J138" s="3" t="s">
        <v>16</v>
      </c>
      <c r="K138" s="2" t="str">
        <f>J138*16294.49</f>
        <v>0</v>
      </c>
      <c r="L138" s="5"/>
    </row>
    <row r="139" spans="1:12" customHeight="1" ht="105" outlineLevel="4">
      <c r="A139" s="1"/>
      <c r="B139" s="1">
        <v>833346</v>
      </c>
      <c r="C139" s="1" t="s">
        <v>484</v>
      </c>
      <c r="D139" s="1" t="s">
        <v>485</v>
      </c>
      <c r="E139" s="2" t="s">
        <v>486</v>
      </c>
      <c r="F139" s="2" t="s">
        <v>487</v>
      </c>
      <c r="G139" s="2">
        <v>2</v>
      </c>
      <c r="H139" s="2">
        <v>0</v>
      </c>
      <c r="I139" s="1">
        <v>0</v>
      </c>
      <c r="J139" s="3" t="s">
        <v>16</v>
      </c>
      <c r="K139" s="2" t="str">
        <f>J139*21084.85</f>
        <v>0</v>
      </c>
      <c r="L139" s="5"/>
    </row>
    <row r="140" spans="1:12" customHeight="1" ht="105" outlineLevel="4">
      <c r="A140" s="1"/>
      <c r="B140" s="1">
        <v>833347</v>
      </c>
      <c r="C140" s="1" t="s">
        <v>488</v>
      </c>
      <c r="D140" s="1" t="s">
        <v>489</v>
      </c>
      <c r="E140" s="2" t="s">
        <v>490</v>
      </c>
      <c r="F140" s="2" t="s">
        <v>491</v>
      </c>
      <c r="G140" s="2">
        <v>2</v>
      </c>
      <c r="H140" s="2">
        <v>0</v>
      </c>
      <c r="I140" s="1">
        <v>0</v>
      </c>
      <c r="J140" s="3" t="s">
        <v>16</v>
      </c>
      <c r="K140" s="2" t="str">
        <f>J140*13277.28</f>
        <v>0</v>
      </c>
      <c r="L140" s="5"/>
    </row>
    <row r="141" spans="1:12" customHeight="1" ht="105" outlineLevel="4">
      <c r="A141" s="1"/>
      <c r="B141" s="1">
        <v>833348</v>
      </c>
      <c r="C141" s="1" t="s">
        <v>492</v>
      </c>
      <c r="D141" s="1" t="s">
        <v>493</v>
      </c>
      <c r="E141" s="2" t="s">
        <v>494</v>
      </c>
      <c r="F141" s="2" t="s">
        <v>495</v>
      </c>
      <c r="G141" s="2">
        <v>3</v>
      </c>
      <c r="H141" s="2">
        <v>0</v>
      </c>
      <c r="I141" s="1">
        <v>0</v>
      </c>
      <c r="J141" s="3" t="s">
        <v>16</v>
      </c>
      <c r="K141" s="2" t="str">
        <f>J141*14852.32</f>
        <v>0</v>
      </c>
      <c r="L141" s="5"/>
    </row>
    <row r="142" spans="1:12" customHeight="1" ht="105" outlineLevel="4">
      <c r="A142" s="1"/>
      <c r="B142" s="1">
        <v>833349</v>
      </c>
      <c r="C142" s="1" t="s">
        <v>496</v>
      </c>
      <c r="D142" s="1" t="s">
        <v>497</v>
      </c>
      <c r="E142" s="2" t="s">
        <v>498</v>
      </c>
      <c r="F142" s="2" t="s">
        <v>499</v>
      </c>
      <c r="G142" s="2">
        <v>2</v>
      </c>
      <c r="H142" s="2">
        <v>0</v>
      </c>
      <c r="I142" s="1">
        <v>0</v>
      </c>
      <c r="J142" s="3" t="s">
        <v>16</v>
      </c>
      <c r="K142" s="2" t="str">
        <f>J142*18997.78</f>
        <v>0</v>
      </c>
      <c r="L142" s="5"/>
    </row>
    <row r="143" spans="1:12" customHeight="1" ht="105" outlineLevel="4">
      <c r="A143" s="1"/>
      <c r="B143" s="1">
        <v>833350</v>
      </c>
      <c r="C143" s="1" t="s">
        <v>500</v>
      </c>
      <c r="D143" s="1" t="s">
        <v>501</v>
      </c>
      <c r="E143" s="2" t="s">
        <v>502</v>
      </c>
      <c r="F143" s="2" t="s">
        <v>503</v>
      </c>
      <c r="G143" s="2">
        <v>1</v>
      </c>
      <c r="H143" s="2">
        <v>0</v>
      </c>
      <c r="I143" s="1">
        <v>0</v>
      </c>
      <c r="J143" s="3" t="s">
        <v>16</v>
      </c>
      <c r="K143" s="2" t="str">
        <f>J143*22432.32</f>
        <v>0</v>
      </c>
      <c r="L143" s="5"/>
    </row>
    <row r="144" spans="1:12" customHeight="1" ht="105" outlineLevel="4">
      <c r="A144" s="1"/>
      <c r="B144" s="1">
        <v>833351</v>
      </c>
      <c r="C144" s="1" t="s">
        <v>504</v>
      </c>
      <c r="D144" s="1" t="s">
        <v>505</v>
      </c>
      <c r="E144" s="2" t="s">
        <v>506</v>
      </c>
      <c r="F144" s="2" t="s">
        <v>507</v>
      </c>
      <c r="G144" s="2">
        <v>1</v>
      </c>
      <c r="H144" s="2">
        <v>0</v>
      </c>
      <c r="I144" s="1">
        <v>0</v>
      </c>
      <c r="J144" s="3" t="s">
        <v>16</v>
      </c>
      <c r="K144" s="2" t="str">
        <f>J144*15207.43</f>
        <v>0</v>
      </c>
      <c r="L144" s="5"/>
    </row>
    <row r="145" spans="1:12" customHeight="1" ht="105" outlineLevel="4">
      <c r="A145" s="1"/>
      <c r="B145" s="1">
        <v>833352</v>
      </c>
      <c r="C145" s="1" t="s">
        <v>508</v>
      </c>
      <c r="D145" s="1" t="s">
        <v>509</v>
      </c>
      <c r="E145" s="2" t="s">
        <v>510</v>
      </c>
      <c r="F145" s="2" t="s">
        <v>511</v>
      </c>
      <c r="G145" s="2">
        <v>1</v>
      </c>
      <c r="H145" s="2">
        <v>0</v>
      </c>
      <c r="I145" s="1">
        <v>0</v>
      </c>
      <c r="J145" s="3" t="s">
        <v>16</v>
      </c>
      <c r="K145" s="2" t="str">
        <f>J145*17628.57</f>
        <v>0</v>
      </c>
      <c r="L145" s="5"/>
    </row>
    <row r="146" spans="1:12" customHeight="1" ht="105" outlineLevel="4">
      <c r="A146" s="1"/>
      <c r="B146" s="1">
        <v>833353</v>
      </c>
      <c r="C146" s="1" t="s">
        <v>512</v>
      </c>
      <c r="D146" s="1" t="s">
        <v>513</v>
      </c>
      <c r="E146" s="2" t="s">
        <v>514</v>
      </c>
      <c r="F146" s="2" t="s">
        <v>515</v>
      </c>
      <c r="G146" s="2">
        <v>1</v>
      </c>
      <c r="H146" s="2">
        <v>0</v>
      </c>
      <c r="I146" s="1">
        <v>0</v>
      </c>
      <c r="J146" s="3" t="s">
        <v>16</v>
      </c>
      <c r="K146" s="2" t="str">
        <f>J146*19093.17</f>
        <v>0</v>
      </c>
      <c r="L146" s="5"/>
    </row>
    <row r="147" spans="1:12" customHeight="1" ht="105" outlineLevel="4">
      <c r="A147" s="1"/>
      <c r="B147" s="1">
        <v>833354</v>
      </c>
      <c r="C147" s="1" t="s">
        <v>516</v>
      </c>
      <c r="D147" s="1" t="s">
        <v>517</v>
      </c>
      <c r="E147" s="2" t="s">
        <v>518</v>
      </c>
      <c r="F147" s="2" t="s">
        <v>519</v>
      </c>
      <c r="G147" s="2">
        <v>2</v>
      </c>
      <c r="H147" s="2">
        <v>0</v>
      </c>
      <c r="I147" s="1">
        <v>0</v>
      </c>
      <c r="J147" s="3" t="s">
        <v>16</v>
      </c>
      <c r="K147" s="2" t="str">
        <f>J147*14490.33</f>
        <v>0</v>
      </c>
      <c r="L147" s="5"/>
    </row>
    <row r="148" spans="1:12" customHeight="1" ht="105" outlineLevel="4">
      <c r="A148" s="1"/>
      <c r="B148" s="1">
        <v>833355</v>
      </c>
      <c r="C148" s="1" t="s">
        <v>520</v>
      </c>
      <c r="D148" s="1" t="s">
        <v>521</v>
      </c>
      <c r="E148" s="2" t="s">
        <v>522</v>
      </c>
      <c r="F148" s="2" t="s">
        <v>523</v>
      </c>
      <c r="G148" s="2">
        <v>0</v>
      </c>
      <c r="H148" s="2">
        <v>0</v>
      </c>
      <c r="I148" s="1">
        <v>0</v>
      </c>
      <c r="J148" s="3" t="s">
        <v>16</v>
      </c>
      <c r="K148" s="2" t="str">
        <f>J148*15671.00</f>
        <v>0</v>
      </c>
      <c r="L148" s="5"/>
    </row>
    <row r="149" spans="1:12" customHeight="1" ht="105" outlineLevel="4">
      <c r="A149" s="1"/>
      <c r="B149" s="1">
        <v>833356</v>
      </c>
      <c r="C149" s="1" t="s">
        <v>524</v>
      </c>
      <c r="D149" s="1" t="s">
        <v>525</v>
      </c>
      <c r="E149" s="2" t="s">
        <v>526</v>
      </c>
      <c r="F149" s="2" t="s">
        <v>527</v>
      </c>
      <c r="G149" s="2">
        <v>1</v>
      </c>
      <c r="H149" s="2">
        <v>0</v>
      </c>
      <c r="I149" s="1">
        <v>0</v>
      </c>
      <c r="J149" s="3" t="s">
        <v>16</v>
      </c>
      <c r="K149" s="2" t="str">
        <f>J149*16546.02</f>
        <v>0</v>
      </c>
      <c r="L149" s="5"/>
    </row>
    <row r="150" spans="1:12" customHeight="1" ht="105" outlineLevel="4">
      <c r="A150" s="1"/>
      <c r="B150" s="1">
        <v>833357</v>
      </c>
      <c r="C150" s="1" t="s">
        <v>528</v>
      </c>
      <c r="D150" s="1" t="s">
        <v>529</v>
      </c>
      <c r="E150" s="2" t="s">
        <v>530</v>
      </c>
      <c r="F150" s="2" t="s">
        <v>531</v>
      </c>
      <c r="G150" s="2">
        <v>2</v>
      </c>
      <c r="H150" s="2">
        <v>0</v>
      </c>
      <c r="I150" s="1">
        <v>0</v>
      </c>
      <c r="J150" s="3" t="s">
        <v>16</v>
      </c>
      <c r="K150" s="2" t="str">
        <f>J150*18362.19</f>
        <v>0</v>
      </c>
      <c r="L150" s="5"/>
    </row>
    <row r="151" spans="1:12" customHeight="1" ht="105" outlineLevel="4">
      <c r="A151" s="1"/>
      <c r="B151" s="1">
        <v>833358</v>
      </c>
      <c r="C151" s="1" t="s">
        <v>532</v>
      </c>
      <c r="D151" s="1" t="s">
        <v>533</v>
      </c>
      <c r="E151" s="2" t="s">
        <v>534</v>
      </c>
      <c r="F151" s="2" t="s">
        <v>535</v>
      </c>
      <c r="G151" s="2">
        <v>1</v>
      </c>
      <c r="H151" s="2">
        <v>0</v>
      </c>
      <c r="I151" s="1">
        <v>0</v>
      </c>
      <c r="J151" s="3" t="s">
        <v>16</v>
      </c>
      <c r="K151" s="2" t="str">
        <f>J151*22471.86</f>
        <v>0</v>
      </c>
      <c r="L151" s="5"/>
    </row>
    <row r="152" spans="1:12" customHeight="1" ht="105" outlineLevel="4">
      <c r="A152" s="1"/>
      <c r="B152" s="1">
        <v>833359</v>
      </c>
      <c r="C152" s="1" t="s">
        <v>536</v>
      </c>
      <c r="D152" s="1" t="s">
        <v>537</v>
      </c>
      <c r="E152" s="2" t="s">
        <v>538</v>
      </c>
      <c r="F152" s="2" t="s">
        <v>539</v>
      </c>
      <c r="G152" s="2">
        <v>2</v>
      </c>
      <c r="H152" s="2">
        <v>0</v>
      </c>
      <c r="I152" s="1">
        <v>0</v>
      </c>
      <c r="J152" s="3" t="s">
        <v>16</v>
      </c>
      <c r="K152" s="2" t="str">
        <f>J152*15941.11</f>
        <v>0</v>
      </c>
      <c r="L152" s="5"/>
    </row>
    <row r="153" spans="1:12" customHeight="1" ht="105" outlineLevel="4">
      <c r="A153" s="1"/>
      <c r="B153" s="1">
        <v>833360</v>
      </c>
      <c r="C153" s="1" t="s">
        <v>540</v>
      </c>
      <c r="D153" s="1" t="s">
        <v>541</v>
      </c>
      <c r="E153" s="2" t="s">
        <v>542</v>
      </c>
      <c r="F153" s="2" t="s">
        <v>543</v>
      </c>
      <c r="G153" s="2">
        <v>2</v>
      </c>
      <c r="H153" s="2">
        <v>0</v>
      </c>
      <c r="I153" s="1">
        <v>0</v>
      </c>
      <c r="J153" s="3" t="s">
        <v>16</v>
      </c>
      <c r="K153" s="2" t="str">
        <f>J153*17334.03</f>
        <v>0</v>
      </c>
      <c r="L153" s="5"/>
    </row>
    <row r="154" spans="1:12" customHeight="1" ht="105" outlineLevel="4">
      <c r="A154" s="1"/>
      <c r="B154" s="1">
        <v>833361</v>
      </c>
      <c r="C154" s="1" t="s">
        <v>544</v>
      </c>
      <c r="D154" s="1" t="s">
        <v>545</v>
      </c>
      <c r="E154" s="2" t="s">
        <v>546</v>
      </c>
      <c r="F154" s="2" t="s">
        <v>547</v>
      </c>
      <c r="G154" s="2">
        <v>2</v>
      </c>
      <c r="H154" s="2">
        <v>0</v>
      </c>
      <c r="I154" s="1">
        <v>0</v>
      </c>
      <c r="J154" s="3" t="s">
        <v>16</v>
      </c>
      <c r="K154" s="2" t="str">
        <f>J154*21087.15</f>
        <v>0</v>
      </c>
      <c r="L154" s="5"/>
    </row>
    <row r="155" spans="1:12" customHeight="1" ht="105" outlineLevel="4">
      <c r="A155" s="1"/>
      <c r="B155" s="1">
        <v>833362</v>
      </c>
      <c r="C155" s="1" t="s">
        <v>548</v>
      </c>
      <c r="D155" s="1" t="s">
        <v>549</v>
      </c>
      <c r="E155" s="2" t="s">
        <v>550</v>
      </c>
      <c r="F155" s="2" t="s">
        <v>551</v>
      </c>
      <c r="G155" s="2">
        <v>1</v>
      </c>
      <c r="H155" s="2">
        <v>0</v>
      </c>
      <c r="I155" s="1">
        <v>0</v>
      </c>
      <c r="J155" s="3" t="s">
        <v>16</v>
      </c>
      <c r="K155" s="2" t="str">
        <f>J155*13097.71</f>
        <v>0</v>
      </c>
      <c r="L155" s="5"/>
    </row>
    <row r="156" spans="1:12" customHeight="1" ht="105" outlineLevel="4">
      <c r="A156" s="1"/>
      <c r="B156" s="1">
        <v>833363</v>
      </c>
      <c r="C156" s="1" t="s">
        <v>552</v>
      </c>
      <c r="D156" s="1" t="s">
        <v>553</v>
      </c>
      <c r="E156" s="2" t="s">
        <v>554</v>
      </c>
      <c r="F156" s="2" t="s">
        <v>555</v>
      </c>
      <c r="G156" s="2">
        <v>3</v>
      </c>
      <c r="H156" s="2">
        <v>0</v>
      </c>
      <c r="I156" s="1">
        <v>0</v>
      </c>
      <c r="J156" s="3" t="s">
        <v>16</v>
      </c>
      <c r="K156" s="2" t="str">
        <f>J156*16227.12</f>
        <v>0</v>
      </c>
      <c r="L156" s="5"/>
    </row>
    <row r="157" spans="1:12" customHeight="1" ht="105" outlineLevel="4">
      <c r="A157" s="1"/>
      <c r="B157" s="1">
        <v>833364</v>
      </c>
      <c r="C157" s="1" t="s">
        <v>556</v>
      </c>
      <c r="D157" s="1" t="s">
        <v>557</v>
      </c>
      <c r="E157" s="2" t="s">
        <v>558</v>
      </c>
      <c r="F157" s="2" t="s">
        <v>559</v>
      </c>
      <c r="G157" s="2">
        <v>2</v>
      </c>
      <c r="H157" s="2">
        <v>0</v>
      </c>
      <c r="I157" s="1">
        <v>0</v>
      </c>
      <c r="J157" s="3" t="s">
        <v>16</v>
      </c>
      <c r="K157" s="2" t="str">
        <f>J157*20008.00</f>
        <v>0</v>
      </c>
      <c r="L157" s="5"/>
    </row>
    <row r="158" spans="1:12" customHeight="1" ht="105" outlineLevel="4">
      <c r="A158" s="1"/>
      <c r="B158" s="1">
        <v>833365</v>
      </c>
      <c r="C158" s="1" t="s">
        <v>560</v>
      </c>
      <c r="D158" s="1" t="s">
        <v>561</v>
      </c>
      <c r="E158" s="2" t="s">
        <v>562</v>
      </c>
      <c r="F158" s="2" t="s">
        <v>563</v>
      </c>
      <c r="G158" s="2">
        <v>4</v>
      </c>
      <c r="H158" s="2">
        <v>0</v>
      </c>
      <c r="I158" s="1">
        <v>0</v>
      </c>
      <c r="J158" s="3" t="s">
        <v>16</v>
      </c>
      <c r="K158" s="2" t="str">
        <f>J158*27381.47</f>
        <v>0</v>
      </c>
      <c r="L158" s="5"/>
    </row>
    <row r="159" spans="1:12" customHeight="1" ht="105" outlineLevel="4">
      <c r="A159" s="1"/>
      <c r="B159" s="1">
        <v>833366</v>
      </c>
      <c r="C159" s="1" t="s">
        <v>564</v>
      </c>
      <c r="D159" s="1" t="s">
        <v>565</v>
      </c>
      <c r="E159" s="2" t="s">
        <v>566</v>
      </c>
      <c r="F159" s="2" t="s">
        <v>567</v>
      </c>
      <c r="G159" s="2">
        <v>5</v>
      </c>
      <c r="H159" s="2">
        <v>0</v>
      </c>
      <c r="I159" s="1">
        <v>0</v>
      </c>
      <c r="J159" s="3" t="s">
        <v>16</v>
      </c>
      <c r="K159" s="2" t="str">
        <f>J159*15818.54</f>
        <v>0</v>
      </c>
      <c r="L159" s="5"/>
    </row>
    <row r="160" spans="1:12" customHeight="1" ht="105" outlineLevel="4">
      <c r="A160" s="1"/>
      <c r="B160" s="1">
        <v>833367</v>
      </c>
      <c r="C160" s="1" t="s">
        <v>568</v>
      </c>
      <c r="D160" s="1" t="s">
        <v>569</v>
      </c>
      <c r="E160" s="2" t="s">
        <v>570</v>
      </c>
      <c r="F160" s="2" t="s">
        <v>571</v>
      </c>
      <c r="G160" s="2">
        <v>3</v>
      </c>
      <c r="H160" s="2">
        <v>0</v>
      </c>
      <c r="I160" s="1">
        <v>0</v>
      </c>
      <c r="J160" s="3" t="s">
        <v>16</v>
      </c>
      <c r="K160" s="2" t="str">
        <f>J160*17582.37</f>
        <v>0</v>
      </c>
      <c r="L160" s="5"/>
    </row>
    <row r="161" spans="1:12" customHeight="1" ht="105" outlineLevel="4">
      <c r="A161" s="1"/>
      <c r="B161" s="1">
        <v>833368</v>
      </c>
      <c r="C161" s="1" t="s">
        <v>572</v>
      </c>
      <c r="D161" s="1" t="s">
        <v>573</v>
      </c>
      <c r="E161" s="2" t="s">
        <v>574</v>
      </c>
      <c r="F161" s="2" t="s">
        <v>575</v>
      </c>
      <c r="G161" s="2">
        <v>3</v>
      </c>
      <c r="H161" s="2">
        <v>0</v>
      </c>
      <c r="I161" s="1">
        <v>0</v>
      </c>
      <c r="J161" s="3" t="s">
        <v>16</v>
      </c>
      <c r="K161" s="2" t="str">
        <f>J161*20018.15</f>
        <v>0</v>
      </c>
      <c r="L161" s="5"/>
    </row>
    <row r="162" spans="1:12" customHeight="1" ht="105" outlineLevel="4">
      <c r="A162" s="1"/>
      <c r="B162" s="1">
        <v>833369</v>
      </c>
      <c r="C162" s="1" t="s">
        <v>576</v>
      </c>
      <c r="D162" s="1" t="s">
        <v>577</v>
      </c>
      <c r="E162" s="2" t="s">
        <v>578</v>
      </c>
      <c r="F162" s="2" t="s">
        <v>579</v>
      </c>
      <c r="G162" s="2">
        <v>3</v>
      </c>
      <c r="H162" s="2">
        <v>0</v>
      </c>
      <c r="I162" s="1">
        <v>0</v>
      </c>
      <c r="J162" s="3" t="s">
        <v>16</v>
      </c>
      <c r="K162" s="2" t="str">
        <f>J162*24917.70</f>
        <v>0</v>
      </c>
      <c r="L162" s="5"/>
    </row>
    <row r="163" spans="1:12" customHeight="1" ht="105" outlineLevel="4">
      <c r="A163" s="1"/>
      <c r="B163" s="1">
        <v>833370</v>
      </c>
      <c r="C163" s="1" t="s">
        <v>580</v>
      </c>
      <c r="D163" s="1" t="s">
        <v>581</v>
      </c>
      <c r="E163" s="2" t="s">
        <v>582</v>
      </c>
      <c r="F163" s="2" t="s">
        <v>583</v>
      </c>
      <c r="G163" s="2">
        <v>1</v>
      </c>
      <c r="H163" s="2">
        <v>0</v>
      </c>
      <c r="I163" s="1">
        <v>0</v>
      </c>
      <c r="J163" s="3" t="s">
        <v>16</v>
      </c>
      <c r="K163" s="2" t="str">
        <f>J163*14162.82</f>
        <v>0</v>
      </c>
      <c r="L163" s="5"/>
    </row>
    <row r="164" spans="1:12" customHeight="1" ht="105" outlineLevel="4">
      <c r="A164" s="1"/>
      <c r="B164" s="1">
        <v>833371</v>
      </c>
      <c r="C164" s="1" t="s">
        <v>584</v>
      </c>
      <c r="D164" s="1" t="s">
        <v>585</v>
      </c>
      <c r="E164" s="2" t="s">
        <v>586</v>
      </c>
      <c r="F164" s="2" t="s">
        <v>587</v>
      </c>
      <c r="G164" s="2">
        <v>2</v>
      </c>
      <c r="H164" s="2">
        <v>0</v>
      </c>
      <c r="I164" s="1">
        <v>0</v>
      </c>
      <c r="J164" s="3" t="s">
        <v>16</v>
      </c>
      <c r="K164" s="2" t="str">
        <f>J164*17375.53</f>
        <v>0</v>
      </c>
      <c r="L164" s="5"/>
    </row>
    <row r="165" spans="1:12" customHeight="1" ht="105" outlineLevel="4">
      <c r="A165" s="1"/>
      <c r="B165" s="1">
        <v>833372</v>
      </c>
      <c r="C165" s="1" t="s">
        <v>588</v>
      </c>
      <c r="D165" s="1" t="s">
        <v>589</v>
      </c>
      <c r="E165" s="2" t="s">
        <v>590</v>
      </c>
      <c r="F165" s="2" t="s">
        <v>591</v>
      </c>
      <c r="G165" s="2">
        <v>2</v>
      </c>
      <c r="H165" s="2">
        <v>0</v>
      </c>
      <c r="I165" s="1">
        <v>0</v>
      </c>
      <c r="J165" s="3" t="s">
        <v>16</v>
      </c>
      <c r="K165" s="2" t="str">
        <f>J165*21618.42</f>
        <v>0</v>
      </c>
      <c r="L165" s="5"/>
    </row>
    <row r="166" spans="1:12" customHeight="1" ht="105" outlineLevel="4">
      <c r="A166" s="1"/>
      <c r="B166" s="1">
        <v>833373</v>
      </c>
      <c r="C166" s="1" t="s">
        <v>592</v>
      </c>
      <c r="D166" s="1" t="s">
        <v>593</v>
      </c>
      <c r="E166" s="2" t="s">
        <v>594</v>
      </c>
      <c r="F166" s="2" t="s">
        <v>595</v>
      </c>
      <c r="G166" s="2">
        <v>3</v>
      </c>
      <c r="H166" s="2">
        <v>0</v>
      </c>
      <c r="I166" s="1">
        <v>0</v>
      </c>
      <c r="J166" s="3" t="s">
        <v>16</v>
      </c>
      <c r="K166" s="2" t="str">
        <f>J166*24077.77</f>
        <v>0</v>
      </c>
      <c r="L166" s="5"/>
    </row>
    <row r="167" spans="1:12" customHeight="1" ht="105" outlineLevel="4">
      <c r="A167" s="1"/>
      <c r="B167" s="1">
        <v>833374</v>
      </c>
      <c r="C167" s="1" t="s">
        <v>596</v>
      </c>
      <c r="D167" s="1" t="s">
        <v>597</v>
      </c>
      <c r="E167" s="2" t="s">
        <v>598</v>
      </c>
      <c r="F167" s="2" t="s">
        <v>599</v>
      </c>
      <c r="G167" s="2">
        <v>4</v>
      </c>
      <c r="H167" s="2">
        <v>0</v>
      </c>
      <c r="I167" s="1">
        <v>0</v>
      </c>
      <c r="J167" s="3" t="s">
        <v>16</v>
      </c>
      <c r="K167" s="2" t="str">
        <f>J167*16756.45</f>
        <v>0</v>
      </c>
      <c r="L167" s="5"/>
    </row>
    <row r="168" spans="1:12" customHeight="1" ht="105" outlineLevel="4">
      <c r="A168" s="1"/>
      <c r="B168" s="1">
        <v>833375</v>
      </c>
      <c r="C168" s="1" t="s">
        <v>600</v>
      </c>
      <c r="D168" s="1" t="s">
        <v>601</v>
      </c>
      <c r="E168" s="2" t="s">
        <v>602</v>
      </c>
      <c r="F168" s="2" t="s">
        <v>603</v>
      </c>
      <c r="G168" s="2">
        <v>1</v>
      </c>
      <c r="H168" s="2">
        <v>0</v>
      </c>
      <c r="I168" s="1">
        <v>0</v>
      </c>
      <c r="J168" s="3" t="s">
        <v>16</v>
      </c>
      <c r="K168" s="2" t="str">
        <f>J168*19195.03</f>
        <v>0</v>
      </c>
      <c r="L168" s="5"/>
    </row>
    <row r="169" spans="1:12" customHeight="1" ht="105" outlineLevel="4">
      <c r="A169" s="1"/>
      <c r="B169" s="1">
        <v>833376</v>
      </c>
      <c r="C169" s="1" t="s">
        <v>604</v>
      </c>
      <c r="D169" s="1" t="s">
        <v>605</v>
      </c>
      <c r="E169" s="2" t="s">
        <v>606</v>
      </c>
      <c r="F169" s="2" t="s">
        <v>607</v>
      </c>
      <c r="G169" s="2">
        <v>0</v>
      </c>
      <c r="H169" s="2">
        <v>0</v>
      </c>
      <c r="I169" s="1">
        <v>0</v>
      </c>
      <c r="J169" s="3" t="s">
        <v>16</v>
      </c>
      <c r="K169" s="2" t="str">
        <f>J169*21017.66</f>
        <v>0</v>
      </c>
      <c r="L169" s="5"/>
    </row>
    <row r="170" spans="1:12" customHeight="1" ht="105" outlineLevel="4">
      <c r="A170" s="1"/>
      <c r="B170" s="1">
        <v>833377</v>
      </c>
      <c r="C170" s="1" t="s">
        <v>608</v>
      </c>
      <c r="D170" s="1" t="s">
        <v>609</v>
      </c>
      <c r="E170" s="2" t="s">
        <v>610</v>
      </c>
      <c r="F170" s="2" t="s">
        <v>611</v>
      </c>
      <c r="G170" s="2">
        <v>0</v>
      </c>
      <c r="H170" s="2">
        <v>0</v>
      </c>
      <c r="I170" s="1">
        <v>0</v>
      </c>
      <c r="J170" s="3" t="s">
        <v>16</v>
      </c>
      <c r="K170" s="2" t="str">
        <f>J170*25724.02</f>
        <v>0</v>
      </c>
      <c r="L170" s="5"/>
    </row>
    <row r="171" spans="1:12" customHeight="1" ht="105" outlineLevel="4">
      <c r="A171" s="1"/>
      <c r="B171" s="1">
        <v>839070</v>
      </c>
      <c r="C171" s="1" t="s">
        <v>612</v>
      </c>
      <c r="D171" s="1" t="s">
        <v>613</v>
      </c>
      <c r="E171" s="2" t="s">
        <v>614</v>
      </c>
      <c r="F171" s="2" t="s">
        <v>615</v>
      </c>
      <c r="G171" s="2">
        <v>0</v>
      </c>
      <c r="H171" s="2">
        <v>0</v>
      </c>
      <c r="I171" s="1">
        <v>0</v>
      </c>
      <c r="J171" s="3" t="s">
        <v>16</v>
      </c>
      <c r="K171" s="2" t="str">
        <f>J171*8817.08</f>
        <v>0</v>
      </c>
      <c r="L171" s="5"/>
    </row>
    <row r="172" spans="1:12" customHeight="1" ht="105" outlineLevel="4">
      <c r="A172" s="1"/>
      <c r="B172" s="1">
        <v>839071</v>
      </c>
      <c r="C172" s="1" t="s">
        <v>616</v>
      </c>
      <c r="D172" s="1" t="s">
        <v>617</v>
      </c>
      <c r="E172" s="2" t="s">
        <v>618</v>
      </c>
      <c r="F172" s="2" t="s">
        <v>619</v>
      </c>
      <c r="G172" s="2">
        <v>1</v>
      </c>
      <c r="H172" s="2">
        <v>0</v>
      </c>
      <c r="I172" s="1">
        <v>0</v>
      </c>
      <c r="J172" s="3" t="s">
        <v>16</v>
      </c>
      <c r="K172" s="2" t="str">
        <f>J172*9740.30</f>
        <v>0</v>
      </c>
      <c r="L172" s="5"/>
    </row>
    <row r="173" spans="1:12" customHeight="1" ht="105" outlineLevel="4">
      <c r="A173" s="1"/>
      <c r="B173" s="1">
        <v>839072</v>
      </c>
      <c r="C173" s="1" t="s">
        <v>620</v>
      </c>
      <c r="D173" s="1" t="s">
        <v>621</v>
      </c>
      <c r="E173" s="2" t="s">
        <v>622</v>
      </c>
      <c r="F173" s="2" t="s">
        <v>623</v>
      </c>
      <c r="G173" s="2">
        <v>2</v>
      </c>
      <c r="H173" s="2">
        <v>0</v>
      </c>
      <c r="I173" s="1">
        <v>0</v>
      </c>
      <c r="J173" s="3" t="s">
        <v>16</v>
      </c>
      <c r="K173" s="2" t="str">
        <f>J173*15626.47</f>
        <v>0</v>
      </c>
      <c r="L173" s="5"/>
    </row>
    <row r="174" spans="1:12" customHeight="1" ht="105" outlineLevel="4">
      <c r="A174" s="1"/>
      <c r="B174" s="1">
        <v>839073</v>
      </c>
      <c r="C174" s="1" t="s">
        <v>624</v>
      </c>
      <c r="D174" s="1" t="s">
        <v>625</v>
      </c>
      <c r="E174" s="2" t="s">
        <v>626</v>
      </c>
      <c r="F174" s="2" t="s">
        <v>627</v>
      </c>
      <c r="G174" s="2">
        <v>1</v>
      </c>
      <c r="H174" s="2">
        <v>0</v>
      </c>
      <c r="I174" s="1">
        <v>0</v>
      </c>
      <c r="J174" s="3" t="s">
        <v>16</v>
      </c>
      <c r="K174" s="2" t="str">
        <f>J174*19386.78</f>
        <v>0</v>
      </c>
      <c r="L174" s="5"/>
    </row>
    <row r="175" spans="1:12" customHeight="1" ht="105" outlineLevel="4">
      <c r="A175" s="1"/>
      <c r="B175" s="1">
        <v>839074</v>
      </c>
      <c r="C175" s="1" t="s">
        <v>628</v>
      </c>
      <c r="D175" s="1" t="s">
        <v>629</v>
      </c>
      <c r="E175" s="2" t="s">
        <v>630</v>
      </c>
      <c r="F175" s="2" t="s">
        <v>631</v>
      </c>
      <c r="G175" s="2">
        <v>1</v>
      </c>
      <c r="H175" s="2">
        <v>0</v>
      </c>
      <c r="I175" s="1">
        <v>0</v>
      </c>
      <c r="J175" s="3" t="s">
        <v>16</v>
      </c>
      <c r="K175" s="2" t="str">
        <f>J175*24719.65</f>
        <v>0</v>
      </c>
      <c r="L175" s="5"/>
    </row>
    <row r="176" spans="1:12" customHeight="1" ht="105" outlineLevel="4">
      <c r="A176" s="1"/>
      <c r="B176" s="1">
        <v>839075</v>
      </c>
      <c r="C176" s="1" t="s">
        <v>632</v>
      </c>
      <c r="D176" s="1" t="s">
        <v>633</v>
      </c>
      <c r="E176" s="2" t="s">
        <v>634</v>
      </c>
      <c r="F176" s="2" t="s">
        <v>607</v>
      </c>
      <c r="G176" s="2">
        <v>2</v>
      </c>
      <c r="H176" s="2">
        <v>0</v>
      </c>
      <c r="I176" s="1">
        <v>0</v>
      </c>
      <c r="J176" s="3" t="s">
        <v>16</v>
      </c>
      <c r="K176" s="2" t="str">
        <f>J176*21017.66</f>
        <v>0</v>
      </c>
      <c r="L176" s="5"/>
    </row>
    <row r="177" spans="1:12" customHeight="1" ht="105" outlineLevel="4">
      <c r="A177" s="1"/>
      <c r="B177" s="1">
        <v>839824</v>
      </c>
      <c r="C177" s="1" t="s">
        <v>635</v>
      </c>
      <c r="D177" s="1" t="s">
        <v>636</v>
      </c>
      <c r="E177" s="2" t="s">
        <v>637</v>
      </c>
      <c r="F177" s="2" t="s">
        <v>638</v>
      </c>
      <c r="G177" s="2">
        <v>1</v>
      </c>
      <c r="H177" s="2">
        <v>0</v>
      </c>
      <c r="I177" s="1">
        <v>0</v>
      </c>
      <c r="J177" s="3" t="s">
        <v>16</v>
      </c>
      <c r="K177" s="2" t="str">
        <f>J177*11692.09</f>
        <v>0</v>
      </c>
      <c r="L177" s="5"/>
    </row>
    <row r="178" spans="1:12" customHeight="1" ht="105" outlineLevel="4">
      <c r="A178" s="1"/>
      <c r="B178" s="1">
        <v>839825</v>
      </c>
      <c r="C178" s="1" t="s">
        <v>639</v>
      </c>
      <c r="D178" s="1" t="s">
        <v>640</v>
      </c>
      <c r="E178" s="2" t="s">
        <v>641</v>
      </c>
      <c r="F178" s="2" t="s">
        <v>642</v>
      </c>
      <c r="G178" s="2">
        <v>1</v>
      </c>
      <c r="H178" s="2">
        <v>0</v>
      </c>
      <c r="I178" s="1">
        <v>0</v>
      </c>
      <c r="J178" s="3" t="s">
        <v>16</v>
      </c>
      <c r="K178" s="2" t="str">
        <f>J178*12970.54</f>
        <v>0</v>
      </c>
      <c r="L178" s="5"/>
    </row>
    <row r="179" spans="1:12" customHeight="1" ht="105" outlineLevel="4">
      <c r="A179" s="1"/>
      <c r="B179" s="1">
        <v>839826</v>
      </c>
      <c r="C179" s="1" t="s">
        <v>643</v>
      </c>
      <c r="D179" s="1" t="s">
        <v>644</v>
      </c>
      <c r="E179" s="2" t="s">
        <v>645</v>
      </c>
      <c r="F179" s="2" t="s">
        <v>646</v>
      </c>
      <c r="G179" s="2">
        <v>1</v>
      </c>
      <c r="H179" s="2">
        <v>0</v>
      </c>
      <c r="I179" s="1">
        <v>0</v>
      </c>
      <c r="J179" s="3" t="s">
        <v>16</v>
      </c>
      <c r="K179" s="2" t="str">
        <f>J179*14288.00</f>
        <v>0</v>
      </c>
      <c r="L179" s="5"/>
    </row>
    <row r="180" spans="1:12" customHeight="1" ht="105" outlineLevel="4">
      <c r="A180" s="1"/>
      <c r="B180" s="1">
        <v>839827</v>
      </c>
      <c r="C180" s="1" t="s">
        <v>647</v>
      </c>
      <c r="D180" s="1" t="s">
        <v>648</v>
      </c>
      <c r="E180" s="2" t="s">
        <v>649</v>
      </c>
      <c r="F180" s="2" t="s">
        <v>650</v>
      </c>
      <c r="G180" s="2">
        <v>1</v>
      </c>
      <c r="H180" s="2">
        <v>0</v>
      </c>
      <c r="I180" s="1">
        <v>0</v>
      </c>
      <c r="J180" s="3" t="s">
        <v>16</v>
      </c>
      <c r="K180" s="2" t="str">
        <f>J180*16919.92</f>
        <v>0</v>
      </c>
      <c r="L180" s="5"/>
    </row>
    <row r="181" spans="1:12" customHeight="1" ht="105" outlineLevel="4">
      <c r="A181" s="1"/>
      <c r="B181" s="1">
        <v>839828</v>
      </c>
      <c r="C181" s="1" t="s">
        <v>651</v>
      </c>
      <c r="D181" s="1" t="s">
        <v>652</v>
      </c>
      <c r="E181" s="2" t="s">
        <v>653</v>
      </c>
      <c r="F181" s="2" t="s">
        <v>654</v>
      </c>
      <c r="G181" s="2">
        <v>1</v>
      </c>
      <c r="H181" s="2">
        <v>0</v>
      </c>
      <c r="I181" s="1">
        <v>0</v>
      </c>
      <c r="J181" s="3" t="s">
        <v>16</v>
      </c>
      <c r="K181" s="2" t="str">
        <f>J181*23331.17</f>
        <v>0</v>
      </c>
      <c r="L181" s="5"/>
    </row>
    <row r="182" spans="1:12" customHeight="1" ht="105" outlineLevel="4">
      <c r="A182" s="1"/>
      <c r="B182" s="1">
        <v>839829</v>
      </c>
      <c r="C182" s="1" t="s">
        <v>655</v>
      </c>
      <c r="D182" s="1" t="s">
        <v>656</v>
      </c>
      <c r="E182" s="2" t="s">
        <v>657</v>
      </c>
      <c r="F182" s="2" t="s">
        <v>34</v>
      </c>
      <c r="G182" s="2">
        <v>0</v>
      </c>
      <c r="H182" s="2">
        <v>0</v>
      </c>
      <c r="I182" s="1">
        <v>0</v>
      </c>
      <c r="J182" s="3" t="s">
        <v>16</v>
      </c>
      <c r="K182" s="2" t="str">
        <f>J182*0.00</f>
        <v>0</v>
      </c>
      <c r="L182" s="5"/>
    </row>
    <row r="183" spans="1:12" customHeight="1" ht="105" outlineLevel="4">
      <c r="A183" s="1"/>
      <c r="B183" s="1">
        <v>839830</v>
      </c>
      <c r="C183" s="1" t="s">
        <v>658</v>
      </c>
      <c r="D183" s="1" t="s">
        <v>659</v>
      </c>
      <c r="E183" s="2" t="s">
        <v>660</v>
      </c>
      <c r="F183" s="2" t="s">
        <v>661</v>
      </c>
      <c r="G183" s="2">
        <v>0</v>
      </c>
      <c r="H183" s="2">
        <v>0</v>
      </c>
      <c r="I183" s="1">
        <v>0</v>
      </c>
      <c r="J183" s="3" t="s">
        <v>16</v>
      </c>
      <c r="K183" s="2" t="str">
        <f>J183*16134.34</f>
        <v>0</v>
      </c>
      <c r="L183" s="5"/>
    </row>
    <row r="184" spans="1:12" customHeight="1" ht="105" outlineLevel="4">
      <c r="A184" s="1"/>
      <c r="B184" s="1">
        <v>839831</v>
      </c>
      <c r="C184" s="1" t="s">
        <v>662</v>
      </c>
      <c r="D184" s="1" t="s">
        <v>663</v>
      </c>
      <c r="E184" s="2" t="s">
        <v>664</v>
      </c>
      <c r="F184" s="2" t="s">
        <v>665</v>
      </c>
      <c r="G184" s="2">
        <v>0</v>
      </c>
      <c r="H184" s="2">
        <v>0</v>
      </c>
      <c r="I184" s="1">
        <v>0</v>
      </c>
      <c r="J184" s="3" t="s">
        <v>16</v>
      </c>
      <c r="K184" s="2" t="str">
        <f>J184*33666.57</f>
        <v>0</v>
      </c>
      <c r="L184" s="5"/>
    </row>
    <row r="185" spans="1:12" customHeight="1" ht="105" outlineLevel="4">
      <c r="A185" s="1"/>
      <c r="B185" s="1">
        <v>878011</v>
      </c>
      <c r="C185" s="1" t="s">
        <v>666</v>
      </c>
      <c r="D185" s="1" t="s">
        <v>667</v>
      </c>
      <c r="E185" s="2" t="s">
        <v>668</v>
      </c>
      <c r="F185" s="2" t="s">
        <v>669</v>
      </c>
      <c r="G185" s="2">
        <v>7</v>
      </c>
      <c r="H185" s="2">
        <v>0</v>
      </c>
      <c r="I185" s="1">
        <v>0</v>
      </c>
      <c r="J185" s="3" t="s">
        <v>16</v>
      </c>
      <c r="K185" s="2" t="str">
        <f>J185*7940.78</f>
        <v>0</v>
      </c>
      <c r="L185" s="5"/>
    </row>
    <row r="186" spans="1:12" customHeight="1" ht="105" outlineLevel="4">
      <c r="A186" s="1"/>
      <c r="B186" s="1">
        <v>878012</v>
      </c>
      <c r="C186" s="1" t="s">
        <v>670</v>
      </c>
      <c r="D186" s="1" t="s">
        <v>671</v>
      </c>
      <c r="E186" s="2" t="s">
        <v>672</v>
      </c>
      <c r="F186" s="2" t="s">
        <v>673</v>
      </c>
      <c r="G186" s="2">
        <v>4</v>
      </c>
      <c r="H186" s="2">
        <v>0</v>
      </c>
      <c r="I186" s="1">
        <v>0</v>
      </c>
      <c r="J186" s="3" t="s">
        <v>16</v>
      </c>
      <c r="K186" s="2" t="str">
        <f>J186*9231.23</f>
        <v>0</v>
      </c>
      <c r="L186" s="5"/>
    </row>
    <row r="187" spans="1:12" customHeight="1" ht="105" outlineLevel="4">
      <c r="A187" s="1"/>
      <c r="B187" s="1">
        <v>878013</v>
      </c>
      <c r="C187" s="1" t="s">
        <v>674</v>
      </c>
      <c r="D187" s="1" t="s">
        <v>675</v>
      </c>
      <c r="E187" s="2" t="s">
        <v>676</v>
      </c>
      <c r="F187" s="2" t="s">
        <v>677</v>
      </c>
      <c r="G187" s="2">
        <v>1</v>
      </c>
      <c r="H187" s="2">
        <v>0</v>
      </c>
      <c r="I187" s="1">
        <v>0</v>
      </c>
      <c r="J187" s="3" t="s">
        <v>16</v>
      </c>
      <c r="K187" s="2" t="str">
        <f>J187*10695.74</f>
        <v>0</v>
      </c>
      <c r="L187" s="5"/>
    </row>
    <row r="188" spans="1:12" outlineLevel="1">
      <c r="A188" s="7" t="s">
        <v>678</v>
      </c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5"/>
    </row>
    <row r="189" spans="1:12" outlineLevel="2">
      <c r="A189" s="8" t="s">
        <v>679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5"/>
    </row>
    <row r="190" spans="1:12" customHeight="1" ht="105" outlineLevel="4">
      <c r="A190" s="1"/>
      <c r="B190" s="1">
        <v>822224</v>
      </c>
      <c r="C190" s="1" t="s">
        <v>680</v>
      </c>
      <c r="D190" s="1" t="s">
        <v>681</v>
      </c>
      <c r="E190" s="2" t="s">
        <v>682</v>
      </c>
      <c r="F190" s="2" t="s">
        <v>683</v>
      </c>
      <c r="G190" s="2">
        <v>3</v>
      </c>
      <c r="H190" s="2" t="s">
        <v>84</v>
      </c>
      <c r="I190" s="1">
        <v>0</v>
      </c>
      <c r="J190" s="3" t="s">
        <v>16</v>
      </c>
      <c r="K190" s="2" t="str">
        <f>J190*3989.00</f>
        <v>0</v>
      </c>
      <c r="L190" s="5"/>
    </row>
    <row r="191" spans="1:12" customHeight="1" ht="105" outlineLevel="4">
      <c r="A191" s="1"/>
      <c r="B191" s="1">
        <v>822225</v>
      </c>
      <c r="C191" s="1" t="s">
        <v>684</v>
      </c>
      <c r="D191" s="1" t="s">
        <v>685</v>
      </c>
      <c r="E191" s="2" t="s">
        <v>686</v>
      </c>
      <c r="F191" s="2" t="s">
        <v>683</v>
      </c>
      <c r="G191" s="2" t="s">
        <v>83</v>
      </c>
      <c r="H191" s="2" t="s">
        <v>84</v>
      </c>
      <c r="I191" s="1">
        <v>0</v>
      </c>
      <c r="J191" s="3" t="s">
        <v>16</v>
      </c>
      <c r="K191" s="2" t="str">
        <f>J191*3989.00</f>
        <v>0</v>
      </c>
      <c r="L191" s="5"/>
    </row>
    <row r="192" spans="1:12" customHeight="1" ht="105" outlineLevel="4">
      <c r="A192" s="1"/>
      <c r="B192" s="1">
        <v>822226</v>
      </c>
      <c r="C192" s="1" t="s">
        <v>687</v>
      </c>
      <c r="D192" s="1" t="s">
        <v>688</v>
      </c>
      <c r="E192" s="2" t="s">
        <v>689</v>
      </c>
      <c r="F192" s="2" t="s">
        <v>690</v>
      </c>
      <c r="G192" s="2">
        <v>10</v>
      </c>
      <c r="H192" s="2" t="s">
        <v>84</v>
      </c>
      <c r="I192" s="1">
        <v>0</v>
      </c>
      <c r="J192" s="3" t="s">
        <v>16</v>
      </c>
      <c r="K192" s="2" t="str">
        <f>J192*4186.00</f>
        <v>0</v>
      </c>
      <c r="L192" s="5"/>
    </row>
    <row r="193" spans="1:12" customHeight="1" ht="105" outlineLevel="4">
      <c r="A193" s="1"/>
      <c r="B193" s="1">
        <v>822227</v>
      </c>
      <c r="C193" s="1" t="s">
        <v>691</v>
      </c>
      <c r="D193" s="1" t="s">
        <v>692</v>
      </c>
      <c r="E193" s="2" t="s">
        <v>693</v>
      </c>
      <c r="F193" s="2" t="s">
        <v>694</v>
      </c>
      <c r="G193" s="2">
        <v>4</v>
      </c>
      <c r="H193" s="2" t="s">
        <v>84</v>
      </c>
      <c r="I193" s="1">
        <v>0</v>
      </c>
      <c r="J193" s="3" t="s">
        <v>16</v>
      </c>
      <c r="K193" s="2" t="str">
        <f>J193*8117.00</f>
        <v>0</v>
      </c>
      <c r="L193" s="5"/>
    </row>
    <row r="194" spans="1:12" customHeight="1" ht="105" outlineLevel="4">
      <c r="A194" s="1"/>
      <c r="B194" s="1">
        <v>822228</v>
      </c>
      <c r="C194" s="1" t="s">
        <v>695</v>
      </c>
      <c r="D194" s="1" t="s">
        <v>696</v>
      </c>
      <c r="E194" s="2" t="s">
        <v>697</v>
      </c>
      <c r="F194" s="2" t="s">
        <v>698</v>
      </c>
      <c r="G194" s="2">
        <v>1</v>
      </c>
      <c r="H194" s="2" t="s">
        <v>73</v>
      </c>
      <c r="I194" s="1">
        <v>0</v>
      </c>
      <c r="J194" s="3" t="s">
        <v>16</v>
      </c>
      <c r="K194" s="2" t="str">
        <f>J194*8286.00</f>
        <v>0</v>
      </c>
      <c r="L194" s="5"/>
    </row>
    <row r="195" spans="1:12" customHeight="1" ht="105" outlineLevel="4">
      <c r="A195" s="1"/>
      <c r="B195" s="1">
        <v>822229</v>
      </c>
      <c r="C195" s="1" t="s">
        <v>699</v>
      </c>
      <c r="D195" s="1" t="s">
        <v>700</v>
      </c>
      <c r="E195" s="2" t="s">
        <v>701</v>
      </c>
      <c r="F195" s="2" t="s">
        <v>690</v>
      </c>
      <c r="G195" s="2" t="s">
        <v>83</v>
      </c>
      <c r="H195" s="2" t="s">
        <v>84</v>
      </c>
      <c r="I195" s="1">
        <v>0</v>
      </c>
      <c r="J195" s="3" t="s">
        <v>16</v>
      </c>
      <c r="K195" s="2" t="str">
        <f>J195*4186.00</f>
        <v>0</v>
      </c>
      <c r="L195" s="5"/>
    </row>
    <row r="196" spans="1:12" customHeight="1" ht="105" outlineLevel="4">
      <c r="A196" s="1"/>
      <c r="B196" s="1">
        <v>822230</v>
      </c>
      <c r="C196" s="1" t="s">
        <v>702</v>
      </c>
      <c r="D196" s="1" t="s">
        <v>703</v>
      </c>
      <c r="E196" s="2" t="s">
        <v>704</v>
      </c>
      <c r="F196" s="2" t="s">
        <v>705</v>
      </c>
      <c r="G196" s="2">
        <v>7</v>
      </c>
      <c r="H196" s="2" t="s">
        <v>84</v>
      </c>
      <c r="I196" s="1">
        <v>0</v>
      </c>
      <c r="J196" s="3" t="s">
        <v>16</v>
      </c>
      <c r="K196" s="2" t="str">
        <f>J196*8077.00</f>
        <v>0</v>
      </c>
      <c r="L196" s="5"/>
    </row>
    <row r="197" spans="1:12" customHeight="1" ht="105" outlineLevel="4">
      <c r="A197" s="1"/>
      <c r="B197" s="1">
        <v>822231</v>
      </c>
      <c r="C197" s="1" t="s">
        <v>706</v>
      </c>
      <c r="D197" s="1" t="s">
        <v>707</v>
      </c>
      <c r="E197" s="2" t="s">
        <v>708</v>
      </c>
      <c r="F197" s="2" t="s">
        <v>709</v>
      </c>
      <c r="G197" s="2">
        <v>4</v>
      </c>
      <c r="H197" s="2" t="s">
        <v>84</v>
      </c>
      <c r="I197" s="1">
        <v>0</v>
      </c>
      <c r="J197" s="3" t="s">
        <v>16</v>
      </c>
      <c r="K197" s="2" t="str">
        <f>J197*4176.00</f>
        <v>0</v>
      </c>
      <c r="L197" s="5"/>
    </row>
    <row r="198" spans="1:12" customHeight="1" ht="105" outlineLevel="4">
      <c r="A198" s="1"/>
      <c r="B198" s="1">
        <v>822232</v>
      </c>
      <c r="C198" s="1" t="s">
        <v>710</v>
      </c>
      <c r="D198" s="1" t="s">
        <v>711</v>
      </c>
      <c r="E198" s="2" t="s">
        <v>712</v>
      </c>
      <c r="F198" s="2" t="s">
        <v>713</v>
      </c>
      <c r="G198" s="2">
        <v>7</v>
      </c>
      <c r="H198" s="2" t="s">
        <v>84</v>
      </c>
      <c r="I198" s="1">
        <v>0</v>
      </c>
      <c r="J198" s="3" t="s">
        <v>16</v>
      </c>
      <c r="K198" s="2" t="str">
        <f>J198*4498.00</f>
        <v>0</v>
      </c>
      <c r="L198" s="5"/>
    </row>
    <row r="199" spans="1:12" customHeight="1" ht="105" outlineLevel="4">
      <c r="A199" s="1"/>
      <c r="B199" s="1">
        <v>822233</v>
      </c>
      <c r="C199" s="1" t="s">
        <v>714</v>
      </c>
      <c r="D199" s="1" t="s">
        <v>715</v>
      </c>
      <c r="E199" s="2" t="s">
        <v>716</v>
      </c>
      <c r="F199" s="2" t="s">
        <v>717</v>
      </c>
      <c r="G199" s="2">
        <v>7</v>
      </c>
      <c r="H199" s="2" t="s">
        <v>84</v>
      </c>
      <c r="I199" s="1">
        <v>0</v>
      </c>
      <c r="J199" s="3" t="s">
        <v>16</v>
      </c>
      <c r="K199" s="2" t="str">
        <f>J199*8210.00</f>
        <v>0</v>
      </c>
      <c r="L199" s="5"/>
    </row>
    <row r="200" spans="1:12" customHeight="1" ht="105" outlineLevel="4">
      <c r="A200" s="1"/>
      <c r="B200" s="1">
        <v>822234</v>
      </c>
      <c r="C200" s="1" t="s">
        <v>718</v>
      </c>
      <c r="D200" s="1" t="s">
        <v>719</v>
      </c>
      <c r="E200" s="2" t="s">
        <v>720</v>
      </c>
      <c r="F200" s="2" t="s">
        <v>721</v>
      </c>
      <c r="G200" s="2">
        <v>8</v>
      </c>
      <c r="H200" s="2" t="s">
        <v>84</v>
      </c>
      <c r="I200" s="1">
        <v>0</v>
      </c>
      <c r="J200" s="3" t="s">
        <v>16</v>
      </c>
      <c r="K200" s="2" t="str">
        <f>J200*5712.00</f>
        <v>0</v>
      </c>
      <c r="L200" s="5"/>
    </row>
    <row r="201" spans="1:12" customHeight="1" ht="105" outlineLevel="4">
      <c r="A201" s="1"/>
      <c r="B201" s="1">
        <v>822235</v>
      </c>
      <c r="C201" s="1" t="s">
        <v>722</v>
      </c>
      <c r="D201" s="1" t="s">
        <v>723</v>
      </c>
      <c r="E201" s="2" t="s">
        <v>724</v>
      </c>
      <c r="F201" s="2" t="s">
        <v>725</v>
      </c>
      <c r="G201" s="2">
        <v>3</v>
      </c>
      <c r="H201" s="2" t="s">
        <v>89</v>
      </c>
      <c r="I201" s="1">
        <v>0</v>
      </c>
      <c r="J201" s="3" t="s">
        <v>16</v>
      </c>
      <c r="K201" s="2" t="str">
        <f>J201*10374.00</f>
        <v>0</v>
      </c>
      <c r="L201" s="5"/>
    </row>
    <row r="202" spans="1:12" customHeight="1" ht="105" outlineLevel="4">
      <c r="A202" s="1"/>
      <c r="B202" s="1">
        <v>822236</v>
      </c>
      <c r="C202" s="1" t="s">
        <v>726</v>
      </c>
      <c r="D202" s="1" t="s">
        <v>727</v>
      </c>
      <c r="E202" s="2" t="s">
        <v>728</v>
      </c>
      <c r="F202" s="2" t="s">
        <v>729</v>
      </c>
      <c r="G202" s="2">
        <v>4</v>
      </c>
      <c r="H202" s="2" t="s">
        <v>84</v>
      </c>
      <c r="I202" s="1">
        <v>0</v>
      </c>
      <c r="J202" s="3" t="s">
        <v>16</v>
      </c>
      <c r="K202" s="2" t="str">
        <f>J202*5777.00</f>
        <v>0</v>
      </c>
      <c r="L202" s="5"/>
    </row>
    <row r="203" spans="1:12" outlineLevel="2">
      <c r="A203" s="8" t="s">
        <v>730</v>
      </c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5"/>
    </row>
    <row r="204" spans="1:12" customHeight="1" ht="105" outlineLevel="4">
      <c r="A204" s="1"/>
      <c r="B204" s="1">
        <v>834464</v>
      </c>
      <c r="C204" s="1" t="s">
        <v>731</v>
      </c>
      <c r="D204" s="1" t="s">
        <v>732</v>
      </c>
      <c r="E204" s="2" t="s">
        <v>733</v>
      </c>
      <c r="F204" s="2" t="s">
        <v>734</v>
      </c>
      <c r="G204" s="2">
        <v>0</v>
      </c>
      <c r="H204" s="2">
        <v>0</v>
      </c>
      <c r="I204" s="1">
        <v>0</v>
      </c>
      <c r="J204" s="3" t="s">
        <v>16</v>
      </c>
      <c r="K204" s="2" t="str">
        <f>J204*3289.57</f>
        <v>0</v>
      </c>
      <c r="L204" s="5"/>
    </row>
    <row r="205" spans="1:12" customHeight="1" ht="105" outlineLevel="4">
      <c r="A205" s="1"/>
      <c r="B205" s="1">
        <v>834465</v>
      </c>
      <c r="C205" s="1" t="s">
        <v>735</v>
      </c>
      <c r="D205" s="1" t="s">
        <v>736</v>
      </c>
      <c r="E205" s="2" t="s">
        <v>737</v>
      </c>
      <c r="F205" s="2" t="s">
        <v>738</v>
      </c>
      <c r="G205" s="2">
        <v>3</v>
      </c>
      <c r="H205" s="2">
        <v>0</v>
      </c>
      <c r="I205" s="1">
        <v>0</v>
      </c>
      <c r="J205" s="3" t="s">
        <v>16</v>
      </c>
      <c r="K205" s="2" t="str">
        <f>J205*3584.94</f>
        <v>0</v>
      </c>
      <c r="L205" s="5"/>
    </row>
    <row r="206" spans="1:12" customHeight="1" ht="105" outlineLevel="4">
      <c r="A206" s="1"/>
      <c r="B206" s="1">
        <v>834466</v>
      </c>
      <c r="C206" s="1" t="s">
        <v>739</v>
      </c>
      <c r="D206" s="1" t="s">
        <v>740</v>
      </c>
      <c r="E206" s="2" t="s">
        <v>741</v>
      </c>
      <c r="F206" s="2" t="s">
        <v>34</v>
      </c>
      <c r="G206" s="2">
        <v>0</v>
      </c>
      <c r="H206" s="2">
        <v>0</v>
      </c>
      <c r="I206" s="1">
        <v>0</v>
      </c>
      <c r="J206" s="3" t="s">
        <v>16</v>
      </c>
      <c r="K206" s="2" t="str">
        <f>J206*0.00</f>
        <v>0</v>
      </c>
      <c r="L206" s="5"/>
    </row>
    <row r="207" spans="1:12" customHeight="1" ht="105" outlineLevel="4">
      <c r="A207" s="1"/>
      <c r="B207" s="1">
        <v>834467</v>
      </c>
      <c r="C207" s="1" t="s">
        <v>742</v>
      </c>
      <c r="D207" s="1" t="s">
        <v>743</v>
      </c>
      <c r="E207" s="2" t="s">
        <v>744</v>
      </c>
      <c r="F207" s="2" t="s">
        <v>745</v>
      </c>
      <c r="G207" s="2">
        <v>3</v>
      </c>
      <c r="H207" s="2">
        <v>0</v>
      </c>
      <c r="I207" s="1">
        <v>0</v>
      </c>
      <c r="J207" s="3" t="s">
        <v>16</v>
      </c>
      <c r="K207" s="2" t="str">
        <f>J207*3563.30</f>
        <v>0</v>
      </c>
      <c r="L207" s="5"/>
    </row>
    <row r="208" spans="1:12" customHeight="1" ht="105" outlineLevel="4">
      <c r="A208" s="1"/>
      <c r="B208" s="1">
        <v>834468</v>
      </c>
      <c r="C208" s="1" t="s">
        <v>746</v>
      </c>
      <c r="D208" s="1" t="s">
        <v>747</v>
      </c>
      <c r="E208" s="2" t="s">
        <v>748</v>
      </c>
      <c r="F208" s="2" t="s">
        <v>749</v>
      </c>
      <c r="G208" s="2">
        <v>7</v>
      </c>
      <c r="H208" s="2">
        <v>0</v>
      </c>
      <c r="I208" s="1">
        <v>0</v>
      </c>
      <c r="J208" s="3" t="s">
        <v>16</v>
      </c>
      <c r="K208" s="2" t="str">
        <f>J208*3864.19</f>
        <v>0</v>
      </c>
      <c r="L208" s="5"/>
    </row>
    <row r="209" spans="1:12" customHeight="1" ht="105" outlineLevel="4">
      <c r="A209" s="1"/>
      <c r="B209" s="1">
        <v>834469</v>
      </c>
      <c r="C209" s="1" t="s">
        <v>750</v>
      </c>
      <c r="D209" s="1" t="s">
        <v>751</v>
      </c>
      <c r="E209" s="2" t="s">
        <v>752</v>
      </c>
      <c r="F209" s="2" t="s">
        <v>34</v>
      </c>
      <c r="G209" s="2">
        <v>0</v>
      </c>
      <c r="H209" s="2">
        <v>0</v>
      </c>
      <c r="I209" s="1">
        <v>0</v>
      </c>
      <c r="J209" s="3" t="s">
        <v>16</v>
      </c>
      <c r="K209" s="2" t="str">
        <f>J209*0.00</f>
        <v>0</v>
      </c>
      <c r="L209" s="5"/>
    </row>
    <row r="210" spans="1:12" customHeight="1" ht="105" outlineLevel="4">
      <c r="A210" s="1"/>
      <c r="B210" s="1">
        <v>834505</v>
      </c>
      <c r="C210" s="1" t="s">
        <v>753</v>
      </c>
      <c r="D210" s="1" t="s">
        <v>754</v>
      </c>
      <c r="E210" s="2" t="s">
        <v>755</v>
      </c>
      <c r="F210" s="2" t="s">
        <v>756</v>
      </c>
      <c r="G210" s="2">
        <v>2</v>
      </c>
      <c r="H210" s="2">
        <v>0</v>
      </c>
      <c r="I210" s="1">
        <v>0</v>
      </c>
      <c r="J210" s="3" t="s">
        <v>16</v>
      </c>
      <c r="K210" s="2" t="str">
        <f>J210*4695.19</f>
        <v>0</v>
      </c>
      <c r="L210" s="5"/>
    </row>
    <row r="211" spans="1:12" customHeight="1" ht="105" outlineLevel="4">
      <c r="A211" s="1"/>
      <c r="B211" s="1">
        <v>834506</v>
      </c>
      <c r="C211" s="1" t="s">
        <v>757</v>
      </c>
      <c r="D211" s="1" t="s">
        <v>758</v>
      </c>
      <c r="E211" s="2" t="s">
        <v>759</v>
      </c>
      <c r="F211" s="2" t="s">
        <v>760</v>
      </c>
      <c r="G211" s="2">
        <v>5</v>
      </c>
      <c r="H211" s="2">
        <v>0</v>
      </c>
      <c r="I211" s="1">
        <v>0</v>
      </c>
      <c r="J211" s="3" t="s">
        <v>16</v>
      </c>
      <c r="K211" s="2" t="str">
        <f>J211*4225.67</f>
        <v>0</v>
      </c>
      <c r="L211" s="5"/>
    </row>
    <row r="212" spans="1:12" customHeight="1" ht="105" outlineLevel="4">
      <c r="A212" s="1"/>
      <c r="B212" s="1">
        <v>834507</v>
      </c>
      <c r="C212" s="1" t="s">
        <v>761</v>
      </c>
      <c r="D212" s="1" t="s">
        <v>762</v>
      </c>
      <c r="E212" s="2" t="s">
        <v>763</v>
      </c>
      <c r="F212" s="2" t="s">
        <v>764</v>
      </c>
      <c r="G212" s="2">
        <v>7</v>
      </c>
      <c r="H212" s="2">
        <v>0</v>
      </c>
      <c r="I212" s="1">
        <v>0</v>
      </c>
      <c r="J212" s="3" t="s">
        <v>16</v>
      </c>
      <c r="K212" s="2" t="str">
        <f>J212*4656.04</f>
        <v>0</v>
      </c>
      <c r="L212" s="5"/>
    </row>
    <row r="213" spans="1:12" customHeight="1" ht="105" outlineLevel="4">
      <c r="A213" s="1"/>
      <c r="B213" s="1">
        <v>834508</v>
      </c>
      <c r="C213" s="1" t="s">
        <v>765</v>
      </c>
      <c r="D213" s="1" t="s">
        <v>766</v>
      </c>
      <c r="E213" s="2" t="s">
        <v>767</v>
      </c>
      <c r="F213" s="2" t="s">
        <v>768</v>
      </c>
      <c r="G213" s="2">
        <v>6</v>
      </c>
      <c r="H213" s="2">
        <v>0</v>
      </c>
      <c r="I213" s="1">
        <v>0</v>
      </c>
      <c r="J213" s="3" t="s">
        <v>16</v>
      </c>
      <c r="K213" s="2" t="str">
        <f>J213*4887.70</f>
        <v>0</v>
      </c>
      <c r="L213" s="5"/>
    </row>
    <row r="214" spans="1:12" customHeight="1" ht="105" outlineLevel="4">
      <c r="A214" s="1"/>
      <c r="B214" s="1">
        <v>835196</v>
      </c>
      <c r="C214" s="1" t="s">
        <v>769</v>
      </c>
      <c r="D214" s="1" t="s">
        <v>770</v>
      </c>
      <c r="E214" s="2" t="s">
        <v>771</v>
      </c>
      <c r="F214" s="2" t="s">
        <v>772</v>
      </c>
      <c r="G214" s="2">
        <v>4</v>
      </c>
      <c r="H214" s="2">
        <v>0</v>
      </c>
      <c r="I214" s="1">
        <v>0</v>
      </c>
      <c r="J214" s="3" t="s">
        <v>16</v>
      </c>
      <c r="K214" s="2" t="str">
        <f>J214*3534.17</f>
        <v>0</v>
      </c>
      <c r="L214" s="5"/>
    </row>
    <row r="215" spans="1:12" customHeight="1" ht="105" outlineLevel="4">
      <c r="A215" s="1"/>
      <c r="B215" s="1">
        <v>835197</v>
      </c>
      <c r="C215" s="1" t="s">
        <v>773</v>
      </c>
      <c r="D215" s="1" t="s">
        <v>774</v>
      </c>
      <c r="E215" s="2" t="s">
        <v>775</v>
      </c>
      <c r="F215" s="2" t="s">
        <v>776</v>
      </c>
      <c r="G215" s="2">
        <v>1</v>
      </c>
      <c r="H215" s="2">
        <v>0</v>
      </c>
      <c r="I215" s="1">
        <v>0</v>
      </c>
      <c r="J215" s="3" t="s">
        <v>16</v>
      </c>
      <c r="K215" s="2" t="str">
        <f>J215*3775.52</f>
        <v>0</v>
      </c>
      <c r="L215" s="5"/>
    </row>
    <row r="216" spans="1:12" customHeight="1" ht="105" outlineLevel="4">
      <c r="A216" s="1"/>
      <c r="B216" s="1">
        <v>871588</v>
      </c>
      <c r="C216" s="1" t="s">
        <v>777</v>
      </c>
      <c r="D216" s="1" t="s">
        <v>778</v>
      </c>
      <c r="E216" s="2" t="s">
        <v>779</v>
      </c>
      <c r="F216" s="2" t="s">
        <v>780</v>
      </c>
      <c r="G216" s="2">
        <v>10</v>
      </c>
      <c r="H216" s="2">
        <v>0</v>
      </c>
      <c r="I216" s="1">
        <v>0</v>
      </c>
      <c r="J216" s="3" t="s">
        <v>16</v>
      </c>
      <c r="K216" s="2" t="str">
        <f>J216*5230.30</f>
        <v>0</v>
      </c>
      <c r="L216" s="5"/>
    </row>
    <row r="217" spans="1:12" outlineLevel="2">
      <c r="A217" s="8" t="s">
        <v>781</v>
      </c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5"/>
    </row>
    <row r="218" spans="1:12" customHeight="1" ht="105" outlineLevel="4">
      <c r="A218" s="1"/>
      <c r="B218" s="1">
        <v>829334</v>
      </c>
      <c r="C218" s="1" t="s">
        <v>782</v>
      </c>
      <c r="D218" s="1" t="s">
        <v>783</v>
      </c>
      <c r="E218" s="2" t="s">
        <v>784</v>
      </c>
      <c r="F218" s="2" t="s">
        <v>785</v>
      </c>
      <c r="G218" s="2">
        <v>4</v>
      </c>
      <c r="H218" s="2">
        <v>0</v>
      </c>
      <c r="I218" s="1">
        <v>0</v>
      </c>
      <c r="J218" s="3" t="s">
        <v>16</v>
      </c>
      <c r="K218" s="2" t="str">
        <f>J218*10577.61</f>
        <v>0</v>
      </c>
      <c r="L218" s="5"/>
    </row>
    <row r="219" spans="1:12" customHeight="1" ht="105" outlineLevel="4">
      <c r="A219" s="1"/>
      <c r="B219" s="1">
        <v>829335</v>
      </c>
      <c r="C219" s="1" t="s">
        <v>786</v>
      </c>
      <c r="D219" s="1" t="s">
        <v>787</v>
      </c>
      <c r="E219" s="2" t="s">
        <v>788</v>
      </c>
      <c r="F219" s="2" t="s">
        <v>789</v>
      </c>
      <c r="G219" s="2">
        <v>3</v>
      </c>
      <c r="H219" s="2">
        <v>0</v>
      </c>
      <c r="I219" s="1">
        <v>0</v>
      </c>
      <c r="J219" s="3" t="s">
        <v>16</v>
      </c>
      <c r="K219" s="2" t="str">
        <f>J219*3004.75</f>
        <v>0</v>
      </c>
      <c r="L219" s="5"/>
    </row>
    <row r="220" spans="1:12" customHeight="1" ht="105" outlineLevel="4">
      <c r="A220" s="1"/>
      <c r="B220" s="1">
        <v>837111</v>
      </c>
      <c r="C220" s="1" t="s">
        <v>790</v>
      </c>
      <c r="D220" s="1" t="s">
        <v>791</v>
      </c>
      <c r="E220" s="2" t="s">
        <v>792</v>
      </c>
      <c r="F220" s="2" t="s">
        <v>793</v>
      </c>
      <c r="G220" s="2">
        <v>0</v>
      </c>
      <c r="H220" s="2">
        <v>0</v>
      </c>
      <c r="I220" s="1">
        <v>0</v>
      </c>
      <c r="J220" s="3" t="s">
        <v>16</v>
      </c>
      <c r="K220" s="2" t="str">
        <f>J220*6989.76</f>
        <v>0</v>
      </c>
      <c r="L220" s="5"/>
    </row>
    <row r="221" spans="1:12" customHeight="1" ht="105" outlineLevel="4">
      <c r="A221" s="1"/>
      <c r="B221" s="1">
        <v>837112</v>
      </c>
      <c r="C221" s="1" t="s">
        <v>794</v>
      </c>
      <c r="D221" s="1" t="s">
        <v>795</v>
      </c>
      <c r="E221" s="2" t="s">
        <v>792</v>
      </c>
      <c r="F221" s="2" t="s">
        <v>796</v>
      </c>
      <c r="G221" s="2">
        <v>1</v>
      </c>
      <c r="H221" s="2">
        <v>0</v>
      </c>
      <c r="I221" s="1">
        <v>0</v>
      </c>
      <c r="J221" s="3" t="s">
        <v>16</v>
      </c>
      <c r="K221" s="2" t="str">
        <f>J221*6986.79</f>
        <v>0</v>
      </c>
      <c r="L221" s="5"/>
    </row>
    <row r="222" spans="1:12" customHeight="1" ht="105" outlineLevel="4">
      <c r="A222" s="1"/>
      <c r="B222" s="1">
        <v>837113</v>
      </c>
      <c r="C222" s="1" t="s">
        <v>797</v>
      </c>
      <c r="D222" s="1" t="s">
        <v>798</v>
      </c>
      <c r="E222" s="2" t="s">
        <v>792</v>
      </c>
      <c r="F222" s="2" t="s">
        <v>799</v>
      </c>
      <c r="G222" s="2">
        <v>3</v>
      </c>
      <c r="H222" s="2">
        <v>0</v>
      </c>
      <c r="I222" s="1">
        <v>0</v>
      </c>
      <c r="J222" s="3" t="s">
        <v>16</v>
      </c>
      <c r="K222" s="2" t="str">
        <f>J222*8048.86</f>
        <v>0</v>
      </c>
      <c r="L222" s="5"/>
    </row>
    <row r="223" spans="1:12" customHeight="1" ht="105" outlineLevel="4">
      <c r="A223" s="1"/>
      <c r="B223" s="1">
        <v>837114</v>
      </c>
      <c r="C223" s="1" t="s">
        <v>800</v>
      </c>
      <c r="D223" s="1" t="s">
        <v>801</v>
      </c>
      <c r="E223" s="2" t="s">
        <v>802</v>
      </c>
      <c r="F223" s="2" t="s">
        <v>803</v>
      </c>
      <c r="G223" s="2">
        <v>3</v>
      </c>
      <c r="H223" s="2">
        <v>0</v>
      </c>
      <c r="I223" s="1">
        <v>0</v>
      </c>
      <c r="J223" s="3" t="s">
        <v>16</v>
      </c>
      <c r="K223" s="2" t="str">
        <f>J223*6873.74</f>
        <v>0</v>
      </c>
      <c r="L2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7:K57"/>
    <mergeCell ref="A75:K75"/>
    <mergeCell ref="A88:K88"/>
    <mergeCell ref="A100:K100"/>
    <mergeCell ref="A114:K114"/>
    <mergeCell ref="A122:K122"/>
    <mergeCell ref="A188:K188"/>
    <mergeCell ref="A4:K4"/>
    <mergeCell ref="A23:K23"/>
    <mergeCell ref="A28:K28"/>
    <mergeCell ref="A39:K39"/>
    <mergeCell ref="A58:K58"/>
    <mergeCell ref="A76:K76"/>
    <mergeCell ref="A89:K89"/>
    <mergeCell ref="A94:K94"/>
    <mergeCell ref="A101:K101"/>
    <mergeCell ref="A115:K115"/>
    <mergeCell ref="A123:K123"/>
    <mergeCell ref="A189:K189"/>
    <mergeCell ref="A203:K203"/>
    <mergeCell ref="A217:K2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2025-10-29T11:24:56+03:00</dcterms:created>
  <dcterms:modified xsi:type="dcterms:W3CDTF">2025-10-29T11:24:56+03:00</dcterms:modified>
  <dc:title>Untitled Spreadsheet</dc:title>
  <dc:description/>
  <dc:subject/>
  <cp:keywords/>
  <cp:category/>
</cp:coreProperties>
</file>