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<sst xmlns="http://schemas.openxmlformats.org/spreadsheetml/2006/main" uniqueCount="1573">
  <si>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</si>
  <si>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</si>
  <si>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</si>
  <si>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</si>
  <si>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</si>
  <si>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</si>
  <si>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</si>
  <si>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</si>
  <si>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</si>
  <si>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</si>
  <si>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</si>
  <si>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</si>
  <si>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VALTEC</t>
  </si>
  <si>
    <t>VLC-310001</t>
  </si>
  <si>
    <t>VTp.700.0020.20</t>
  </si>
  <si>
    <t>ТРУБА PP-R, PN 20/25, 20 MM (белый) SDR6  (4 /120шт) (синяя уп 20мм)</t>
  </si>
  <si>
    <t>117.00 руб.</t>
  </si>
  <si>
    <t>&gt;100</t>
  </si>
  <si>
    <t>&gt;1000</t>
  </si>
  <si>
    <t>пог</t>
  </si>
  <si>
    <t>VLC-310002</t>
  </si>
  <si>
    <t>VTp.700.0020.25</t>
  </si>
  <si>
    <t>ТРУБА PP-R, PN 20/25, 25 MM (белый) SDR6 (4 /80шт) (синяя уп 25мм)</t>
  </si>
  <si>
    <t>182.00 руб.</t>
  </si>
  <si>
    <t>VLC-310003</t>
  </si>
  <si>
    <t>VTp.700.0020.32</t>
  </si>
  <si>
    <t>ТРУБА PP-R, PN 20/25, 32 MM (белый) SDR6  (4 /60шт) (синяя уп 32мм)</t>
  </si>
  <si>
    <t>298.00 руб.</t>
  </si>
  <si>
    <t>&gt;50</t>
  </si>
  <si>
    <t>VLC-310004</t>
  </si>
  <si>
    <t>VTp.700.0020.40</t>
  </si>
  <si>
    <t>ТРУБА PP-R, PN 20/25, 40 MM (белый) SDR6 (4 /40шт) (синяя уп 40мм)</t>
  </si>
  <si>
    <t>452.00 руб.</t>
  </si>
  <si>
    <t>VLC-310005</t>
  </si>
  <si>
    <t>VTp.700.0020.50</t>
  </si>
  <si>
    <t>ТРУБА PP-R, PN 20/25, 50 MM (белый) SDR6 (4 /24шт) (синяя уп 50мм)</t>
  </si>
  <si>
    <t>774.00 руб.</t>
  </si>
  <si>
    <t>&gt;500</t>
  </si>
  <si>
    <t>VLC-310006</t>
  </si>
  <si>
    <t>VTp.700.0020.63</t>
  </si>
  <si>
    <t>ТРУБА PP-R, PN 20/25, 63 MM (белый) SDR6 (4 /16шт) (синяя уп 63мм)</t>
  </si>
  <si>
    <t>1 245.00 руб.</t>
  </si>
  <si>
    <t>VLC-310007</t>
  </si>
  <si>
    <t>VTp.700.0020.75</t>
  </si>
  <si>
    <t>ТРУБА PP-R, PN 20/25, 75 MM (белый) SDR6 (4 /12шт) (синяя уп 75мм)</t>
  </si>
  <si>
    <t>1 990.00 руб.</t>
  </si>
  <si>
    <t>VLC-310008</t>
  </si>
  <si>
    <t>VTp.700.0020.90</t>
  </si>
  <si>
    <t>ТРУБА PP-R, PN 20/25, 90 MM (белый) SDR6 (4 /8шт) (синяя уп 90мм)</t>
  </si>
  <si>
    <t>3 028.00 руб.</t>
  </si>
  <si>
    <t>VLC-310009</t>
  </si>
  <si>
    <t>VTp.700.AL25.20</t>
  </si>
  <si>
    <t>ТРУБА PP-ALUX, арм. АЛЮМ, PN 25, 20 MM (белый)   (4 /120шт) (красная уп 20мм)</t>
  </si>
  <si>
    <t>181.00 руб.</t>
  </si>
  <si>
    <t>&gt;5000</t>
  </si>
  <si>
    <t>VLC-310010</t>
  </si>
  <si>
    <t>VTp.700.AL25.25</t>
  </si>
  <si>
    <t>ТРУБА PP-ALUX, арм. АЛЮМ, PN 25, 25 MM (белый)  (4 /80шт) (красная уп 25мм)</t>
  </si>
  <si>
    <t>261.00 руб.</t>
  </si>
  <si>
    <t>VLC-310011</t>
  </si>
  <si>
    <t>VTp.700.AL25.32</t>
  </si>
  <si>
    <t>ТРУБА PP-ALUX, арм. АЛЮМ, PN 25, 32 MM (белый) (4 /60шт) (красная уп 32мм)</t>
  </si>
  <si>
    <t>419.00 руб.</t>
  </si>
  <si>
    <t>VLC-310012</t>
  </si>
  <si>
    <t>VTp.700.AL25.40</t>
  </si>
  <si>
    <t>ТРУБА PP-ALUX, арм. АЛЮМ, PN 25, 40 MM (белый)  (4 /40шт) (красная уп 40мм)</t>
  </si>
  <si>
    <t>744.00 руб.</t>
  </si>
  <si>
    <t>VLC-310013</t>
  </si>
  <si>
    <t>VTp.700.AL25.50</t>
  </si>
  <si>
    <t>ТРУБА PP-ALUX, арм. АЛЮМ, PN 25, 50 MM (белый) (4 /24шт) (красная уп 50мм)</t>
  </si>
  <si>
    <t>907.00 руб.</t>
  </si>
  <si>
    <t>VLC-310014</t>
  </si>
  <si>
    <t>VTp.700.AL25.63</t>
  </si>
  <si>
    <t>ТРУБА PP-ALUX, арм. АЛЮМ, PN 25, 63 MM (белый)  (4 /16шт) (красная уп 63мм)</t>
  </si>
  <si>
    <t>1 605.00 руб.</t>
  </si>
  <si>
    <t>VLC-310015</t>
  </si>
  <si>
    <t>VTp.700.AL25.75</t>
  </si>
  <si>
    <t>ТРУБА PP-ALUX, арм. АЛЮМ, PN 25, 75 MM (белый)   (4 /12шт) (красная уп 75мм)</t>
  </si>
  <si>
    <t>2 108.00 руб.</t>
  </si>
  <si>
    <t>&gt;10</t>
  </si>
  <si>
    <t>VLC-310016</t>
  </si>
  <si>
    <t>VTp.700.AL25.90</t>
  </si>
  <si>
    <t>ТРУБА PP-ALUX, арм. АЛЮМ, PN 25, 90 MM (белый)  (4 /8шт) (красная уп 90мм)</t>
  </si>
  <si>
    <t>2 841.00 руб.</t>
  </si>
  <si>
    <t>&gt;25</t>
  </si>
  <si>
    <t>VLC-310017</t>
  </si>
  <si>
    <t>VTp.700.FB20.20</t>
  </si>
  <si>
    <t>ТРУБА PP-FIBER арм. СТЕКЛО, PN 20, 20 MM (белый)   (4 /120шт) (черная уп 20мм)</t>
  </si>
  <si>
    <t>114.00 руб.</t>
  </si>
  <si>
    <t>VLC-310018</t>
  </si>
  <si>
    <t>VTp.700.FB20.25</t>
  </si>
  <si>
    <t>ТРУБА PP-FIBER арм. СТЕКЛО, PN 20, 25 MM  (белый)  (4 /80шт) (черная уп 25мм)</t>
  </si>
  <si>
    <t>168.00 руб.</t>
  </si>
  <si>
    <t>VLC-310019</t>
  </si>
  <si>
    <t>VTp.700.FB20.32</t>
  </si>
  <si>
    <t>ТРУБА PP-FIBER арм. СТЕКЛО, PN 20, 32 MM (белый)  (4 /60шт) (черная уп 32мм)</t>
  </si>
  <si>
    <t>280.00 руб.</t>
  </si>
  <si>
    <t>VLC-310020</t>
  </si>
  <si>
    <t>VTp.700.FB20.40</t>
  </si>
  <si>
    <t>ТРУБА PP-FIBER арм. СТЕКЛО, PN 20, 40 MM (белый) (4 /40шт) (черная уп 40мм)</t>
  </si>
  <si>
    <t>460.00 руб.</t>
  </si>
  <si>
    <t>VLC-310021</t>
  </si>
  <si>
    <t>VTp.700.FB20.50</t>
  </si>
  <si>
    <t>ТРУБА PP-FIBER арм. СТЕКЛО, PN 20, 50 MM (белый)  (4 /24шт) (черная уп 50мм)</t>
  </si>
  <si>
    <t>811.00 руб.</t>
  </si>
  <si>
    <t>VLC-310022</t>
  </si>
  <si>
    <t>VTp.700.FB20.63</t>
  </si>
  <si>
    <t>ТРУБА PP-FIBER арм. СТЕКЛО, PN 20, 63 MM (белый)  (4 /16шт) (черная уп 63мм)</t>
  </si>
  <si>
    <t>1 293.00 руб.</t>
  </si>
  <si>
    <t>VLC-310023</t>
  </si>
  <si>
    <t>VTp.700.FB20.75</t>
  </si>
  <si>
    <t>ТРУБА PP-FIBER арм. СТЕКЛО, PN 20, 75 MM (белый)   (4 /12шт) (черная уп 75мм)</t>
  </si>
  <si>
    <t>1 085.00 руб.</t>
  </si>
  <si>
    <t>VLC-310024</t>
  </si>
  <si>
    <t>VTp.700.FB20.90</t>
  </si>
  <si>
    <t>ТРУБА PP-FIBER арм. СТЕКЛО, PN 20, 90 MM (белый)   (4 /8шт) (черная уп 90мм)</t>
  </si>
  <si>
    <t>1 618.00 руб.</t>
  </si>
  <si>
    <t>VLC-310025</t>
  </si>
  <si>
    <t>VTp.700.FB25.20</t>
  </si>
  <si>
    <t>ТРУБА PP-FIBER арм. стекл., 20 MM (белый), PN 25   (4 /120шт) (желтая уп 20мм)</t>
  </si>
  <si>
    <t>133.00 руб.</t>
  </si>
  <si>
    <t>VLC-310026</t>
  </si>
  <si>
    <t>VTp.700.FB25.25</t>
  </si>
  <si>
    <t>ТРУБА PP-FIBER арм. стекл., 25 MM (белый), PN 25   (4 /80шт) (желтая уп 25мм)</t>
  </si>
  <si>
    <t>202.00 руб.</t>
  </si>
  <si>
    <t>VLC-310027</t>
  </si>
  <si>
    <t>VTp.700.FB25.32</t>
  </si>
  <si>
    <t>ТРУБА PP-FIBER арм. стекл., 32 MM (белый), PN 25 (4 /60шт) (желтая уп 32мм)</t>
  </si>
  <si>
    <t>349.00 руб.</t>
  </si>
  <si>
    <t>VLC-310028</t>
  </si>
  <si>
    <t>VTp.700.FB25.40</t>
  </si>
  <si>
    <t>ТРУБА PP-FIBER арм. стекл., 40 MM (белый), PN 25 (4 /40шт) (желтая уп 40мм)</t>
  </si>
  <si>
    <t>522.00 руб.</t>
  </si>
  <si>
    <t>VLC-310029</t>
  </si>
  <si>
    <t>VTp.700.FB25.50</t>
  </si>
  <si>
    <t>ТРУБА PP-FIBER арм. стекл., 50 MM (белый), PN 25  (4 /24шт) (желтая уп 50мм)</t>
  </si>
  <si>
    <t>810.00 руб.</t>
  </si>
  <si>
    <t>VLC-310030</t>
  </si>
  <si>
    <t>VTp.700.FB25.63</t>
  </si>
  <si>
    <t>ТРУБА PP-FIBER арм. стекл., 63 MM (белый), PN 25  (4 /16шт) (желтая уп 63мм)</t>
  </si>
  <si>
    <t>1 400.00 руб.</t>
  </si>
  <si>
    <t>VLC-310031</t>
  </si>
  <si>
    <t>VTp.700.FB25.75</t>
  </si>
  <si>
    <t>ТРУБА PP-FIBER арм. стекл., 75 MM (белый), PN 25   (4 /12шт) (желтая уп 75мм)</t>
  </si>
  <si>
    <t>VLC-310032</t>
  </si>
  <si>
    <t>VTp.700.FB25.90</t>
  </si>
  <si>
    <t>ТРУБА PP-FIBER арм. стекл., 90 MM (белый), PN 25   (4 /8шт) (желтая уп 90мм)</t>
  </si>
  <si>
    <t>1 971.00 руб.</t>
  </si>
  <si>
    <t>VLC-320001</t>
  </si>
  <si>
    <t>VTp.700.AL25.20.02</t>
  </si>
  <si>
    <t>ТРУБА PP- ALUX, арм. АЛЮМ, PN 25, 20 MM (белый, по 2м) (2 /60шт) (красная уп 20мм)</t>
  </si>
  <si>
    <t>VLC-320002</t>
  </si>
  <si>
    <t>VTp.700.AL25.25.02</t>
  </si>
  <si>
    <t>ТРУБА PP- ALUX, арм. АЛЮМ, PN 25, 25 MM (белый, по 2м) (2 /40шт) (красная уп 25мм)</t>
  </si>
  <si>
    <t>VLC-320003</t>
  </si>
  <si>
    <t>VTp.700.AL25.32.02</t>
  </si>
  <si>
    <t>ТРУБА PP- ALUX, арм. АЛЮМ, PN 25, 32 MM (белый, по 2м) (2 /30шт) (красная уп 32мм)</t>
  </si>
  <si>
    <t>VLC-320004</t>
  </si>
  <si>
    <t>VTp.700.FB20.20.02</t>
  </si>
  <si>
    <t>ТРУБА PP- FIBER арм. СТЕКЛО, PN 20, 20 MM (белый, по 2м) (2 /60шт) (черная уп 20мм)</t>
  </si>
  <si>
    <t>VLC-320005</t>
  </si>
  <si>
    <t>VTp.700.FB20.25.02</t>
  </si>
  <si>
    <t>ТРУБА PP- FIBER арм. СТЕКЛО, PN 20, 25 MM (белый, по 2м) (2 /40шт) (черная уп 25мм)</t>
  </si>
  <si>
    <t>VLC-320006</t>
  </si>
  <si>
    <t>VTp.700.FB20.32.02</t>
  </si>
  <si>
    <t>ТРУБА PP- FIBER арм. СТЕКЛО, PN 20, 32 MM (белый, по 2м) (2 /30шт) (черная уп 32мм)</t>
  </si>
  <si>
    <t>VLC-320007</t>
  </si>
  <si>
    <t>VTp.700.0020.20.02</t>
  </si>
  <si>
    <t>ТРУБА PP- R, PN 20/25, 20 MM (белый, по 2м) SDR6 (2 /60шт) (синяя уп 20мм)</t>
  </si>
  <si>
    <t>VLC-320008</t>
  </si>
  <si>
    <t>VTp.700.0020.25.02</t>
  </si>
  <si>
    <t>ТРУБА PP- R, PN 20/25, 25 MM (белый, по 2м) SDR6 (2 /40шт) (синяя уп 25мм)</t>
  </si>
  <si>
    <t>VLC-320009</t>
  </si>
  <si>
    <t>VTp.700.0020.32.02</t>
  </si>
  <si>
    <t>ТРУБА PP- R, PN 20/25, 32 MM (белый, по 2м) SDR6 (2 /30шт) (синяя уп 32мм)</t>
  </si>
  <si>
    <t>VLC-900293</t>
  </si>
  <si>
    <t>VTp.700.FB20.110</t>
  </si>
  <si>
    <t>ТРУБА PP-FIBER арм. стекл., PN 20/25, 110 MM SDR6 (белый)</t>
  </si>
  <si>
    <t>2 446.00 руб.</t>
  </si>
  <si>
    <t>Трубы полипропиленовые VIEIR</t>
  </si>
  <si>
    <t>PPR-160001</t>
  </si>
  <si>
    <t>VREA20</t>
  </si>
  <si>
    <t>Труба полипропиленовая PN20 20мм армир. алюминием (4/200м)</t>
  </si>
  <si>
    <t>99.66 руб.</t>
  </si>
  <si>
    <t>PPR-160002</t>
  </si>
  <si>
    <t>VREA25</t>
  </si>
  <si>
    <t>Труба полипропиленовая PN20 25мм армир. алюминием (4/140м)</t>
  </si>
  <si>
    <t>130.90 руб.</t>
  </si>
  <si>
    <t>PPR-160003</t>
  </si>
  <si>
    <t>VREA32</t>
  </si>
  <si>
    <t>Труба полипропиленовая PN20 32мм армир. алюминием (4/80м)</t>
  </si>
  <si>
    <t>200.81 руб.</t>
  </si>
  <si>
    <t>PPR-160004</t>
  </si>
  <si>
    <t>VREA40</t>
  </si>
  <si>
    <t>Труба полипропиленовая PN20 40мм армир. алюминием (4/60м)</t>
  </si>
  <si>
    <t>316.84 руб.</t>
  </si>
  <si>
    <t>PPR-160005</t>
  </si>
  <si>
    <t>VREA50</t>
  </si>
  <si>
    <t>Труба полипропиленовая PN20 50мм армир. алюминием (4/40м)</t>
  </si>
  <si>
    <t>520.63 руб.</t>
  </si>
  <si>
    <t>PPR-160006</t>
  </si>
  <si>
    <t>VREA63</t>
  </si>
  <si>
    <t>Труба полипропиленовая PN20 63мм армир. алюминием (4/30м)</t>
  </si>
  <si>
    <t>783.91 руб.</t>
  </si>
  <si>
    <t>PPR-160007</t>
  </si>
  <si>
    <t>VRFA20</t>
  </si>
  <si>
    <t>Труба полипропиленовая PN25 20мм армир. АЛЮМИНИЕМ (4/200м)</t>
  </si>
  <si>
    <t>PPR-160008</t>
  </si>
  <si>
    <t>VRFA25</t>
  </si>
  <si>
    <t>Труба полипропиленовая PN25 25мм армир. АЛЮМИНИЕМ (4/140м)</t>
  </si>
  <si>
    <t>156.19 руб.</t>
  </si>
  <si>
    <t>PPR-160009</t>
  </si>
  <si>
    <t>VRFA32</t>
  </si>
  <si>
    <t>Труба полипропиленовая PN25 32мм армир. АЛЮМИНИЕМ (4/80м)</t>
  </si>
  <si>
    <t>249.90 руб.</t>
  </si>
  <si>
    <t>PPR-160010</t>
  </si>
  <si>
    <t>VRFA40</t>
  </si>
  <si>
    <t>Труба полипропиленовая PN25 40мм армир. АЛЮМИНИЕМ (4/60м)</t>
  </si>
  <si>
    <t>374.85 руб.</t>
  </si>
  <si>
    <t>PPR-160011</t>
  </si>
  <si>
    <t>VRFA50</t>
  </si>
  <si>
    <t>Труба полипропиленовая PN25 50мм армир. АЛЮМИНИЕМ (4/40м)</t>
  </si>
  <si>
    <t>769.04 руб.</t>
  </si>
  <si>
    <t>PPR-160012</t>
  </si>
  <si>
    <t>VRFA63</t>
  </si>
  <si>
    <t>Труба полипропиленовая PN25 63мм армир. АЛЮМИНИЕМ (4/30м)</t>
  </si>
  <si>
    <t>1 035.30 руб.</t>
  </si>
  <si>
    <t>PPR-160013</t>
  </si>
  <si>
    <t>VREB20</t>
  </si>
  <si>
    <t>Труба полипропиленовая PN20 20мм армир. стекловолокном (4/200м)</t>
  </si>
  <si>
    <t>92.23 руб.</t>
  </si>
  <si>
    <t>PPR-160014</t>
  </si>
  <si>
    <t>VREB25</t>
  </si>
  <si>
    <t>Труба полипропиленовая PN20 25мм армир. стекловолокном (4/140м)</t>
  </si>
  <si>
    <t>138.34 руб.</t>
  </si>
  <si>
    <t>PPR-160015</t>
  </si>
  <si>
    <t>VREB32</t>
  </si>
  <si>
    <t>Труба полипропиленовая PN20 32мм армир. стекловолокном (4/80м)</t>
  </si>
  <si>
    <t>224.61 руб.</t>
  </si>
  <si>
    <t>PPR-160016</t>
  </si>
  <si>
    <t>VREB40</t>
  </si>
  <si>
    <t>Труба полипропиленовая PN20 40мм армир. стекловолокном (4/60м)</t>
  </si>
  <si>
    <t>349.56 руб.</t>
  </si>
  <si>
    <t>PPR-160017</t>
  </si>
  <si>
    <t>VREB50</t>
  </si>
  <si>
    <t>Труба полипропиленовая PN20 50мм армир. стекловолокном (4/40м)</t>
  </si>
  <si>
    <t>450.71 руб.</t>
  </si>
  <si>
    <t>PPR-160018</t>
  </si>
  <si>
    <t>VRFB20</t>
  </si>
  <si>
    <t>Труба полипропиленовая PN25 20мм армир. СТЕКЛОВОЛОКНОМ (4/200м)</t>
  </si>
  <si>
    <t>104.13 руб.</t>
  </si>
  <si>
    <t>PPR-160019</t>
  </si>
  <si>
    <t>VRFB25</t>
  </si>
  <si>
    <t>Труба полипропиленовая PN25 25мм армир. СТЕКЛОВОЛОКНОМ (4/140м)</t>
  </si>
  <si>
    <t>162.14 руб.</t>
  </si>
  <si>
    <t>PPR-160020</t>
  </si>
  <si>
    <t>VRFB32</t>
  </si>
  <si>
    <t>Труба полипропиленовая PN25 32мм армир. СТЕКЛОВОЛОКНОМ (4/80м)</t>
  </si>
  <si>
    <t>PPR-160021</t>
  </si>
  <si>
    <t>VRFB40</t>
  </si>
  <si>
    <t>Труба полипропиленовая PN25 40мм армир. СТЕКЛОВОЛОКНОМ (4/60м)</t>
  </si>
  <si>
    <t>342.13 руб.</t>
  </si>
  <si>
    <t>PPR-160022</t>
  </si>
  <si>
    <t>VRFB50</t>
  </si>
  <si>
    <t>Труба полипропиленовая PN25 50мм армир. СТЕКЛОВОЛОКНОМ (4/40м)</t>
  </si>
  <si>
    <t>566.74 руб.</t>
  </si>
  <si>
    <t>Фитинги полипропиленовые</t>
  </si>
  <si>
    <t>Фитинги полипропиленовые Pro-Aqua</t>
  </si>
  <si>
    <t>УТ000001154</t>
  </si>
  <si>
    <t xml:space="preserve">PP-R Обвод (скоба) Lammin Белый 20 </t>
  </si>
  <si>
    <t>10.00 руб.</t>
  </si>
  <si>
    <t>шт</t>
  </si>
  <si>
    <t>УТ000001221</t>
  </si>
  <si>
    <t>PP-R Обвод (скоба) Lammin Белый 32</t>
  </si>
  <si>
    <t>20.00 руб.</t>
  </si>
  <si>
    <t>Фитинги полипропиленовые VALTEC</t>
  </si>
  <si>
    <t>VLC-330001</t>
  </si>
  <si>
    <t>VTp.701.0.02004</t>
  </si>
  <si>
    <t>Соединитель PPR с переходом на нар. р. 20х1/2"   (10 /350шт)</t>
  </si>
  <si>
    <t>162.00 руб.</t>
  </si>
  <si>
    <t>VLC-330002</t>
  </si>
  <si>
    <t>VTp.701.0.02005</t>
  </si>
  <si>
    <t>Соединитель PPR с переходом на нар. р. 20х3/4"  (10 /220шт)</t>
  </si>
  <si>
    <t>211.00 руб.</t>
  </si>
  <si>
    <t>VLC-330003</t>
  </si>
  <si>
    <t>VTp.701.0.02504</t>
  </si>
  <si>
    <t>Соединитель PPR с переходом на нар. р. 25х1/2"  (10 /270шт)</t>
  </si>
  <si>
    <t>166.00 руб.</t>
  </si>
  <si>
    <t>VLC-330004</t>
  </si>
  <si>
    <t>VTp.701.0.02505</t>
  </si>
  <si>
    <t>Соединитель PPR с переходом на нар. р. 25х3/4"  (10 /200шт)</t>
  </si>
  <si>
    <t>246.00 руб.</t>
  </si>
  <si>
    <t>VLC-330005</t>
  </si>
  <si>
    <t>VTp.701.0.03204</t>
  </si>
  <si>
    <t>Соединитель PPR с переходом на нар. р. 32х1/2"  (5 /155шт)</t>
  </si>
  <si>
    <t>191.00 руб.</t>
  </si>
  <si>
    <t>VLC-330006</t>
  </si>
  <si>
    <t>VTp.701.0.03205</t>
  </si>
  <si>
    <t>Соединитель PPR с переходом на нар. р. 32х3/4"  (5 /150шт)</t>
  </si>
  <si>
    <t>262.00 руб.</t>
  </si>
  <si>
    <t>VLC-330007</t>
  </si>
  <si>
    <t>VTp.701.0.03206</t>
  </si>
  <si>
    <t>Соединитель PPR с переходом на нар. р. 32х1"  (5 /135шт)</t>
  </si>
  <si>
    <t>423.00 руб.</t>
  </si>
  <si>
    <t>VLC-330008</t>
  </si>
  <si>
    <t>VTp.702.0.02004</t>
  </si>
  <si>
    <t>Соединитель PPR с переходом на вн. р. 20х1/2"  (10 /360шт)</t>
  </si>
  <si>
    <t>VLC-330009</t>
  </si>
  <si>
    <t>VTp.702.0.02005</t>
  </si>
  <si>
    <t>Соединитель PPR с переходом на вн. р. 20х3/4"  (10 /300шт)</t>
  </si>
  <si>
    <t>167.00 руб.</t>
  </si>
  <si>
    <t>VLC-330010</t>
  </si>
  <si>
    <t>VTp.702.0.02504</t>
  </si>
  <si>
    <t>Соединитель PPR с переходом на вн. р. 25х1/2"  (10 /330шт)</t>
  </si>
  <si>
    <t>123.00 руб.</t>
  </si>
  <si>
    <t>VLC-330011</t>
  </si>
  <si>
    <t>VTp.702.0.02505</t>
  </si>
  <si>
    <t>Соединитель PPR с переходом на вн. р. 25х3/4"  (10 /200шт)</t>
  </si>
  <si>
    <t>VLC-330012</t>
  </si>
  <si>
    <t>VTp.702.0.03204</t>
  </si>
  <si>
    <t>Соединитель PPR с переходом на вн. р. 32х1/2"   (5 /180шт)</t>
  </si>
  <si>
    <t>159.00 руб.</t>
  </si>
  <si>
    <t>VLC-330013</t>
  </si>
  <si>
    <t>VTp.702.0.03205</t>
  </si>
  <si>
    <t>Соединитель PPR с переходом на вн. р. 32х3/4"   (5 /210шт)</t>
  </si>
  <si>
    <t>187.00 руб.</t>
  </si>
  <si>
    <t>VLC-330014</t>
  </si>
  <si>
    <t>VTp.702.0.03206</t>
  </si>
  <si>
    <t>Соединитель PPR с переходом на вн. р. 32х1"  (5 /160шт)</t>
  </si>
  <si>
    <t>VLC-330015</t>
  </si>
  <si>
    <t>VTp.703.0.020</t>
  </si>
  <si>
    <t>Муфта PPR 20мм  (10 /480шт)</t>
  </si>
  <si>
    <t>12.00 руб.</t>
  </si>
  <si>
    <t>VLC-330016</t>
  </si>
  <si>
    <t>VTp.703.0.025</t>
  </si>
  <si>
    <t>Муфта PPR 25мм   (10 /360шт)</t>
  </si>
  <si>
    <t>15.00 руб.</t>
  </si>
  <si>
    <t>VLC-330017</t>
  </si>
  <si>
    <t>VTp.703.0.032</t>
  </si>
  <si>
    <t>Муфта PPR 32мм (5 /225шт)</t>
  </si>
  <si>
    <t>24.00 руб.</t>
  </si>
  <si>
    <t>VLC-330018</t>
  </si>
  <si>
    <t>VTp.703.0.040</t>
  </si>
  <si>
    <t>Муфта PPR 40мм  (5 /130шт)</t>
  </si>
  <si>
    <t>43.00 руб.</t>
  </si>
  <si>
    <t>VLC-330019</t>
  </si>
  <si>
    <t>VTp.703.0.050</t>
  </si>
  <si>
    <t>Муфта PPR 50мм  (5 /80шт)</t>
  </si>
  <si>
    <t>71.00 руб.</t>
  </si>
  <si>
    <t>VLC-330020</t>
  </si>
  <si>
    <t>VTp.703.0.063</t>
  </si>
  <si>
    <t>Муфта PPR 63 (2 /46шт)</t>
  </si>
  <si>
    <t>140.00 руб.</t>
  </si>
  <si>
    <t>VLC-330021</t>
  </si>
  <si>
    <t>VTp.703.0.075</t>
  </si>
  <si>
    <t>Муфта PPR 75мм   (2 /24шт)</t>
  </si>
  <si>
    <t>274.00 руб.</t>
  </si>
  <si>
    <t>VLC-330022</t>
  </si>
  <si>
    <t>VTp.703.0.090</t>
  </si>
  <si>
    <t>Муфта PPR 90мм   (2 /16шт)</t>
  </si>
  <si>
    <t>445.00 руб.</t>
  </si>
  <si>
    <t>VLC-330023</t>
  </si>
  <si>
    <t>VTp.704.0.025020</t>
  </si>
  <si>
    <t>Муфта переходная PPR 25-20мм, нар-вн  (10 /600шт)</t>
  </si>
  <si>
    <t>13.00 руб.</t>
  </si>
  <si>
    <t>VLC-330024</t>
  </si>
  <si>
    <t>VTp.704.0.032020</t>
  </si>
  <si>
    <t>Муфта переходная PPR 32-20мм, нар-вн   (5 /360шт)</t>
  </si>
  <si>
    <t>14.00 руб.</t>
  </si>
  <si>
    <t>VLC-330025</t>
  </si>
  <si>
    <t>VTp.704.0.032025</t>
  </si>
  <si>
    <t>Муфта переходная PPR 32-25мм, нар-вн  (5 /300шт)</t>
  </si>
  <si>
    <t>17.00 руб.</t>
  </si>
  <si>
    <t>VLC-330026</t>
  </si>
  <si>
    <t>VTp.704.0.040020</t>
  </si>
  <si>
    <t>Муфта переходная PPR 40-20мм, нар-вн  (5 /270шт)</t>
  </si>
  <si>
    <t>23.00 руб.</t>
  </si>
  <si>
    <t>VLC-330027</t>
  </si>
  <si>
    <t>VTp.704.0.040025</t>
  </si>
  <si>
    <t>Муфта переходная PPR 40-25мм, нар-вн  (5 /250шт)</t>
  </si>
  <si>
    <t>25.00 руб.</t>
  </si>
  <si>
    <t>VLC-330028</t>
  </si>
  <si>
    <t>VTp.704.0.040032</t>
  </si>
  <si>
    <t>Муфта переходная PPR 40-32мм, нар-вн  (5 /200шт)</t>
  </si>
  <si>
    <t>28.00 руб.</t>
  </si>
  <si>
    <t>VLC-330029</t>
  </si>
  <si>
    <t>VTp.704.0.050020</t>
  </si>
  <si>
    <t>Муфта переходная PPR 50-20мм, нар-вн  (5 /180шт)</t>
  </si>
  <si>
    <t>35.00 руб.</t>
  </si>
  <si>
    <t>VLC-330030</t>
  </si>
  <si>
    <t>VTp.704.0.050025</t>
  </si>
  <si>
    <t>Муфта переходная PPR 50-25мм, нар-вн  (5 /170шт)</t>
  </si>
  <si>
    <t>40.00 руб.</t>
  </si>
  <si>
    <t>VLC-330031</t>
  </si>
  <si>
    <t>VTp.704.0.050032</t>
  </si>
  <si>
    <t>Муфта переходная PPR 50-32мм, нар-вн  (5 /140шт)</t>
  </si>
  <si>
    <t>44.00 руб.</t>
  </si>
  <si>
    <t>VLC-330032</t>
  </si>
  <si>
    <t>VTp.704.0.050040</t>
  </si>
  <si>
    <t>Муфта переходная PPR 50-40мм, нар-вн  (5 /120шт)</t>
  </si>
  <si>
    <t>53.00 руб.</t>
  </si>
  <si>
    <t>VLC-330033</t>
  </si>
  <si>
    <t>VTp.704.0.063020</t>
  </si>
  <si>
    <t>Муфта переходная PPR 63-20мм, нар-вн  (5 /110шт)</t>
  </si>
  <si>
    <t>65.00 руб.</t>
  </si>
  <si>
    <t>VLC-330034</t>
  </si>
  <si>
    <t>VTp.704.0.063025</t>
  </si>
  <si>
    <t>Муфта переходная PPR 63-25мм, нар-вн  (5 /115шт)</t>
  </si>
  <si>
    <t>58.00 руб.</t>
  </si>
  <si>
    <t>VLC-330035</t>
  </si>
  <si>
    <t>VTp.704.0.063032</t>
  </si>
  <si>
    <t>Муфта переходная PPR 63-32мм, нар-вн  (5 /90шт)</t>
  </si>
  <si>
    <t>61.00 руб.</t>
  </si>
  <si>
    <t>VLC-330036</t>
  </si>
  <si>
    <t>VTp.704.0.063040</t>
  </si>
  <si>
    <t>Муфта переходная PPR 63-40мм, нар-вн  (5 /80шт)</t>
  </si>
  <si>
    <t>75.00 руб.</t>
  </si>
  <si>
    <t>VLC-330037</t>
  </si>
  <si>
    <t>VTp.704.0.063050</t>
  </si>
  <si>
    <t>Муфта переходная PPR 63-50мм, нар-вн  (5 /70шт)</t>
  </si>
  <si>
    <t>87.00 руб.</t>
  </si>
  <si>
    <t>VLC-330038</t>
  </si>
  <si>
    <t>VTp.704.0.075050</t>
  </si>
  <si>
    <t>Муфта переходная PPR 75-50мм, нар-вн   (2 /60шт)</t>
  </si>
  <si>
    <t>116.00 руб.</t>
  </si>
  <si>
    <t>VLC-330039</t>
  </si>
  <si>
    <t>VTp.704.0.075063</t>
  </si>
  <si>
    <t>Муфта переходная PPR 75-63мм, нар-вн   (2 /42шт)</t>
  </si>
  <si>
    <t>175.00 руб.</t>
  </si>
  <si>
    <t>VLC-330040</t>
  </si>
  <si>
    <t>VTp.704.0.090063</t>
  </si>
  <si>
    <t>Муфта переходная PPR 90-63мм, нар-вн   (2 /36шт)</t>
  </si>
  <si>
    <t>232.00 руб.</t>
  </si>
  <si>
    <t>VLC-330041</t>
  </si>
  <si>
    <t>VTp.704.0.090075</t>
  </si>
  <si>
    <t>Муфта переходная PPR 90-75мм, нар-вн   (2 /20шт)</t>
  </si>
  <si>
    <t>226.00 руб.</t>
  </si>
  <si>
    <t>VLC-330042</t>
  </si>
  <si>
    <t>VTp.705.0.025020</t>
  </si>
  <si>
    <t>Муфта переходная PPR 25-20мм  (10 /440шт)</t>
  </si>
  <si>
    <t>VLC-330043</t>
  </si>
  <si>
    <t>VTp.705.0.032020</t>
  </si>
  <si>
    <t>Муфта переходная PPR 32-20мм  (5 /255шт)</t>
  </si>
  <si>
    <t>18.00 руб.</t>
  </si>
  <si>
    <t>VLC-330044</t>
  </si>
  <si>
    <t>VTp.705.0.032025</t>
  </si>
  <si>
    <t>Муфта переходная PPR 32-25мм  (5 /240шт)</t>
  </si>
  <si>
    <t>21.00 руб.</t>
  </si>
  <si>
    <t>VLC-330045</t>
  </si>
  <si>
    <t>VTp.705.0.040020</t>
  </si>
  <si>
    <t>Муфта переходная PPR 40-20мм   (5 /180шт)</t>
  </si>
  <si>
    <t>31.00 руб.</t>
  </si>
  <si>
    <t>VLC-330046</t>
  </si>
  <si>
    <t>VTp.705.0.040025</t>
  </si>
  <si>
    <t>Муфта переходная PPR 40-25мм  (5 /150шт)</t>
  </si>
  <si>
    <t>32.00 руб.</t>
  </si>
  <si>
    <t>VLC-330047</t>
  </si>
  <si>
    <t>VTp.705.0.040032</t>
  </si>
  <si>
    <t>Муфта переходная PPR 40-32мм  (5 /140шт)</t>
  </si>
  <si>
    <t>VLC-330048</t>
  </si>
  <si>
    <t>VTp.705.0.050020</t>
  </si>
  <si>
    <t>Муфта переходная PPR 50-20мм  (5 /110шт)</t>
  </si>
  <si>
    <t>52.00 руб.</t>
  </si>
  <si>
    <t>VLC-330049</t>
  </si>
  <si>
    <t>VTp.705.0.050025</t>
  </si>
  <si>
    <t>Муфта переходная PPR 50-25мм  (5 /110шт)</t>
  </si>
  <si>
    <t>49.00 руб.</t>
  </si>
  <si>
    <t>VLC-330050</t>
  </si>
  <si>
    <t>VTp.705.0.050032</t>
  </si>
  <si>
    <t>Муфта переходная PPR 50-32мм  (5 /100шт)</t>
  </si>
  <si>
    <t>60.00 руб.</t>
  </si>
  <si>
    <t>VLC-330051</t>
  </si>
  <si>
    <t>VTp.705.0.050040</t>
  </si>
  <si>
    <t>Муфта переходная PPR 50-40мм  (5 /80шт)</t>
  </si>
  <si>
    <t>VLC-330052</t>
  </si>
  <si>
    <t>VTp.705.0.063020</t>
  </si>
  <si>
    <t>Муфта переходная PPR 63-20мм   (2 /66шт)</t>
  </si>
  <si>
    <t>86.00 руб.</t>
  </si>
  <si>
    <t>VLC-330053</t>
  </si>
  <si>
    <t>VTp.705.0.063025</t>
  </si>
  <si>
    <t>Муфта переходная PPR 63-25мм  (2 /66шт)</t>
  </si>
  <si>
    <t>103.00 руб.</t>
  </si>
  <si>
    <t>VLC-330054</t>
  </si>
  <si>
    <t>VTp.705.0.063032</t>
  </si>
  <si>
    <t>Муфта переходная PPR 63-32мм   (2 /72шт)</t>
  </si>
  <si>
    <t>102.00 руб.</t>
  </si>
  <si>
    <t>VLC-330055</t>
  </si>
  <si>
    <t>VTp.705.0.063040</t>
  </si>
  <si>
    <t>Муфта переходная PPR 63-40мм  (2 /66шт)</t>
  </si>
  <si>
    <t>VLC-330056</t>
  </si>
  <si>
    <t>VTp.705.0.063050</t>
  </si>
  <si>
    <t>Муфта переходная PPR 63-50мм   (2 /48шт)</t>
  </si>
  <si>
    <t>119.00 руб.</t>
  </si>
  <si>
    <t>VLC-330057</t>
  </si>
  <si>
    <t>VTp.705.0.075032</t>
  </si>
  <si>
    <t>Муфта переходная PPR 75-32мм   (2 /36шт)</t>
  </si>
  <si>
    <t>236.00 руб.</t>
  </si>
  <si>
    <t>VLC-330058</t>
  </si>
  <si>
    <t>VTp.705.0.075040</t>
  </si>
  <si>
    <t>Муфта переходная PPR 75-40мм   (2 /36шт)</t>
  </si>
  <si>
    <t>VLC-330059</t>
  </si>
  <si>
    <t>VTp.705.0.075050</t>
  </si>
  <si>
    <t>Муфта переходная PPR 75-50мм  (5 /40шт)</t>
  </si>
  <si>
    <t>143.00 руб.</t>
  </si>
  <si>
    <t>VLC-330060</t>
  </si>
  <si>
    <t>VTp.705.0.075063</t>
  </si>
  <si>
    <t>Муфта переходная PPR 75-63мм  (2 /26шт)</t>
  </si>
  <si>
    <t>199.00 руб.</t>
  </si>
  <si>
    <t>VLC-330061</t>
  </si>
  <si>
    <t>VTp.705.0.090050</t>
  </si>
  <si>
    <t>Муфта переходная PPR 90-50мм   (2 /18шт)</t>
  </si>
  <si>
    <t>377.00 руб.</t>
  </si>
  <si>
    <t>VLC-330062</t>
  </si>
  <si>
    <t>VTp.705.0.090063</t>
  </si>
  <si>
    <t>Муфта переходная PPR 90-63мм   (2 /24шт)</t>
  </si>
  <si>
    <t>297.00 руб.</t>
  </si>
  <si>
    <t>VLC-330063</t>
  </si>
  <si>
    <t>VTp.705.0.090075</t>
  </si>
  <si>
    <t>Муфта переходная PPR 90-75мм   (2 /16шт)</t>
  </si>
  <si>
    <t>356.00 руб.</t>
  </si>
  <si>
    <t>VLC-330064</t>
  </si>
  <si>
    <t>VTp.706.0.03206</t>
  </si>
  <si>
    <t>Соединитель PPR под ключ с переходом на вн. р. 32х1"  (5 /75шт)</t>
  </si>
  <si>
    <t>449.00 руб.</t>
  </si>
  <si>
    <t>VLC-330065</t>
  </si>
  <si>
    <t>VTp.706.0.04006</t>
  </si>
  <si>
    <t>Соединитель PPR под ключ с переходом на вн. р. 40х1"   (5 /90шт)</t>
  </si>
  <si>
    <t>485.00 руб.</t>
  </si>
  <si>
    <t>VLC-330066</t>
  </si>
  <si>
    <t>VTp.706.0.04007</t>
  </si>
  <si>
    <t>Соединитель PPR под ключ с переходом на вн. р. 40х1 1/4"  (5 /70шт)</t>
  </si>
  <si>
    <t>796.00 руб.</t>
  </si>
  <si>
    <t>VLC-330067</t>
  </si>
  <si>
    <t>VTp.706.0.05008</t>
  </si>
  <si>
    <t>Соединитель PPR под ключ с переходом на вн. р. 50х1 1/2"  (5 /45шт)</t>
  </si>
  <si>
    <t>975.00 руб.</t>
  </si>
  <si>
    <t>VLC-330068</t>
  </si>
  <si>
    <t>VTp.706.0.06309</t>
  </si>
  <si>
    <t>Соединитель PPR под ключ с переходом на вн. р. 63х2"  (2 /24шт)</t>
  </si>
  <si>
    <t>1 640.00 руб.</t>
  </si>
  <si>
    <t>VLC-330069</t>
  </si>
  <si>
    <t>VTp.706.0.07510</t>
  </si>
  <si>
    <t>Соединитель PPR под ключ с переходом на вн. р. 75х2 1/2"   (1 /12шт)</t>
  </si>
  <si>
    <t>2 862.00 руб.</t>
  </si>
  <si>
    <t>VLC-330070</t>
  </si>
  <si>
    <t>VTp.706.0.09011</t>
  </si>
  <si>
    <t>Соединитель PPR под ключ с переходом на вн. р. 90х3"  (5 /10шт)</t>
  </si>
  <si>
    <t>4 554.00 руб.</t>
  </si>
  <si>
    <t>VLC-330071</t>
  </si>
  <si>
    <t>VTp.706.0.11012</t>
  </si>
  <si>
    <t>Соединитель полипропиленовый  под ключ с пер. на вн. р. 110х4"   (1 /10шт)</t>
  </si>
  <si>
    <t>4 948.00 руб.</t>
  </si>
  <si>
    <t>VLC-330072</t>
  </si>
  <si>
    <t>VTp.707.0.03206</t>
  </si>
  <si>
    <t>Соединитель PPR под ключ с переходом на нар. р. 32х1"  (5 /75шт)</t>
  </si>
  <si>
    <t>514.00 руб.</t>
  </si>
  <si>
    <t>VLC-330073</t>
  </si>
  <si>
    <t>VTp.707.0.04006</t>
  </si>
  <si>
    <t>Соединитель PPR под ключ с переходом на нар. р. 40х1"  (5 /80шт)</t>
  </si>
  <si>
    <t>607.00 руб.</t>
  </si>
  <si>
    <t>VLC-330074</t>
  </si>
  <si>
    <t>VTp.707.0.04007</t>
  </si>
  <si>
    <t>Соединитель PPR под ключ с переходом на нар. р. 40х1 1/4"  (5 /60шт)</t>
  </si>
  <si>
    <t>910.00 руб.</t>
  </si>
  <si>
    <t>VLC-330075</t>
  </si>
  <si>
    <t>VTp.707.0.05008</t>
  </si>
  <si>
    <t>Соединитель PPR под ключ с переходом на нар. р. 50х1 1/2"  (5 /40шт)</t>
  </si>
  <si>
    <t>1 202.00 руб.</t>
  </si>
  <si>
    <t>VLC-330076</t>
  </si>
  <si>
    <t>VTp.707.0.06309</t>
  </si>
  <si>
    <t>Соединитель PPR под ключ с переходом на нар. р. 63х2"  (2 /24шт)</t>
  </si>
  <si>
    <t>2 335.00 руб.</t>
  </si>
  <si>
    <t>VLC-330077</t>
  </si>
  <si>
    <t>VTp.707.0.07510</t>
  </si>
  <si>
    <t>Соединитель PPR под ключ с переходом на нар. р. 75х2 1/2"   (12шт)</t>
  </si>
  <si>
    <t>4 187.00 руб.</t>
  </si>
  <si>
    <t>VLC-330078</t>
  </si>
  <si>
    <t>VTp.707.0.09011</t>
  </si>
  <si>
    <t>Соединитель PPR под ключ с переходом на нар. р. 90х3"   (5шт)</t>
  </si>
  <si>
    <t>5 391.00 руб.</t>
  </si>
  <si>
    <t>VLC-330079</t>
  </si>
  <si>
    <t>VTp.707.0.11012</t>
  </si>
  <si>
    <t>Соединитель полипропиленовый  под ключ с пер. на нар. р. 110х4"   (6шт)</t>
  </si>
  <si>
    <t>5 959.00 руб.</t>
  </si>
  <si>
    <t>VLC-330080</t>
  </si>
  <si>
    <t>VTp.708.0.02004</t>
  </si>
  <si>
    <t>Соединитель PPR с накидной гайкой 20х1/2"  (10 /400шт)</t>
  </si>
  <si>
    <t>163.00 руб.</t>
  </si>
  <si>
    <t>VLC-330081</t>
  </si>
  <si>
    <t>VTp.708.0.02005</t>
  </si>
  <si>
    <t>Соединитель PPR с накидной гайкой 20х3/4"  (10 /330шт)</t>
  </si>
  <si>
    <t>207.00 руб.</t>
  </si>
  <si>
    <t>VLC-330082</t>
  </si>
  <si>
    <t>VTp.708.0.02505</t>
  </si>
  <si>
    <t>Соединитель PPR с накидной гайкой 25х3/4"  (10 /260шт)</t>
  </si>
  <si>
    <t>225.00 руб.</t>
  </si>
  <si>
    <t>VLC-330083</t>
  </si>
  <si>
    <t>VTp.708.0.02506</t>
  </si>
  <si>
    <t>Соединитель PPR с накидной гайкой 25х1"  (5 /100шт)</t>
  </si>
  <si>
    <t>395.00 руб.</t>
  </si>
  <si>
    <t>VLC-330084</t>
  </si>
  <si>
    <t>VTp.708.0.03206</t>
  </si>
  <si>
    <t>Соединитель PPR с накидной гайкой 32х1"   (5 /80шт)</t>
  </si>
  <si>
    <t>422.00 руб.</t>
  </si>
  <si>
    <t>VLC-330085</t>
  </si>
  <si>
    <t>VTp.708.E.02005</t>
  </si>
  <si>
    <t>Соединитель PPR с накидной гайкой 20 х 3/4 евроконус  (10 /170шт)</t>
  </si>
  <si>
    <t>299.00 руб.</t>
  </si>
  <si>
    <t>VLC-330086</t>
  </si>
  <si>
    <t>VTp.708.K.02004</t>
  </si>
  <si>
    <t>Соединитель PPR с накидной гайкой 20 х 1/2" конус  (10 /200шт)</t>
  </si>
  <si>
    <t>249.00 руб.</t>
  </si>
  <si>
    <t>VLC-330087</t>
  </si>
  <si>
    <t>VTp.710.0.02016</t>
  </si>
  <si>
    <t>-Соединитель PPR, для коллектора с переходом на РЕХ 20х16(2,0)   (10 /200шт)</t>
  </si>
  <si>
    <t>326.00 руб.</t>
  </si>
  <si>
    <t>VLC-330088</t>
  </si>
  <si>
    <t>VTp.712.0.020</t>
  </si>
  <si>
    <t>Вентиль PPR 20мм  (10 /50шт)</t>
  </si>
  <si>
    <t>418.00 руб.</t>
  </si>
  <si>
    <t>VLC-330089</t>
  </si>
  <si>
    <t>VTp.712.0.025</t>
  </si>
  <si>
    <t>Вентиль PPR 25мм  (10 /40шт)</t>
  </si>
  <si>
    <t>483.00 руб.</t>
  </si>
  <si>
    <t>VLC-330090</t>
  </si>
  <si>
    <t>VTp.712.0.032</t>
  </si>
  <si>
    <t>Вентиль PPR 32мм  (5 /30шт)</t>
  </si>
  <si>
    <t>581.00 руб.</t>
  </si>
  <si>
    <t>VLC-330091</t>
  </si>
  <si>
    <t>VTp.713.0.020</t>
  </si>
  <si>
    <t>Вентиль PPR хромированный 20мм  (5 /60шт)</t>
  </si>
  <si>
    <t>1 785.00 руб.</t>
  </si>
  <si>
    <t>VLC-330092</t>
  </si>
  <si>
    <t>VTp.713.0.025</t>
  </si>
  <si>
    <t>Вентиль PPR хромированный 25мм  (5 /50шт)</t>
  </si>
  <si>
    <t>943.00 руб.</t>
  </si>
  <si>
    <t>VLC-330093</t>
  </si>
  <si>
    <t>VTp.714.0.020</t>
  </si>
  <si>
    <t>Вентиль прямоточный 20 мм  (5 /100шт)</t>
  </si>
  <si>
    <t>VLC-330094</t>
  </si>
  <si>
    <t>VTp.714.0.025</t>
  </si>
  <si>
    <t>Вентиль прямоточный 25 мм   (5 /65шт)</t>
  </si>
  <si>
    <t>547.00 руб.</t>
  </si>
  <si>
    <t>VLC-330095</t>
  </si>
  <si>
    <t>VTp.714.0.032</t>
  </si>
  <si>
    <t>Вентиль прямоточный 32 мм   (5 /35шт)</t>
  </si>
  <si>
    <t>960.00 руб.</t>
  </si>
  <si>
    <t>VLC-330096</t>
  </si>
  <si>
    <t>VTp.716.0.020</t>
  </si>
  <si>
    <t>Клапан обратный PPR 20мм   (5 /180шт)</t>
  </si>
  <si>
    <t>VLC-330097</t>
  </si>
  <si>
    <t>VTp.716.0.025</t>
  </si>
  <si>
    <t>Клапан обратный PPR 25мм   (5 /90шт)</t>
  </si>
  <si>
    <t>331.00 руб.</t>
  </si>
  <si>
    <t>VLC-330098</t>
  </si>
  <si>
    <t>VTp.716.0.032</t>
  </si>
  <si>
    <t>Клапан обратный PPR 32мм  (5 /70шт)</t>
  </si>
  <si>
    <t>579.00 руб.</t>
  </si>
  <si>
    <t>VLC-330099</t>
  </si>
  <si>
    <t>VTp.717.0.02004</t>
  </si>
  <si>
    <t>Кран PPR для подключения радиатора прямой 20х1/2"   (5 /90шт)</t>
  </si>
  <si>
    <t>587.00 руб.</t>
  </si>
  <si>
    <t>VLC-330100</t>
  </si>
  <si>
    <t>VTp.717.0.02505</t>
  </si>
  <si>
    <t>Кран PPR для подключения радиатора прямой 25х3/4"   (5 /50шт)</t>
  </si>
  <si>
    <t>905.00 руб.</t>
  </si>
  <si>
    <t>VLC-330101</t>
  </si>
  <si>
    <t>VTp.718.0.02004</t>
  </si>
  <si>
    <t>Кран PPR для подключения радиатора угловой 20х1/2"  (5 /80шт)</t>
  </si>
  <si>
    <t>590.00 руб.</t>
  </si>
  <si>
    <t>VLC-330102</t>
  </si>
  <si>
    <t>VTp.718.0.02505</t>
  </si>
  <si>
    <t>Кран PPR для подключения радиатора угловой 25х3/4"  (5 /30шт)</t>
  </si>
  <si>
    <t>1 003.00 руб.</t>
  </si>
  <si>
    <t>VLC-330103</t>
  </si>
  <si>
    <t>VTp.717.V.02004</t>
  </si>
  <si>
    <t>Клапан PPR для подключения радиатора прямой 20х1/2"   (5 /80шт)</t>
  </si>
  <si>
    <t>628.00 руб.</t>
  </si>
  <si>
    <t>VLC-330104</t>
  </si>
  <si>
    <t>VTp.717.V.02505</t>
  </si>
  <si>
    <t>Клапан PPR для подключения радиатора прямой 25х3/4"   (5 /45шт)</t>
  </si>
  <si>
    <t>1 072.00 руб.</t>
  </si>
  <si>
    <t>VLC-330105</t>
  </si>
  <si>
    <t>VTp.718.V.02004</t>
  </si>
  <si>
    <t>Клапан PPR для подключения радиатора угловой 20х1/2"  (5 /100шт)</t>
  </si>
  <si>
    <t>613.00 руб.</t>
  </si>
  <si>
    <t>VLC-330106</t>
  </si>
  <si>
    <t>VTp.718.V.02505</t>
  </si>
  <si>
    <t>Клапан PPR для подключения радиатора угловой 25х3/4"  (5 /50шт)</t>
  </si>
  <si>
    <t>1 127.00 руб.</t>
  </si>
  <si>
    <t>VLC-330107</t>
  </si>
  <si>
    <t>VTp.721.0.02005</t>
  </si>
  <si>
    <t>Штуцер PPR с накидной гайкой нар.р. 20x3/4  (10 /240шт)</t>
  </si>
  <si>
    <t>178.00 руб.</t>
  </si>
  <si>
    <t>VLC-330108</t>
  </si>
  <si>
    <t>VTp.721.0.02506</t>
  </si>
  <si>
    <t>Штуцер PPR с накидной гайкой нар.р. 25x1  (10 /150шт)</t>
  </si>
  <si>
    <t>219.00 руб.</t>
  </si>
  <si>
    <t>VLC-330109</t>
  </si>
  <si>
    <t>VTp.721.0.03207</t>
  </si>
  <si>
    <t>Штуцер PPR с накидной гайкой нар.р. 32x 1 1/4   (5 /100шт)</t>
  </si>
  <si>
    <t>536.00 руб.</t>
  </si>
  <si>
    <t>VLC-330110</t>
  </si>
  <si>
    <t>VTp.722.0.02005</t>
  </si>
  <si>
    <t>Штуцер PPR с накидной гайкой вн. р. 20х3/4"  (10 /200шт)</t>
  </si>
  <si>
    <t>169.00 руб.</t>
  </si>
  <si>
    <t>VLC-330111</t>
  </si>
  <si>
    <t>VTp.722.0.02506</t>
  </si>
  <si>
    <t>Штуцер PPR с накидной гайкой вн. р.  25х1"  (10 /100шт)</t>
  </si>
  <si>
    <t>270.00 руб.</t>
  </si>
  <si>
    <t>VLC-330112</t>
  </si>
  <si>
    <t>VTp.722.0.03207</t>
  </si>
  <si>
    <t>Штуцер PPR с накидной гайкой вн. резьба  32х1 1/4"  (5 /50шт)</t>
  </si>
  <si>
    <t>488.00 руб.</t>
  </si>
  <si>
    <t>VLC-330113</t>
  </si>
  <si>
    <t>VTp.724.0.02004</t>
  </si>
  <si>
    <t>Планка с водорозетками PPR 20х1/2"  (5 /55шт)</t>
  </si>
  <si>
    <t>361.00 руб.</t>
  </si>
  <si>
    <t>VLC-330114</t>
  </si>
  <si>
    <t>VTp.724.0.02504</t>
  </si>
  <si>
    <t>Планка с водорозетками PPR 25х1/2"  (5 /40шт)</t>
  </si>
  <si>
    <t>394.00 руб.</t>
  </si>
  <si>
    <t>VLC-330115</t>
  </si>
  <si>
    <t>VTp.730.P.4000</t>
  </si>
  <si>
    <t>Крепление для коллекторов PPR  (2 /20шт)</t>
  </si>
  <si>
    <t>VLC-330116</t>
  </si>
  <si>
    <t>VTp.731.0.020</t>
  </si>
  <si>
    <t>Тройник PPR 20мм  (10 /280шт)</t>
  </si>
  <si>
    <t>VLC-330117</t>
  </si>
  <si>
    <t>VTp.731.0.025</t>
  </si>
  <si>
    <t>Тройник PPR 25мм  (10 /180шт)</t>
  </si>
  <si>
    <t>VLC-330118</t>
  </si>
  <si>
    <t>VTp.731.0.032</t>
  </si>
  <si>
    <t>Тройник PPR 32мм  (5 /120шт)</t>
  </si>
  <si>
    <t>47.00 руб.</t>
  </si>
  <si>
    <t>VLC-330119</t>
  </si>
  <si>
    <t>VTp.731.0.040</t>
  </si>
  <si>
    <t>Тройник PPR 40мм   (5 /55шт)</t>
  </si>
  <si>
    <t>89.00 руб.</t>
  </si>
  <si>
    <t>VLC-330120</t>
  </si>
  <si>
    <t>VTp.731.0.050</t>
  </si>
  <si>
    <t>Тройник PPR 50мм   (5 /30шт)</t>
  </si>
  <si>
    <t>VLC-330121</t>
  </si>
  <si>
    <t>VTp.731.0.063</t>
  </si>
  <si>
    <t>Тройник PPR 63мм  (2 /16шт)</t>
  </si>
  <si>
    <t>319.00 руб.</t>
  </si>
  <si>
    <t>VLC-330122</t>
  </si>
  <si>
    <t>VTp.731.0.075</t>
  </si>
  <si>
    <t>Тройник PPR 75мм   (1 /11шт)</t>
  </si>
  <si>
    <t>557.00 руб.</t>
  </si>
  <si>
    <t>VLC-330123</t>
  </si>
  <si>
    <t>VTp.731.0.090</t>
  </si>
  <si>
    <t>Тройник PPR 90мм   (1 /5шт)</t>
  </si>
  <si>
    <t>1 035.00 руб.</t>
  </si>
  <si>
    <t>VLC-330124</t>
  </si>
  <si>
    <t>VTp.732.0.02004</t>
  </si>
  <si>
    <t>Тройник PPR с переходом на вн. р. 20х1/2"  (10 /180шт)</t>
  </si>
  <si>
    <t>157.00 руб.</t>
  </si>
  <si>
    <t>VLC-330125</t>
  </si>
  <si>
    <t>VTp.732.0.02005</t>
  </si>
  <si>
    <t>Тройник PPR с переходом на вн. р. 20х3/4"  (10 /150шт)</t>
  </si>
  <si>
    <t>194.00 руб.</t>
  </si>
  <si>
    <t>VLC-330126</t>
  </si>
  <si>
    <t>VTp.732.0.02504</t>
  </si>
  <si>
    <t>Тройник PPR с переходом на вн. р. 25х1/2"  (10 /160шт)</t>
  </si>
  <si>
    <t>179.00 руб.</t>
  </si>
  <si>
    <t>VLC-330127</t>
  </si>
  <si>
    <t>VTp.732.0.02505</t>
  </si>
  <si>
    <t>Тройник PPR с переходом на вн. р. 25х3/4"  (10 /150шт)</t>
  </si>
  <si>
    <t>214.00 руб.</t>
  </si>
  <si>
    <t>VLC-330128</t>
  </si>
  <si>
    <t>VTp.732.0.03204</t>
  </si>
  <si>
    <t>Тройник PPR с переходом на вн. р. 32х1/2"   (5 /100шт)</t>
  </si>
  <si>
    <t>285.00 руб.</t>
  </si>
  <si>
    <t>VLC-330129</t>
  </si>
  <si>
    <t>VTp.732.0.03205</t>
  </si>
  <si>
    <t>Тройник PPR с переходом на вн. р. 32х3/4"  (5 /75шт)</t>
  </si>
  <si>
    <t>308.00 руб.</t>
  </si>
  <si>
    <t>VLC-330130</t>
  </si>
  <si>
    <t>VTp.732.0.03206</t>
  </si>
  <si>
    <t>Тройник PPR с переходом на вн. р. 32х1"   (5 /80шт)</t>
  </si>
  <si>
    <t>382.00 руб.</t>
  </si>
  <si>
    <t>VLC-330131</t>
  </si>
  <si>
    <t>VTp.733.0.02004</t>
  </si>
  <si>
    <t>Тройник PPR с переходом на нар. р. 20х1/2"  (10 /180шт)</t>
  </si>
  <si>
    <t>196.00 руб.</t>
  </si>
  <si>
    <t>VLC-330132</t>
  </si>
  <si>
    <t>VTp.733.0.02005</t>
  </si>
  <si>
    <t>Тройник PPR с переходом на нар. р. 20х3/4"  (10 /90шт)</t>
  </si>
  <si>
    <t>VLC-330133</t>
  </si>
  <si>
    <t>VTp.733.0.02504</t>
  </si>
  <si>
    <t>Тройник PPR с переходом на нар. р. 25х1/2"  (10 /90шт)</t>
  </si>
  <si>
    <t>248.00 руб.</t>
  </si>
  <si>
    <t>VLC-330134</t>
  </si>
  <si>
    <t>VTp.733.0.02505</t>
  </si>
  <si>
    <t>Тройник PPR с переходом на нар. р. 25х3/4"   (10 /90шт)</t>
  </si>
  <si>
    <t>307.00 руб.</t>
  </si>
  <si>
    <t>VLC-330135</t>
  </si>
  <si>
    <t>VTp.733.0.03204</t>
  </si>
  <si>
    <t>Тройник PPR с переходом на нар. р. 32х1/2"  (5 /90шт)</t>
  </si>
  <si>
    <t>330.00 руб.</t>
  </si>
  <si>
    <t>VLC-330136</t>
  </si>
  <si>
    <t>VTp.733.0.03205</t>
  </si>
  <si>
    <t>Тройник PPR с переходом на нар. р. 32х3/4"   (5 /80шт)</t>
  </si>
  <si>
    <t>365.00 руб.</t>
  </si>
  <si>
    <t>VLC-330137</t>
  </si>
  <si>
    <t>VTp.733.0.03206</t>
  </si>
  <si>
    <t>Тройник PPR с переходом на нар. р. 32х1"  (5 /45шт)</t>
  </si>
  <si>
    <t>454.00 руб.</t>
  </si>
  <si>
    <t>VLC-330138</t>
  </si>
  <si>
    <t>VTp.734.0.04004</t>
  </si>
  <si>
    <t>Тройник PPR для подключения коллекторных соединителей  40 х ½ нар.р.   (5 /80шт)</t>
  </si>
  <si>
    <t>289.00 руб.</t>
  </si>
  <si>
    <t>VLC-330139</t>
  </si>
  <si>
    <t>VTp.734.0.04005</t>
  </si>
  <si>
    <t>Тройник PPR для подключения коллекторных соединителей  40 х 3/4 нар.р.  (5 /80шт)</t>
  </si>
  <si>
    <t>VLC-330140</t>
  </si>
  <si>
    <t>VTp.735.0.025020020</t>
  </si>
  <si>
    <t>Тройник переходной PPR 25-20-20мм  (10 /200шт)</t>
  </si>
  <si>
    <t>33.00 руб.</t>
  </si>
  <si>
    <t>VLC-330141</t>
  </si>
  <si>
    <t>VTp.735.0.025020025</t>
  </si>
  <si>
    <t>Тройник переходной PPR 25-20-25мм (10 /200шт)</t>
  </si>
  <si>
    <t>29.00 руб.</t>
  </si>
  <si>
    <t>VLC-330142</t>
  </si>
  <si>
    <t>VTp.735.0.032020020</t>
  </si>
  <si>
    <t>Тройник переходной PPR 32-20-20мм  (5 /150шт)</t>
  </si>
  <si>
    <t>42.00 руб.</t>
  </si>
  <si>
    <t>VLC-330143</t>
  </si>
  <si>
    <t>VTp.735.0.032020025</t>
  </si>
  <si>
    <t>Тройник переходной PPR 32-20-25мм  (5 /135шт)</t>
  </si>
  <si>
    <t>VLC-330144</t>
  </si>
  <si>
    <t>VTp.735.0.032020032</t>
  </si>
  <si>
    <t>Тройник переходной PPR 32-20-32мм  (5 /140шт)</t>
  </si>
  <si>
    <t>48.00 руб.</t>
  </si>
  <si>
    <t>VLC-330145</t>
  </si>
  <si>
    <t>VTp.735.0.032025020</t>
  </si>
  <si>
    <t>Тройник переходной PPR 32-25-20мм  (5 /140шт)</t>
  </si>
  <si>
    <t>55.00 руб.</t>
  </si>
  <si>
    <t>VLC-330146</t>
  </si>
  <si>
    <t>VTp.735.0.032025025</t>
  </si>
  <si>
    <t>Тройник переходной PPR 32-25-25мм  (5 /100шт)</t>
  </si>
  <si>
    <t>VLC-330147</t>
  </si>
  <si>
    <t>VTp.735.0.032025032</t>
  </si>
  <si>
    <t>Тройник переходной PPR 32-25-32мм  (5 /120шт)</t>
  </si>
  <si>
    <t>VLC-330148</t>
  </si>
  <si>
    <t>VTp.735.0.040020040</t>
  </si>
  <si>
    <t>Тройник переходной PPR 40-20-40мм   (5 /80шт)</t>
  </si>
  <si>
    <t>VLC-330149</t>
  </si>
  <si>
    <t>VTp.735.0.040025040</t>
  </si>
  <si>
    <t>Тройник переходной PPR 40-25-40мм  (5 /60шт)</t>
  </si>
  <si>
    <t>90.00 руб.</t>
  </si>
  <si>
    <t>VLC-330150</t>
  </si>
  <si>
    <t>VTp.735.0.040032040</t>
  </si>
  <si>
    <t>Тройник переходной PPR 40-32-40мм  (5 /60шт)</t>
  </si>
  <si>
    <t>105.00 руб.</t>
  </si>
  <si>
    <t>VLC-330151</t>
  </si>
  <si>
    <t>VTp.735.0.050020050</t>
  </si>
  <si>
    <t>Тройник переходной PPR 50-20-50мм   (5 /30шт)</t>
  </si>
  <si>
    <t>132.00 руб.</t>
  </si>
  <si>
    <t>VLC-330152</t>
  </si>
  <si>
    <t>VTp.735.0.050025050</t>
  </si>
  <si>
    <t>Тройник переходной PPR 50-25-50мм  (5 /25шт)</t>
  </si>
  <si>
    <t>150.00 руб.</t>
  </si>
  <si>
    <t>VLC-330153</t>
  </si>
  <si>
    <t>VTp.735.0.050032050</t>
  </si>
  <si>
    <t>Тройник переходной PPR 50-32-50мм  (5 /25шт)</t>
  </si>
  <si>
    <t>174.00 руб.</t>
  </si>
  <si>
    <t>VLC-330154</t>
  </si>
  <si>
    <t>VTp.735.0.050040050</t>
  </si>
  <si>
    <t>Тройник переходной PPR 50-40-50мм   (5 /25шт)</t>
  </si>
  <si>
    <t>VLC-330155</t>
  </si>
  <si>
    <t>VTp.735.0.063020063</t>
  </si>
  <si>
    <t>Тройник переходной PPR 63-20-63мм  (2 /24шт)</t>
  </si>
  <si>
    <t>258.00 руб.</t>
  </si>
  <si>
    <t>VLC-330156</t>
  </si>
  <si>
    <t>VTp.735.0.063025063</t>
  </si>
  <si>
    <t>Тройник переходной PPR 63-25-63мм (2 /24шт)</t>
  </si>
  <si>
    <t>276.00 руб.</t>
  </si>
  <si>
    <t>VLC-330157</t>
  </si>
  <si>
    <t>VTp.735.0.063032063</t>
  </si>
  <si>
    <t>Тройник переходной PPR 63-32-63мм  (2 /24шт)</t>
  </si>
  <si>
    <t>VLC-330158</t>
  </si>
  <si>
    <t>VTp.735.0.063040063</t>
  </si>
  <si>
    <t>Тройник переходной PPR 63-40-63мм (2 /24шт)</t>
  </si>
  <si>
    <t>271.00 руб.</t>
  </si>
  <si>
    <t>VLC-330159</t>
  </si>
  <si>
    <t>VTp.735.0.063050063</t>
  </si>
  <si>
    <t>Тройник переходной PPR 63-50-63мм  (2 /18шт)</t>
  </si>
  <si>
    <t>369.00 руб.</t>
  </si>
  <si>
    <t>VLC-330160</t>
  </si>
  <si>
    <t>VTp.735.0.075040075</t>
  </si>
  <si>
    <t>Тройник переходной PPR 75-40-75мм  (2 /14шт)</t>
  </si>
  <si>
    <t>503.00 руб.</t>
  </si>
  <si>
    <t>VLC-330161</t>
  </si>
  <si>
    <t>VTp.735.0.075050075</t>
  </si>
  <si>
    <t>Тройник переходной PPR 75-50-75мм  (2 /12шт)</t>
  </si>
  <si>
    <t>564.00 руб.</t>
  </si>
  <si>
    <t>VLC-330162</t>
  </si>
  <si>
    <t>VTp.735.0.075063075</t>
  </si>
  <si>
    <t>Тройник переходной PPR 75-63-75мм  (2 /10шт)</t>
  </si>
  <si>
    <t>665.00 руб.</t>
  </si>
  <si>
    <t>VLC-330163</t>
  </si>
  <si>
    <t>VTp.738.0.020</t>
  </si>
  <si>
    <t>Тройник PPR двухплоскостной 20мм (10 /280шт)</t>
  </si>
  <si>
    <t>26.00 руб.</t>
  </si>
  <si>
    <t>VLC-330164</t>
  </si>
  <si>
    <t>VTp.738.0.025</t>
  </si>
  <si>
    <t>Тройник PPR двухплоскостной 25мм (10 /160шт)</t>
  </si>
  <si>
    <t>39.00 руб.</t>
  </si>
  <si>
    <t>VLC-330165</t>
  </si>
  <si>
    <t>VTp.738.0.032</t>
  </si>
  <si>
    <t>Тройник PPR двухплоскостной 32мм  (5 /90шт)</t>
  </si>
  <si>
    <t>VLC-330166</t>
  </si>
  <si>
    <t>VTp.741.0.020</t>
  </si>
  <si>
    <t>Крестовина PPR 20мм (10 /200шт)</t>
  </si>
  <si>
    <t>VLC-330167</t>
  </si>
  <si>
    <t>VTp.741.0.025</t>
  </si>
  <si>
    <t>Крестовина PPR 25мм (10 /160шт)</t>
  </si>
  <si>
    <t>VLC-330168</t>
  </si>
  <si>
    <t>VTp.741.0.032</t>
  </si>
  <si>
    <t>Крестовина PPR 32мм  (5 /75шт)</t>
  </si>
  <si>
    <t>82.00 руб.</t>
  </si>
  <si>
    <t>VLC-330169</t>
  </si>
  <si>
    <t>VTp.741.0.040</t>
  </si>
  <si>
    <t>Крестовина PPR 40мм  (5 /45шт)</t>
  </si>
  <si>
    <t>153.00 руб.</t>
  </si>
  <si>
    <t>VLC-330170</t>
  </si>
  <si>
    <t>VTp.741.0.050</t>
  </si>
  <si>
    <t>Крестовина PPR 50мм  (5 /20шт)</t>
  </si>
  <si>
    <t>259.00 руб.</t>
  </si>
  <si>
    <t>VLC-330171</t>
  </si>
  <si>
    <t>VTp.742.0.02004</t>
  </si>
  <si>
    <t>Кран латунный под PPR 20х1/2 вн. р. (с полусгоном) (10 /120шт)</t>
  </si>
  <si>
    <t>723.00 руб.</t>
  </si>
  <si>
    <t>VLC-330172</t>
  </si>
  <si>
    <t>VTp.742.0.02505</t>
  </si>
  <si>
    <t>Кран латунный под PPR 25х3/4 вн. р. (с полусгоном) (6 /72шт)</t>
  </si>
  <si>
    <t>1 192.00 руб.</t>
  </si>
  <si>
    <t>VLC-330173</t>
  </si>
  <si>
    <t>VTp.742.0.03206</t>
  </si>
  <si>
    <t>Кран латунный под PPR 32х1 вн. р. (с полусгоном) (6 /54шт)</t>
  </si>
  <si>
    <t>1 771.00 руб.</t>
  </si>
  <si>
    <t>VLC-330174</t>
  </si>
  <si>
    <t>VTp.742.0.04007</t>
  </si>
  <si>
    <t>Кран латунный под PPR 40х1 1/4 вн. р. (с полусгоном)   (4 /32шт)</t>
  </si>
  <si>
    <t>2 362.00 руб.</t>
  </si>
  <si>
    <t>VLC-330175</t>
  </si>
  <si>
    <t>VTp.743.0.020</t>
  </si>
  <si>
    <t>Кран PPR гор.вода 20мм   (5 /120шт)</t>
  </si>
  <si>
    <t>311.00 руб.</t>
  </si>
  <si>
    <t>VLC-330176</t>
  </si>
  <si>
    <t>VTp.743.0.025</t>
  </si>
  <si>
    <t>Кран PPR гор.вода 25мм  (5 /75шт)</t>
  </si>
  <si>
    <t>516.00 руб.</t>
  </si>
  <si>
    <t>VLC-330177</t>
  </si>
  <si>
    <t>VTp.743.0.032</t>
  </si>
  <si>
    <t>Кран PPR гор.вода 32мм  (5 /50шт)</t>
  </si>
  <si>
    <t>776.00 руб.</t>
  </si>
  <si>
    <t>VLC-330178</t>
  </si>
  <si>
    <t>VTp.743.0.040</t>
  </si>
  <si>
    <t>Кран PPR гор.вода 40мм   (1 /20шт)</t>
  </si>
  <si>
    <t>860.00 руб.</t>
  </si>
  <si>
    <t>VLC-330179</t>
  </si>
  <si>
    <t>VTp.743.0.050</t>
  </si>
  <si>
    <t>Кран PPR гор.вода 50мм  (1 /15шт)</t>
  </si>
  <si>
    <t>2 179.00 руб.</t>
  </si>
  <si>
    <t>VLC-330180</t>
  </si>
  <si>
    <t>VTp.743.0.063</t>
  </si>
  <si>
    <t>Кран PPR гор.вода 63мм    (1 /10шт)</t>
  </si>
  <si>
    <t>3 666.00 руб.</t>
  </si>
  <si>
    <t>VLC-330181</t>
  </si>
  <si>
    <t>VTp.744.0.020</t>
  </si>
  <si>
    <t>Кран PPR с латунной обоймой, 20мм  (5 /120шт)</t>
  </si>
  <si>
    <t>477.00 руб.</t>
  </si>
  <si>
    <t>VLC-330182</t>
  </si>
  <si>
    <t>VTp.744.0.025</t>
  </si>
  <si>
    <t>Кран PPR с латунной обоймой, 25мм  (5 /80шт)</t>
  </si>
  <si>
    <t>775.00 руб.</t>
  </si>
  <si>
    <t>VLC-330183</t>
  </si>
  <si>
    <t>VTp.744.0.032</t>
  </si>
  <si>
    <t>Кран PPR с латунной обоймой, 32мм  (4 /32шт)</t>
  </si>
  <si>
    <t>1 073.00 руб.</t>
  </si>
  <si>
    <t>VLC-330184</t>
  </si>
  <si>
    <t>VTp.745.0.020</t>
  </si>
  <si>
    <t>Кран латунный с PPR муфтами, 20мм  (10 /90шт)</t>
  </si>
  <si>
    <t>778.00 руб.</t>
  </si>
  <si>
    <t>VLC-330185</t>
  </si>
  <si>
    <t>VTp.745.0.025</t>
  </si>
  <si>
    <t>Кран латунный с PPR муфтами, 25мм  (5 /60шт)</t>
  </si>
  <si>
    <t>1 173.00 руб.</t>
  </si>
  <si>
    <t>VLC-330186</t>
  </si>
  <si>
    <t>VTp.745.0.032</t>
  </si>
  <si>
    <t>Кран латунный с PPR муфтами, 32мм   (4 /36шт)</t>
  </si>
  <si>
    <t>1 866.00 руб.</t>
  </si>
  <si>
    <t>VLC-330187</t>
  </si>
  <si>
    <t>VTp.751.0.020</t>
  </si>
  <si>
    <t>Угольник 90 PPR 20мм  (10 /300шт)</t>
  </si>
  <si>
    <t>VLC-330188</t>
  </si>
  <si>
    <t>VTp.751.0.025</t>
  </si>
  <si>
    <t>Угольник 90 PPR 25мм (10 /240шт)</t>
  </si>
  <si>
    <t>22.00 руб.</t>
  </si>
  <si>
    <t>VLC-330189</t>
  </si>
  <si>
    <t>VTp.751.0.032</t>
  </si>
  <si>
    <t>Угольник 90 PPR 32мм  (5 /120шт)</t>
  </si>
  <si>
    <t>38.00 руб.</t>
  </si>
  <si>
    <t>VLC-330190</t>
  </si>
  <si>
    <t>VTp.751.0.040</t>
  </si>
  <si>
    <t>Угольник 90 PPR 40мм  (5 /60шт)</t>
  </si>
  <si>
    <t>74.00 руб.</t>
  </si>
  <si>
    <t>VLC-330191</t>
  </si>
  <si>
    <t>VTp.751.0.050</t>
  </si>
  <si>
    <t>Угольник 90 PPR 50мм  (5 /40шт)</t>
  </si>
  <si>
    <t>126.00 руб.</t>
  </si>
  <si>
    <t>VLC-330192</t>
  </si>
  <si>
    <t>VTp.751.0.063</t>
  </si>
  <si>
    <t>Угольник 90 PPR 63мм (2 /18шт)</t>
  </si>
  <si>
    <t>306.00 руб.</t>
  </si>
  <si>
    <t>VLC-330193</t>
  </si>
  <si>
    <t>VTp.751.0.075</t>
  </si>
  <si>
    <t>Угольник 90 PPR 75мм    (1 /12шт)</t>
  </si>
  <si>
    <t>VLC-330194</t>
  </si>
  <si>
    <t>VTp.751.0.090</t>
  </si>
  <si>
    <t>Угольник 90 PPR 90мм   (1 /5шт)</t>
  </si>
  <si>
    <t>1 114.00 руб.</t>
  </si>
  <si>
    <t>VLC-330195</t>
  </si>
  <si>
    <t>VTp.752.0.02004</t>
  </si>
  <si>
    <t>Угольник PPR с переходом на вн. р. 20х1/2" (10 /300шт)</t>
  </si>
  <si>
    <t>VLC-330196</t>
  </si>
  <si>
    <t>VTp.752.0.02005</t>
  </si>
  <si>
    <t>Угольник PPR с переходом на вн. р. 20х3/4" (10 /200шт)</t>
  </si>
  <si>
    <t>184.00 руб.</t>
  </si>
  <si>
    <t>VLC-330197</t>
  </si>
  <si>
    <t>VTp.752.0.02504</t>
  </si>
  <si>
    <t>Угольник PPR с переходом на вн. р. 25х1/2" (10 /200шт)</t>
  </si>
  <si>
    <t>149.00 руб.</t>
  </si>
  <si>
    <t>VLC-330198</t>
  </si>
  <si>
    <t>VTp.752.0.02505</t>
  </si>
  <si>
    <t>Угольник PPR с переходом на вн. р. 25х3/4" (10 /200шт)</t>
  </si>
  <si>
    <t>VLC-330199</t>
  </si>
  <si>
    <t>VTp.752.0.03205</t>
  </si>
  <si>
    <t>Угольник PPR с переходом на вн. р. 32х3/4"   (5 /80шт)</t>
  </si>
  <si>
    <t>296.00 руб.</t>
  </si>
  <si>
    <t>VLC-330200</t>
  </si>
  <si>
    <t>VTp.752.0.03206</t>
  </si>
  <si>
    <t>Угольник PPR с переходом на вн. р. 32х1"  (5 /110шт)</t>
  </si>
  <si>
    <t>363.00 руб.</t>
  </si>
  <si>
    <t>VLC-330201</t>
  </si>
  <si>
    <t>VTp.753.0.02004</t>
  </si>
  <si>
    <t>Угольник PPR с переходом на нар. р. 20х1/2" (10 /260шт)</t>
  </si>
  <si>
    <t>VLC-330202</t>
  </si>
  <si>
    <t>VTp.753.0.02005</t>
  </si>
  <si>
    <t>Угольник PPR с переходом на нар. р. 20х3/4" (10 /190шт)</t>
  </si>
  <si>
    <t>251.00 руб.</t>
  </si>
  <si>
    <t>VLC-330203</t>
  </si>
  <si>
    <t>VTp.753.0.02504</t>
  </si>
  <si>
    <t>Угольник PPR с переходом на нар. р. 25х1/2" (10 /200шт)</t>
  </si>
  <si>
    <t>205.00 руб.</t>
  </si>
  <si>
    <t>VLC-330204</t>
  </si>
  <si>
    <t>VTp.753.0.02505</t>
  </si>
  <si>
    <t>Угольник PPR с переходом на нар. р. 25х3/4" (10 /160шт)</t>
  </si>
  <si>
    <t>VLC-330205</t>
  </si>
  <si>
    <t>VTp.753.0.03205</t>
  </si>
  <si>
    <t>Угольник PPR с переходом на нар. р. 32х3/4"   (5 /70шт)</t>
  </si>
  <si>
    <t>351.00 руб.</t>
  </si>
  <si>
    <t>VLC-330206</t>
  </si>
  <si>
    <t>VTp.753.0.03206</t>
  </si>
  <si>
    <t>Угольник PPR с переходом на нар. р. 32х1" (5 /100шт)</t>
  </si>
  <si>
    <t>441.00 руб.</t>
  </si>
  <si>
    <t>VLC-330207</t>
  </si>
  <si>
    <t>VTp.754.0.02004</t>
  </si>
  <si>
    <t>Водорозетка PPR 20х1/2"вн.  (10 /200шт)</t>
  </si>
  <si>
    <t>VLC-330208</t>
  </si>
  <si>
    <t>VTp.754.0.02504</t>
  </si>
  <si>
    <t>Водорозетка PPR 25х1/2"вн.  (10 /160шт)</t>
  </si>
  <si>
    <t>190.00 руб.</t>
  </si>
  <si>
    <t>VLC-330209</t>
  </si>
  <si>
    <t>VTp.755.0.02004</t>
  </si>
  <si>
    <t>Водорозетка PPR 20х1/2"нар.  (10 /190шт)</t>
  </si>
  <si>
    <t>VLC-330210</t>
  </si>
  <si>
    <t>VTp.755.0.02504</t>
  </si>
  <si>
    <t>Водорозетка PPR 25х1/2"нар.  (10 /160шт)</t>
  </si>
  <si>
    <t>242.00 руб.</t>
  </si>
  <si>
    <t>VLC-330211</t>
  </si>
  <si>
    <t>VTp.758.0.02004</t>
  </si>
  <si>
    <t>Угольник PPR с накидной гайкой 20х1/2"   (10 /360шт)</t>
  </si>
  <si>
    <t>VLC-330212</t>
  </si>
  <si>
    <t>VTp.758.0.02005</t>
  </si>
  <si>
    <t>Угольник PPR с накидной гайкой 20х3/4"  (10 /150шт)</t>
  </si>
  <si>
    <t>265.00 руб.</t>
  </si>
  <si>
    <t>VLC-330213</t>
  </si>
  <si>
    <t>VTp.758.0.02505</t>
  </si>
  <si>
    <t>Угольник PPR с накидной гайкой 25х3/4" (10 /200шт)</t>
  </si>
  <si>
    <t>255.00 руб.</t>
  </si>
  <si>
    <t>VLC-330214</t>
  </si>
  <si>
    <t>VTp.758.0.02506</t>
  </si>
  <si>
    <t>Угольник PPR с накидной гайкой 25х1" (5 /75шт)</t>
  </si>
  <si>
    <t>448.00 руб.</t>
  </si>
  <si>
    <t>VLC-330215</t>
  </si>
  <si>
    <t>VTp.759.0.020</t>
  </si>
  <si>
    <t>Угольник 45 PPR 20мм  (10 /420шт)</t>
  </si>
  <si>
    <t>VLC-330216</t>
  </si>
  <si>
    <t>VTp.759.0.025</t>
  </si>
  <si>
    <t>Угольник 45 PPR 25мм   (10 /320шт)</t>
  </si>
  <si>
    <t>VLC-330217</t>
  </si>
  <si>
    <t>VTp.759.0.032</t>
  </si>
  <si>
    <t>Угольник 45 PPR 32мм (5 /160шт)</t>
  </si>
  <si>
    <t>34.00 руб.</t>
  </si>
  <si>
    <t>VLC-330218</t>
  </si>
  <si>
    <t>VTp.759.0.040</t>
  </si>
  <si>
    <t>Угольник 45 PPR 40мм (5 /80шт)</t>
  </si>
  <si>
    <t>VLC-330219</t>
  </si>
  <si>
    <t>VTp.759.0.050</t>
  </si>
  <si>
    <t>Угольник 45 PPR 50мм (5 /30шт)</t>
  </si>
  <si>
    <t>138.00 руб.</t>
  </si>
  <si>
    <t>VLC-330220</t>
  </si>
  <si>
    <t>VTp.759.0.063</t>
  </si>
  <si>
    <t>Угольник 45 PPR 63мм  (2 /24шт)</t>
  </si>
  <si>
    <t>250.00 руб.</t>
  </si>
  <si>
    <t>VLC-330221</t>
  </si>
  <si>
    <t>VTp.761.0.02004</t>
  </si>
  <si>
    <t>Соединитель PPR разъемный с переходом на нар. р. 20х1/2"  (10 /180шт)</t>
  </si>
  <si>
    <t>279.00 руб.</t>
  </si>
  <si>
    <t>VLC-330222</t>
  </si>
  <si>
    <t>VTp.761.0.02005</t>
  </si>
  <si>
    <t>Соединитель PPR разъемный с переходом на нар. р. 20х3/4" (10 /100шт)</t>
  </si>
  <si>
    <t>348.00 руб.</t>
  </si>
  <si>
    <t>VLC-330223</t>
  </si>
  <si>
    <t>VTp.761.0.02006</t>
  </si>
  <si>
    <t>Соединитель PPR разъемный с переходом на нар. р. 20х1"  (10 /130шт)</t>
  </si>
  <si>
    <t>VLC-330224</t>
  </si>
  <si>
    <t>VTp.761.0.02505</t>
  </si>
  <si>
    <t>Соединитель PPR разъемный с переходом на нар. р. 25х3/4"  (10 /100шт)</t>
  </si>
  <si>
    <t>VLC-330225</t>
  </si>
  <si>
    <t>VTp.761.0.02506</t>
  </si>
  <si>
    <t>Соединитель PPR разъемный с переходом на нар. р. 25х1"  (10 /100шт)</t>
  </si>
  <si>
    <t>566.00 руб.</t>
  </si>
  <si>
    <t>VLC-330226</t>
  </si>
  <si>
    <t>VTp.761.0.03206</t>
  </si>
  <si>
    <t>Соединитель PPR разъемный с переходом на нар. р. 32х1"  (5 /60шт)</t>
  </si>
  <si>
    <t>705.00 руб.</t>
  </si>
  <si>
    <t>VLC-330227</t>
  </si>
  <si>
    <t>VTp.761.0.04007</t>
  </si>
  <si>
    <t>Соединитель PPR разъемный с переходом на нар. р. 40х1 1/4" (5 /35шт)</t>
  </si>
  <si>
    <t>1 196.00 руб.</t>
  </si>
  <si>
    <t>VLC-330228</t>
  </si>
  <si>
    <t>VTp.761.0.05008</t>
  </si>
  <si>
    <t>Соединитель PPR разъемный с переходом на нар. р. 50х1 1/2" (5 /20шт)</t>
  </si>
  <si>
    <t>2 012.00 руб.</t>
  </si>
  <si>
    <t>VLC-330229</t>
  </si>
  <si>
    <t>VTp.761.0.06309</t>
  </si>
  <si>
    <t>Соединитель PPR разъемный с переходом на нар. р. 63х2" (1 /10шт)</t>
  </si>
  <si>
    <t>5 280.00 руб.</t>
  </si>
  <si>
    <t>VLC-330230</t>
  </si>
  <si>
    <t>VTp.762.0.02004</t>
  </si>
  <si>
    <t>Соединитель PPR разъемный с переходом на вн. р. 20х1/2"  (10 /200шт)</t>
  </si>
  <si>
    <t>290.00 руб.</t>
  </si>
  <si>
    <t>VLC-330231</t>
  </si>
  <si>
    <t>VTp.762.0.02005</t>
  </si>
  <si>
    <t>Соединитель PPR разъемный с переходом на вн. р. 20х3/4"  (10 /100шт)</t>
  </si>
  <si>
    <t>374.00 руб.</t>
  </si>
  <si>
    <t>VLC-330232</t>
  </si>
  <si>
    <t>VTp.762.0.02006</t>
  </si>
  <si>
    <t>Соединитель PPR разъемный с переходом на вн. р. 20х1"  (10 /130шт)</t>
  </si>
  <si>
    <t>412.00 руб.</t>
  </si>
  <si>
    <t>VLC-330233</t>
  </si>
  <si>
    <t>VTp.762.0.02505</t>
  </si>
  <si>
    <t>Соединитель PPR разъемный с переходом на вн. р. 25х3/4"  (10 /100шт)</t>
  </si>
  <si>
    <t>VLC-330234</t>
  </si>
  <si>
    <t>VTp.762.0.02506</t>
  </si>
  <si>
    <t>Соединитель PPR разъемный с переходом на вн. р. 25х1"  (10 /100шт)</t>
  </si>
  <si>
    <t>455.00 руб.</t>
  </si>
  <si>
    <t>VLC-330235</t>
  </si>
  <si>
    <t>VTp.762.0.03206</t>
  </si>
  <si>
    <t>Соединитель PPR разъемный с переходом на вн. р. 32х1" (5 /70шт)</t>
  </si>
  <si>
    <t>580.00 руб.</t>
  </si>
  <si>
    <t>VLC-330236</t>
  </si>
  <si>
    <t>VTp.762.0.04007</t>
  </si>
  <si>
    <t>Соединитель PPR разъемный с переходом на вн. р. 40х1 1/4" (5 /40шт)</t>
  </si>
  <si>
    <t>962.00 руб.</t>
  </si>
  <si>
    <t>VLC-330237</t>
  </si>
  <si>
    <t>VTp.762.0.04008</t>
  </si>
  <si>
    <t>Соединитель PPR разъемный с переходом на вн. р. 40х1 1/2"  (5 /35шт)</t>
  </si>
  <si>
    <t>1 093.00 руб.</t>
  </si>
  <si>
    <t>VLC-330238</t>
  </si>
  <si>
    <t>VTp.762.0.05008</t>
  </si>
  <si>
    <t>Соединитель PPR разъемный с переходом на вн. р. 50х1 1/2"  (5 /25шт)</t>
  </si>
  <si>
    <t>2 103.00 руб.</t>
  </si>
  <si>
    <t>VLC-330239</t>
  </si>
  <si>
    <t>VTp.762.0.06309</t>
  </si>
  <si>
    <t>Соединитель PPR разъемный с переходом на вн. р. 63х2"  (1 /10шт)</t>
  </si>
  <si>
    <t>4 789.00 руб.</t>
  </si>
  <si>
    <t>VLC-330240</t>
  </si>
  <si>
    <t>VTp.763.0.020</t>
  </si>
  <si>
    <t>Муфта PPR разъемная 20мм  (10 /140шт)</t>
  </si>
  <si>
    <t>284.00 руб.</t>
  </si>
  <si>
    <t>VLC-330241</t>
  </si>
  <si>
    <t>VTp.763.0.025</t>
  </si>
  <si>
    <t>Муфта PPR разъемная 25мм  (10 /80шт)</t>
  </si>
  <si>
    <t>506.00 руб.</t>
  </si>
  <si>
    <t>VLC-330242</t>
  </si>
  <si>
    <t>VTp.763.0.032</t>
  </si>
  <si>
    <t>Муфта PPR разъемная 32мм (5 /55шт)</t>
  </si>
  <si>
    <t>660.00 руб.</t>
  </si>
  <si>
    <t>VLC-330243</t>
  </si>
  <si>
    <t>VTp.763.0.040</t>
  </si>
  <si>
    <t>Муфта PPR разъемная 40мм  (5 /30шт)</t>
  </si>
  <si>
    <t>1 256.00 руб.</t>
  </si>
  <si>
    <t>VLC-330244</t>
  </si>
  <si>
    <t>VTp.763.0.050</t>
  </si>
  <si>
    <t>Муфта PPR разъемная 50мм (2 /18шт)</t>
  </si>
  <si>
    <t>2 223.00 руб.</t>
  </si>
  <si>
    <t>VLC-330245</t>
  </si>
  <si>
    <t>VTp.763.0.063</t>
  </si>
  <si>
    <t>Муфта PPR разъемная 63мм (1 /9шт)</t>
  </si>
  <si>
    <t>4 486.00 руб.</t>
  </si>
  <si>
    <t>VLC-330246</t>
  </si>
  <si>
    <t>VTp.763.0.075</t>
  </si>
  <si>
    <t>Муфта PPR разъемная 75мм  (1 /5шт)</t>
  </si>
  <si>
    <t>8 001.00 руб.</t>
  </si>
  <si>
    <t>VLC-330247</t>
  </si>
  <si>
    <t>VTp.775.0.020</t>
  </si>
  <si>
    <t>Крестовина PPR компланарная 20мм  (10 /160шт)</t>
  </si>
  <si>
    <t>88.00 руб.</t>
  </si>
  <si>
    <t>VLC-330248</t>
  </si>
  <si>
    <t>VTp.776.L.020</t>
  </si>
  <si>
    <t>Обвод с муфтами PPR длинный 20мм  (10 /120шт)</t>
  </si>
  <si>
    <t>VLC-330249</t>
  </si>
  <si>
    <t>VTp.776.L.025</t>
  </si>
  <si>
    <t>Обвод с муфтами PPR длинный 25мм (10 /70шт)</t>
  </si>
  <si>
    <t>93.00 руб.</t>
  </si>
  <si>
    <t>VLC-330250</t>
  </si>
  <si>
    <t>VTp.776.S.020</t>
  </si>
  <si>
    <t>Обвод с муфтами PPR короткий 20мм  (10 /210шт)</t>
  </si>
  <si>
    <t>30.00 руб.</t>
  </si>
  <si>
    <t>VLC-330251</t>
  </si>
  <si>
    <t>VTp.776.S.025</t>
  </si>
  <si>
    <t>Обвод с муфтами PPR короткий 25мм (5 /120шт)</t>
  </si>
  <si>
    <t>VLC-330252</t>
  </si>
  <si>
    <t>VTp.778.0.020</t>
  </si>
  <si>
    <t>Крестовина PPR двухплоскостная 20мм  (10 /220шт)</t>
  </si>
  <si>
    <t>VLC-330253</t>
  </si>
  <si>
    <t>VTp.778.0.025</t>
  </si>
  <si>
    <t>Крестовина PPR двухплоскостная 25мм  (10 /140шт)</t>
  </si>
  <si>
    <t>VLC-330254</t>
  </si>
  <si>
    <t>VTp.778.0.032</t>
  </si>
  <si>
    <t>Крестовина PPR двухплоскостная 32мм (5 /70шт)</t>
  </si>
  <si>
    <t>69.00 руб.</t>
  </si>
  <si>
    <t>VLC-330260</t>
  </si>
  <si>
    <t>VTp.781.0.04004</t>
  </si>
  <si>
    <t>Тройник коллекторный PPR с шаровым краном, 40мм х 1/2" нар. (конус) (5 /60шт)</t>
  </si>
  <si>
    <t>611.00 руб.</t>
  </si>
  <si>
    <t>VLC-330261</t>
  </si>
  <si>
    <t>VTp.781.0.04005</t>
  </si>
  <si>
    <t>Тройник коллекторный PPR с шаровым краном, 40мм х 3/4" нар. (евроконус)  (5 /60шт)</t>
  </si>
  <si>
    <t>680.00 руб.</t>
  </si>
  <si>
    <t>VLC-330262</t>
  </si>
  <si>
    <t>VTp.786.0.020</t>
  </si>
  <si>
    <t>Фильтр PPR вн.-вн. 20мм  (10 /150шт)</t>
  </si>
  <si>
    <t>233.00 руб.</t>
  </si>
  <si>
    <t>VLC-330263</t>
  </si>
  <si>
    <t>VTp.786.0.025</t>
  </si>
  <si>
    <t>Фильтр PPR вн.-вн. 25мм  (10 /100шт)</t>
  </si>
  <si>
    <t>293.00 руб.</t>
  </si>
  <si>
    <t>VLC-330264</t>
  </si>
  <si>
    <t>VTp.786.0.032</t>
  </si>
  <si>
    <t>Фильтр PPR вн.-вн. 32мм   (5 /60шт)</t>
  </si>
  <si>
    <t>520.00 руб.</t>
  </si>
  <si>
    <t>VLC-330265</t>
  </si>
  <si>
    <t>VTp.787.0.020</t>
  </si>
  <si>
    <t>Фильтр PPR вн.-нар. 20мм  (10 /160шт)</t>
  </si>
  <si>
    <t>VLC-330266</t>
  </si>
  <si>
    <t>VTp.787.0.025</t>
  </si>
  <si>
    <t>Фильтр PPR вн.-нар. 25мм  (10 /110шт)</t>
  </si>
  <si>
    <t>VLC-330267</t>
  </si>
  <si>
    <t>VTp.787.0.032</t>
  </si>
  <si>
    <t>Фильтр PPR вн.-нар. 32мм  (5 /60шт)</t>
  </si>
  <si>
    <t>VLC-330268</t>
  </si>
  <si>
    <t>VTp.789.080.04</t>
  </si>
  <si>
    <t>Вставка ремонтная для счетчика воды DN15 (3/4", 80 мм, нейлон)  (10 /280шт)</t>
  </si>
  <si>
    <t>92.00 руб.</t>
  </si>
  <si>
    <t>VLC-330269</t>
  </si>
  <si>
    <t>VTp.789.105.05</t>
  </si>
  <si>
    <t>Вставка ремонтная для счетчика воды DN20 (1", 105 мм, нейлон)  (10 /140шт)</t>
  </si>
  <si>
    <t>118.00 руб.</t>
  </si>
  <si>
    <t>VLC-330270</t>
  </si>
  <si>
    <t>VTp.789.110.04</t>
  </si>
  <si>
    <t>Вставка ремонтная для счетчика воды DN15 (3/4". 110 мм, нейлон)   (10 /210шт)</t>
  </si>
  <si>
    <t>107.00 руб.</t>
  </si>
  <si>
    <t>VLC-330271</t>
  </si>
  <si>
    <t>VTp.790.0.020</t>
  </si>
  <si>
    <t>Заглушка PPR 20мм  (10 /900шт)</t>
  </si>
  <si>
    <t>11.00 руб.</t>
  </si>
  <si>
    <t>VLC-330272</t>
  </si>
  <si>
    <t>VTp.790.0.025</t>
  </si>
  <si>
    <t>Заглушка PPR 25мм  (10 /640шт)</t>
  </si>
  <si>
    <t>VLC-330273</t>
  </si>
  <si>
    <t>VTp.790.0.032</t>
  </si>
  <si>
    <t>Заглушка PPR 32мм  (5 /310шт)</t>
  </si>
  <si>
    <t>27.00 руб.</t>
  </si>
  <si>
    <t>VLC-330274</t>
  </si>
  <si>
    <t>VTp.790.0.040</t>
  </si>
  <si>
    <t>Заглушка PPR 40мм   (5 /220шт)</t>
  </si>
  <si>
    <t>VLC-330275</t>
  </si>
  <si>
    <t>VTp.790.0.050</t>
  </si>
  <si>
    <t>Заглушка PPR 50мм   (5 /120шт)</t>
  </si>
  <si>
    <t>VLC-330276</t>
  </si>
  <si>
    <t>VTp.790.0.063</t>
  </si>
  <si>
    <t>Заглушка PPR 63мм  (2 /60шт)</t>
  </si>
  <si>
    <t>136.00 руб.</t>
  </si>
  <si>
    <t>VLC-330277</t>
  </si>
  <si>
    <t>VTp.790.0.090</t>
  </si>
  <si>
    <t>Заглушка PPR 90мм   (1 /24шт)</t>
  </si>
  <si>
    <t>428.00 руб.</t>
  </si>
  <si>
    <t>VLC-330278</t>
  </si>
  <si>
    <t>VTp.791.0.04</t>
  </si>
  <si>
    <t>Пробка PPR с резьбой 1/2"   (10 /750шт)</t>
  </si>
  <si>
    <t>VLC-330279</t>
  </si>
  <si>
    <t>VTp.791.0.05</t>
  </si>
  <si>
    <t>Пробка PPR с резьбой 3/4"  (10 /480шт)</t>
  </si>
  <si>
    <t>VLC-330280</t>
  </si>
  <si>
    <t>VTp.791.0.06</t>
  </si>
  <si>
    <t>Пробка PPR с резьбой 1"  (10 /220шт)</t>
  </si>
  <si>
    <t>37.00 руб.</t>
  </si>
  <si>
    <t>VLC-330281</t>
  </si>
  <si>
    <t>VTp.792.M.04</t>
  </si>
  <si>
    <t>Комплект длинных полипропиленовых пробок с резьбой 1/2" (красная + синяя)    (1 /125шт)</t>
  </si>
  <si>
    <t>ком</t>
  </si>
  <si>
    <t>VLC-330282</t>
  </si>
  <si>
    <t>VTp.793.0.020</t>
  </si>
  <si>
    <t>Обвод PPR 20мм  (10 /130шт)</t>
  </si>
  <si>
    <t>VLC-330283</t>
  </si>
  <si>
    <t>VTp.793.0.025</t>
  </si>
  <si>
    <t>Обвод PPR 25мм (10 /90шт)</t>
  </si>
  <si>
    <t>62.00 руб.</t>
  </si>
  <si>
    <t>VLC-330284</t>
  </si>
  <si>
    <t>VTp.793.0.032</t>
  </si>
  <si>
    <t>Обвод PPR 32мм  (5 /45шт)</t>
  </si>
  <si>
    <t>VLC-330285</t>
  </si>
  <si>
    <t>VTp.793.0.040</t>
  </si>
  <si>
    <t>Обвод PPR 40мм   (5 /25шт)</t>
  </si>
  <si>
    <t>286.00 руб.</t>
  </si>
  <si>
    <t>VLC-330286</t>
  </si>
  <si>
    <t>VTp.794.0.020</t>
  </si>
  <si>
    <t>Компенсатор PPR 20мм   (1 /16шт)</t>
  </si>
  <si>
    <t>VLC-330287</t>
  </si>
  <si>
    <t>VTp.794.0.025</t>
  </si>
  <si>
    <t>Компенсатор PPR 25мм   (1 /10шт)</t>
  </si>
  <si>
    <t>189.00 руб.</t>
  </si>
  <si>
    <t>VLC-330288</t>
  </si>
  <si>
    <t>VTp.794.0.032</t>
  </si>
  <si>
    <t>Компенсатор PPR 32мм   (1 /5шт)</t>
  </si>
  <si>
    <t>408.00 руб.</t>
  </si>
  <si>
    <t>VLC-330289</t>
  </si>
  <si>
    <t>VTp.794.0.040</t>
  </si>
  <si>
    <t>Компенсатор PPR 40мм   (1 /5шт)</t>
  </si>
  <si>
    <t>621.00 руб.</t>
  </si>
  <si>
    <t>VLC-900294</t>
  </si>
  <si>
    <t>VTp.703.0.110</t>
  </si>
  <si>
    <t>Муфта PPR 110мм</t>
  </si>
  <si>
    <t>VLC-900295</t>
  </si>
  <si>
    <t>VTp.704.0.110090</t>
  </si>
  <si>
    <t>Муфта переходнная PPR 110-90мм, нар-вн</t>
  </si>
  <si>
    <t>VLC-900296</t>
  </si>
  <si>
    <t>VTp.735.0.110090110</t>
  </si>
  <si>
    <t>Тройник переходной PPR 110-90-110мм</t>
  </si>
  <si>
    <t>1 600.00 руб.</t>
  </si>
  <si>
    <t>VLC-900297</t>
  </si>
  <si>
    <t>VTp.751.0.110</t>
  </si>
  <si>
    <t>Угольник 90 PPR 110мм</t>
  </si>
  <si>
    <t>701.00 руб.</t>
  </si>
  <si>
    <t>VLC-900298</t>
  </si>
  <si>
    <t>VTp.790.0.110</t>
  </si>
  <si>
    <t>Заглушка PPR 110мм</t>
  </si>
  <si>
    <t>463.00 руб.</t>
  </si>
  <si>
    <t>VLC-999078</t>
  </si>
  <si>
    <t>VTp.732.0.04006</t>
  </si>
  <si>
    <t>Тройник PPR с переходом на вн. р. 40х1"</t>
  </si>
  <si>
    <t>434.00 руб.</t>
  </si>
  <si>
    <t>VLC-999079</t>
  </si>
  <si>
    <t>VTp.733.0.04006</t>
  </si>
  <si>
    <t>Тройник PPR с переходом на нар. р. 40х1"</t>
  </si>
  <si>
    <t>515.00 руб.</t>
  </si>
  <si>
    <t>VLC-999080</t>
  </si>
  <si>
    <t>VTp.752.0.04006</t>
  </si>
  <si>
    <t>Угольник PPR с переходом на вн. р. 40х1"</t>
  </si>
  <si>
    <t>368.00 руб.</t>
  </si>
  <si>
    <t>VLC-999081</t>
  </si>
  <si>
    <t>VTp.753.0.04006</t>
  </si>
  <si>
    <t>Угольник PPR с переходом на нар. р. 40х1"</t>
  </si>
  <si>
    <t>469.00 руб.</t>
  </si>
  <si>
    <t>Фитинги полипропиленовые VIEIR</t>
  </si>
  <si>
    <t>PPR-210023</t>
  </si>
  <si>
    <t>VER20Q</t>
  </si>
  <si>
    <t>PPR VIEIR Кран шаровой 20 (сталь шар) (10 /120шт)</t>
  </si>
  <si>
    <t>62.48 руб.</t>
  </si>
  <si>
    <t>PPR-210024</t>
  </si>
  <si>
    <t>VER25Q</t>
  </si>
  <si>
    <t>PPR VIEIR Кран шаровой 25 (сталь шар)  (10 /100шт)</t>
  </si>
  <si>
    <t>89.25 руб.</t>
  </si>
  <si>
    <t>PPR-210025</t>
  </si>
  <si>
    <t>VER32Q</t>
  </si>
  <si>
    <t>PPR VIEIR Кран шаровой 32 (сталь шар) (10 /70шт)</t>
  </si>
  <si>
    <t>113.05 руб.</t>
  </si>
  <si>
    <t>PPR-210026</t>
  </si>
  <si>
    <t>VER40Q</t>
  </si>
  <si>
    <t>PPR VIEIR Кран шаровой 40 (сталь шар) (6 /36шт)</t>
  </si>
  <si>
    <t>261.80 руб.</t>
  </si>
  <si>
    <t>PPR-210027</t>
  </si>
  <si>
    <t>VER50Q</t>
  </si>
  <si>
    <t>PPR VIEIR Кран шаровой 50 (сталь шар) (10 /20шт)</t>
  </si>
  <si>
    <t>346.59 руб.</t>
  </si>
  <si>
    <t>PPR-210028</t>
  </si>
  <si>
    <t>VER63Q</t>
  </si>
  <si>
    <t>PPR VIEIR Кран шаровой 63 (сталь шар) (1 /13шт)</t>
  </si>
  <si>
    <t>606.90 руб.</t>
  </si>
  <si>
    <t>PPR-210035</t>
  </si>
  <si>
    <t>VER203S</t>
  </si>
  <si>
    <t>PPR VIEIR Кран шаровой для радиатора 20х1/2" прямой (сталь шар) (10 /100шт)</t>
  </si>
  <si>
    <t>203.79 руб.</t>
  </si>
  <si>
    <t>PPR-210036</t>
  </si>
  <si>
    <t>VER254S</t>
  </si>
  <si>
    <t>PPR VIEIR Кран шаровой для радиатора 25х3/4" прямой (сталь шар) (10 /90шт)</t>
  </si>
  <si>
    <t>243.95 руб.</t>
  </si>
  <si>
    <t>PPR-210037</t>
  </si>
  <si>
    <t>VER203L</t>
  </si>
  <si>
    <t>PPR VIEIR Кран шаровой для радиатора 20х1/2" угловой (сталь шар) (10 /100шт)</t>
  </si>
  <si>
    <t>PPR-210038</t>
  </si>
  <si>
    <t>VER254L</t>
  </si>
  <si>
    <t>PPR VIEIR Кран шаровой для радиатора 25х3/4" угловой (сталь шар) (10 /80шт)</t>
  </si>
  <si>
    <t>PPR-210539</t>
  </si>
  <si>
    <t>VER203F</t>
  </si>
  <si>
    <t>PPR VIEIR Муфта разъемная (американка) 20 х 1/2" ВНУТ.Р. латунь  (300/20шт)</t>
  </si>
  <si>
    <t>123.46 руб.</t>
  </si>
  <si>
    <t>PPR-210540</t>
  </si>
  <si>
    <t>VER204F</t>
  </si>
  <si>
    <t>PPR VIEIR Муфта разъемная (американка) 20 х 3/4" ВНУТ.Р. латунь  (200/10шт)</t>
  </si>
  <si>
    <t>168.09 руб.</t>
  </si>
  <si>
    <t>PPR-210541</t>
  </si>
  <si>
    <t>VER253F</t>
  </si>
  <si>
    <t>PPR VIEIR Муфта разъемная (американка) 25 х 1/2" ВНУТ.Р. латунь  (180/10шт)</t>
  </si>
  <si>
    <t>229.08 руб.</t>
  </si>
  <si>
    <t>PPR-210542</t>
  </si>
  <si>
    <t>VER254F</t>
  </si>
  <si>
    <t>PPR VIEIR Муфта разъемная (американка) 25 х 3/4" ВНУТ.Р. латунь  (200/10шт)</t>
  </si>
  <si>
    <t>169.58 руб.</t>
  </si>
  <si>
    <t>PPR-210543</t>
  </si>
  <si>
    <t>VER255F</t>
  </si>
  <si>
    <t>PPR VIEIR Муфта разъемная (американка) 25 х 1" ВНУТ.Р. латунь  (150/10шт)</t>
  </si>
  <si>
    <t>PPR-210544</t>
  </si>
  <si>
    <t>VER323F</t>
  </si>
  <si>
    <t>PPR VIEIR Муфта разъемная (американка) 32 х 1/2" ВНУТ.Р. латунь  (140/10шт)</t>
  </si>
  <si>
    <t>255.85 руб.</t>
  </si>
  <si>
    <t>PPR-210545</t>
  </si>
  <si>
    <t>VER324F</t>
  </si>
  <si>
    <t>PPR VIEIR Муфта разъемная (американка) 32 х 3/4" ВНУТ.Р. латунь  (150/10шт)</t>
  </si>
  <si>
    <t>PPR-210546</t>
  </si>
  <si>
    <t>VER325F</t>
  </si>
  <si>
    <t>PPR VIEIR Муфта разъемная (американка) 32 х 1" ВНУТ.Р. латунь  (120/10шт)</t>
  </si>
  <si>
    <t>258.83 руб.</t>
  </si>
  <si>
    <t>PPR-210547</t>
  </si>
  <si>
    <t>VER326F</t>
  </si>
  <si>
    <t>PPR VIEIR Муфта разъемная (американка) 32 х 11/4" ВНУТ.Р. латунь  (100/10шт)</t>
  </si>
  <si>
    <t>291.55 руб.</t>
  </si>
  <si>
    <t>PPR-210548</t>
  </si>
  <si>
    <t>VER405F</t>
  </si>
  <si>
    <t>PPR VIEIR Муфта разъемная (американка) 40 х 1" ВНУТ.Р. латунь  (80/10шт)</t>
  </si>
  <si>
    <t>422.45 руб.</t>
  </si>
  <si>
    <t>PPR-210549</t>
  </si>
  <si>
    <t>VER406F</t>
  </si>
  <si>
    <t>PPR VIEIR Муфта разъемная (американка) 40 х 11/4" ВНУТ.Р. латунь  (70/10шт)</t>
  </si>
  <si>
    <t>486.41 руб.</t>
  </si>
  <si>
    <t>PPR-210550</t>
  </si>
  <si>
    <t>VER507F</t>
  </si>
  <si>
    <t>PPR VIEIR Муфта разъемная (американка) 50 х 11/2" ВНУТ.Р. латунь  (50/10шт)</t>
  </si>
  <si>
    <t>657.48 руб.</t>
  </si>
  <si>
    <t>PPR-210551</t>
  </si>
  <si>
    <t>VER638F</t>
  </si>
  <si>
    <t>PPR VIEIR Муфта разъемная (американка) 63 х 2" ВНУТ.Р. латунь  (30/10шт)</t>
  </si>
  <si>
    <t>1 008.53 руб.</t>
  </si>
  <si>
    <t>PPR-210552</t>
  </si>
  <si>
    <t>VER203M</t>
  </si>
  <si>
    <t>PPR VIEIR Муфта разъемная (американка) 20 х 1/2" НАР.Р. латунь  (300/10шт)</t>
  </si>
  <si>
    <t>133.88 руб.</t>
  </si>
  <si>
    <t>PPR-210553</t>
  </si>
  <si>
    <t>VER204M</t>
  </si>
  <si>
    <t>PPR VIEIR Муфта разъемная (американка) 20 х 3/4" НАР.Р. латунь  (300/10шт)</t>
  </si>
  <si>
    <t>185.94 руб.</t>
  </si>
  <si>
    <t>PPR-210554</t>
  </si>
  <si>
    <t>VER253M</t>
  </si>
  <si>
    <t>PPR VIEIR Муфта разъемная (американка) 25 х 1/2" НАР.Р. латунь (180/10шт)</t>
  </si>
  <si>
    <t>233.54 руб.</t>
  </si>
  <si>
    <t>PPR-210555</t>
  </si>
  <si>
    <t>VER254M</t>
  </si>
  <si>
    <t>PPR VIEIR Муфта разъемная (американка) 25 х 3/4" НАР.Р. латунь  (200/10шт)</t>
  </si>
  <si>
    <t>177.01 руб.</t>
  </si>
  <si>
    <t>PPR-210556</t>
  </si>
  <si>
    <t>VER255M</t>
  </si>
  <si>
    <t>PPR VIEIR Муфта разъемная (американка) 25 х 1" НАР.Р. латунь  (150/10шт)</t>
  </si>
  <si>
    <t>PPR-210557</t>
  </si>
  <si>
    <t>VER323M</t>
  </si>
  <si>
    <t>PPR VIEIR Муфта разъемная (американка) 32 х 1/2" НАР.Р. латунь  (140/10шт)</t>
  </si>
  <si>
    <t>264.78 руб.</t>
  </si>
  <si>
    <t>PPR-210558</t>
  </si>
  <si>
    <t>VER324M</t>
  </si>
  <si>
    <t>PPR VIEIR Муфта разъемная (американка) 32 х 3/4" НАР.Р. латунь  (100/10шт)</t>
  </si>
  <si>
    <t>300.48 руб.</t>
  </si>
  <si>
    <t>PPR-210559</t>
  </si>
  <si>
    <t>VER325M</t>
  </si>
  <si>
    <t>PPR VIEIR Муфта разъемная (американка) 32 х 1" НАР.Р. латунь  (120/10шт)</t>
  </si>
  <si>
    <t>PPR-210560</t>
  </si>
  <si>
    <t>VER326M</t>
  </si>
  <si>
    <t>PPR VIEIR Муфта разъемная (американка) 32 х 11/4" НАР.Р. латунь (100/10шт)</t>
  </si>
  <si>
    <t>401.63 руб.</t>
  </si>
  <si>
    <t>PPR-210561</t>
  </si>
  <si>
    <t>VER405M</t>
  </si>
  <si>
    <t>PPR VIEIR Муфта разъемная (американка) 40 х 1" НАР.Р. латунь  (800/10шт)</t>
  </si>
  <si>
    <t>458.15 руб.</t>
  </si>
  <si>
    <t>PPR-210562</t>
  </si>
  <si>
    <t>VER406M</t>
  </si>
  <si>
    <t>PPR VIEIR Муфта разъемная (американка) 40 х 11/4" НАР.Р. латунь  (70/10шт)</t>
  </si>
  <si>
    <t>467.08 руб.</t>
  </si>
  <si>
    <t>PPR-210563</t>
  </si>
  <si>
    <t>VER507M</t>
  </si>
  <si>
    <t>PPR VIEIR Муфта разъемная (американка) 50 х 11/2" НАР.Р. латунь  (50/10шт)</t>
  </si>
  <si>
    <t>749.70 руб.</t>
  </si>
  <si>
    <t>PPR-210564</t>
  </si>
  <si>
    <t>VER638M</t>
  </si>
  <si>
    <t>PPR VIEIR Муфта разъемная (американка) 63 х 2" НАР.Р. латунь  (30/10шт)</t>
  </si>
  <si>
    <t>1 127.53 руб.</t>
  </si>
  <si>
    <t>PPR-210565</t>
  </si>
  <si>
    <t>VER20N</t>
  </si>
  <si>
    <t>PPR VIEIR Муфта разъемная (американка) 20x20（ПАЙКА - ПАЙКА ） (240/10шт)</t>
  </si>
  <si>
    <t>142.80 руб.</t>
  </si>
  <si>
    <t>PPR-210566</t>
  </si>
  <si>
    <t>VER25N</t>
  </si>
  <si>
    <t>PPR VIEIR Муфта разъемная (американка) 25x25（ПАЙКА - ПАЙКА ） (150/5шт)</t>
  </si>
  <si>
    <t>209.74 руб.</t>
  </si>
  <si>
    <t>PPR-210567</t>
  </si>
  <si>
    <t>VER32N</t>
  </si>
  <si>
    <t>PPR VIEIR Муфта разъемная (американка) 32x32 （ПАЙКА - ПАЙКА ） (100/5шт)</t>
  </si>
  <si>
    <t>PPR-210568</t>
  </si>
  <si>
    <t>VER203SC</t>
  </si>
  <si>
    <t>П/П Муфта комбинированная с накидной гайкой 20 х 1/2" ВР (360/10шт)</t>
  </si>
  <si>
    <t>77.35 руб.</t>
  </si>
  <si>
    <t>PPR-210569</t>
  </si>
  <si>
    <t>VER204SC</t>
  </si>
  <si>
    <t>П/П Муфта комбинированная с накидной гайкой 20 х 3/4" ВР (280/10шт)</t>
  </si>
  <si>
    <t>PPR-210570</t>
  </si>
  <si>
    <t>VER253SC</t>
  </si>
  <si>
    <t>П/П Муфта комбинированная с накидной гайкой 25 х 1/2" ВР (320/10шт)</t>
  </si>
  <si>
    <t>PPR-210571</t>
  </si>
  <si>
    <t>VER254SC</t>
  </si>
  <si>
    <t>П/П Муфта комбинированная с накидной гайкой 25 х 3/4" ВР (210/10шт)</t>
  </si>
  <si>
    <t>96.69 руб.</t>
  </si>
  <si>
    <t>PPR-210572</t>
  </si>
  <si>
    <t>VER325SC</t>
  </si>
  <si>
    <t>П/П Муфта комбинированная с накидной гайкой 32 х 1" ВР (160/10шт)</t>
  </si>
  <si>
    <t>208.25 руб.</t>
  </si>
  <si>
    <t>PPR-210573</t>
  </si>
  <si>
    <t>VER203LC</t>
  </si>
  <si>
    <t>П/П Уголок комбинированный с накидной гайкой 20 х 1/2" ВР (300/10шт)</t>
  </si>
  <si>
    <t>80.33 руб.</t>
  </si>
  <si>
    <t>PPR-210574</t>
  </si>
  <si>
    <t>VER204LC</t>
  </si>
  <si>
    <t>П/П Уголок комбинированный с накидной гайкой 20 х 3/4" ВР (240/10шт)</t>
  </si>
  <si>
    <t>PPR-210575</t>
  </si>
  <si>
    <t>VER253LC</t>
  </si>
  <si>
    <t>П/П Уголок комбинированный с накидной гайкой 25 х 1/2" ВР (200/10шт)</t>
  </si>
  <si>
    <t>PPR-210576</t>
  </si>
  <si>
    <t>VER254LC</t>
  </si>
  <si>
    <t>П/П Уголок комбинированный с накидной гайкой 25 х 3/4" ВР (180/10шт)</t>
  </si>
  <si>
    <t>107.10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</si>
</sst>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0c7c6bb_86a5_11e9_8101_003048fd731b_17f7bcf0_a595_11ee_a526_047c1617b1431.jpeg"/><Relationship Id="rId2" Type="http://schemas.openxmlformats.org/officeDocument/2006/relationships/image" Target="../media/50c7c6bf_86a5_11e9_8101_003048fd731b_17f7bcf1_a595_11ee_a526_047c1617b1432.jpeg"/><Relationship Id="rId3" Type="http://schemas.openxmlformats.org/officeDocument/2006/relationships/image" Target="../media/50c7c6c3_86a5_11e9_8101_003048fd731b_17f7bcf2_a595_11ee_a526_047c1617b1433.jpeg"/><Relationship Id="rId4" Type="http://schemas.openxmlformats.org/officeDocument/2006/relationships/image" Target="../media/50c7c6c7_86a5_11e9_8101_003048fd731b_17f7bcf3_a595_11ee_a526_047c1617b1434.jpeg"/><Relationship Id="rId5" Type="http://schemas.openxmlformats.org/officeDocument/2006/relationships/image" Target="../media/50c7c6cb_86a5_11e9_8101_003048fd731b_17f7bcf4_a595_11ee_a526_047c1617b1435.jpeg"/><Relationship Id="rId6" Type="http://schemas.openxmlformats.org/officeDocument/2006/relationships/image" Target="../media/50c7c6cf_86a5_11e9_8101_003048fd731b_17f7bcf5_a595_11ee_a526_047c1617b1436.jpeg"/><Relationship Id="rId7" Type="http://schemas.openxmlformats.org/officeDocument/2006/relationships/image" Target="../media/50c7c6d3_86a5_11e9_8101_003048fd731b_17f7bcf6_a595_11ee_a526_047c1617b1437.jpeg"/><Relationship Id="rId8" Type="http://schemas.openxmlformats.org/officeDocument/2006/relationships/image" Target="../media/50c7c6d7_86a5_11e9_8101_003048fd731b_17f7bcf7_a595_11ee_a526_047c1617b1438.jpeg"/><Relationship Id="rId9" Type="http://schemas.openxmlformats.org/officeDocument/2006/relationships/image" Target="../media/50c7c6db_86a5_11e9_8101_003048fd731b_17f7bcf8_a595_11ee_a526_047c1617b1439.jpeg"/><Relationship Id="rId10" Type="http://schemas.openxmlformats.org/officeDocument/2006/relationships/image" Target="../media/50c7c6df_86a5_11e9_8101_003048fd731b_17f7bcf9_a595_11ee_a526_047c1617b14310.jpeg"/><Relationship Id="rId11" Type="http://schemas.openxmlformats.org/officeDocument/2006/relationships/image" Target="../media/50c7c6e3_86a5_11e9_8101_003048fd731b_17f7bcfa_a595_11ee_a526_047c1617b14311.jpeg"/><Relationship Id="rId12" Type="http://schemas.openxmlformats.org/officeDocument/2006/relationships/image" Target="../media/50c7c6e7_86a5_11e9_8101_003048fd731b_17f7bcfb_a595_11ee_a526_047c1617b14312.jpeg"/><Relationship Id="rId13" Type="http://schemas.openxmlformats.org/officeDocument/2006/relationships/image" Target="../media/50c7c6eb_86a5_11e9_8101_003048fd731b_17f7bcfc_a595_11ee_a526_047c1617b14313.jpeg"/><Relationship Id="rId14" Type="http://schemas.openxmlformats.org/officeDocument/2006/relationships/image" Target="../media/50c7c6ef_86a5_11e9_8101_003048fd731b_17f7bcfd_a595_11ee_a526_047c1617b14314.jpeg"/><Relationship Id="rId15" Type="http://schemas.openxmlformats.org/officeDocument/2006/relationships/image" Target="../media/50c7c6f3_86a5_11e9_8101_003048fd731b_17f7bcfe_a595_11ee_a526_047c1617b14315.jpeg"/><Relationship Id="rId16" Type="http://schemas.openxmlformats.org/officeDocument/2006/relationships/image" Target="../media/50c7c6f7_86a5_11e9_8101_003048fd731b_17f7bcff_a595_11ee_a526_047c1617b14316.jpeg"/><Relationship Id="rId17" Type="http://schemas.openxmlformats.org/officeDocument/2006/relationships/image" Target="../media/50c7c6fb_86a5_11e9_8101_003048fd731b_17f7bd00_a595_11ee_a526_047c1617b14317.jpeg"/><Relationship Id="rId18" Type="http://schemas.openxmlformats.org/officeDocument/2006/relationships/image" Target="../media/50c7c6ff_86a5_11e9_8101_003048fd731b_17f7bd01_a595_11ee_a526_047c1617b14318.jpeg"/><Relationship Id="rId19" Type="http://schemas.openxmlformats.org/officeDocument/2006/relationships/image" Target="../media/50c7c703_86a5_11e9_8101_003048fd731b_17f7bd02_a595_11ee_a526_047c1617b14319.jpeg"/><Relationship Id="rId20" Type="http://schemas.openxmlformats.org/officeDocument/2006/relationships/image" Target="../media/50c7c707_86a5_11e9_8101_003048fd731b_17f7bd03_a595_11ee_a526_047c1617b14320.jpeg"/><Relationship Id="rId21" Type="http://schemas.openxmlformats.org/officeDocument/2006/relationships/image" Target="../media/50c7c70b_86a5_11e9_8101_003048fd731b_17f7bd04_a595_11ee_a526_047c1617b14321.jpeg"/><Relationship Id="rId22" Type="http://schemas.openxmlformats.org/officeDocument/2006/relationships/image" Target="../media/50c7c70f_86a5_11e9_8101_003048fd731b_17f7bd05_a595_11ee_a526_047c1617b14322.jpeg"/><Relationship Id="rId23" Type="http://schemas.openxmlformats.org/officeDocument/2006/relationships/image" Target="../media/50c7c713_86a5_11e9_8101_003048fd731b_17f7bd06_a595_11ee_a526_047c1617b14323.jpeg"/><Relationship Id="rId24" Type="http://schemas.openxmlformats.org/officeDocument/2006/relationships/image" Target="../media/50c7c717_86a5_11e9_8101_003048fd731b_17f7bd07_a595_11ee_a526_047c1617b14324.jpeg"/><Relationship Id="rId25" Type="http://schemas.openxmlformats.org/officeDocument/2006/relationships/image" Target="../media/50c7c71b_86a5_11e9_8101_003048fd731b_17f7bd08_a595_11ee_a526_047c1617b14325.jpeg"/><Relationship Id="rId26" Type="http://schemas.openxmlformats.org/officeDocument/2006/relationships/image" Target="../media/50c7c71f_86a5_11e9_8101_003048fd731b_17f7bd09_a595_11ee_a526_047c1617b14326.jpeg"/><Relationship Id="rId27" Type="http://schemas.openxmlformats.org/officeDocument/2006/relationships/image" Target="../media/50c7c723_86a5_11e9_8101_003048fd731b_17f7bd0a_a595_11ee_a526_047c1617b14327.jpeg"/><Relationship Id="rId28" Type="http://schemas.openxmlformats.org/officeDocument/2006/relationships/image" Target="../media/50c7c727_86a5_11e9_8101_003048fd731b_17f7bd0b_a595_11ee_a526_047c1617b14328.jpeg"/><Relationship Id="rId29" Type="http://schemas.openxmlformats.org/officeDocument/2006/relationships/image" Target="../media/50c7c72b_86a5_11e9_8101_003048fd731b_17f7bd0c_a595_11ee_a526_047c1617b14329.jpeg"/><Relationship Id="rId30" Type="http://schemas.openxmlformats.org/officeDocument/2006/relationships/image" Target="../media/50c7c72f_86a5_11e9_8101_003048fd731b_17f7bd0d_a595_11ee_a526_047c1617b14330.jpeg"/><Relationship Id="rId31" Type="http://schemas.openxmlformats.org/officeDocument/2006/relationships/image" Target="../media/50c7c733_86a5_11e9_8101_003048fd731b_17f7bd0e_a595_11ee_a526_047c1617b14331.jpeg"/><Relationship Id="rId32" Type="http://schemas.openxmlformats.org/officeDocument/2006/relationships/image" Target="../media/50c7c737_86a5_11e9_8101_003048fd731b_17f7bd0f_a595_11ee_a526_047c1617b14332.jpeg"/><Relationship Id="rId33" Type="http://schemas.openxmlformats.org/officeDocument/2006/relationships/image" Target="../media/50c7c73b_86a5_11e9_8101_003048fd731b_17f7bd11_a595_11ee_a526_047c1617b14333.jpeg"/><Relationship Id="rId34" Type="http://schemas.openxmlformats.org/officeDocument/2006/relationships/image" Target="../media/50c7c73f_86a5_11e9_8101_003048fd731b_17f7bd12_a595_11ee_a526_047c1617b14334.jpeg"/><Relationship Id="rId35" Type="http://schemas.openxmlformats.org/officeDocument/2006/relationships/image" Target="../media/50c7c743_86a5_11e9_8101_003048fd731b_17f7bd13_a595_11ee_a526_047c1617b14335.jpeg"/><Relationship Id="rId36" Type="http://schemas.openxmlformats.org/officeDocument/2006/relationships/image" Target="../media/50c7c747_86a5_11e9_8101_003048fd731b_17f7bd14_a595_11ee_a526_047c1617b14336.jpeg"/><Relationship Id="rId37" Type="http://schemas.openxmlformats.org/officeDocument/2006/relationships/image" Target="../media/50c7c74b_86a5_11e9_8101_003048fd731b_17f7bd15_a595_11ee_a526_047c1617b14337.jpeg"/><Relationship Id="rId38" Type="http://schemas.openxmlformats.org/officeDocument/2006/relationships/image" Target="../media/50c7c74f_86a5_11e9_8101_003048fd731b_17f7bd16_a595_11ee_a526_047c1617b14338.jpeg"/><Relationship Id="rId39" Type="http://schemas.openxmlformats.org/officeDocument/2006/relationships/image" Target="../media/50c7c753_86a5_11e9_8101_003048fd731b_17f7bd17_a595_11ee_a526_047c1617b14339.jpeg"/><Relationship Id="rId40" Type="http://schemas.openxmlformats.org/officeDocument/2006/relationships/image" Target="../media/50c7c757_86a5_11e9_8101_003048fd731b_17f7bd18_a595_11ee_a526_047c1617b14340.jpeg"/><Relationship Id="rId41" Type="http://schemas.openxmlformats.org/officeDocument/2006/relationships/image" Target="../media/50c7c75b_86a5_11e9_8101_003048fd731b_17f7bd19_a595_11ee_a526_047c1617b14341.jpeg"/><Relationship Id="rId42" Type="http://schemas.openxmlformats.org/officeDocument/2006/relationships/image" Target="../media/6d083a3f_3466_11eb_81f3_003048fd731b_17f7bd1a_a595_11ee_a526_047c1617b14342.jpeg"/><Relationship Id="rId43" Type="http://schemas.openxmlformats.org/officeDocument/2006/relationships/image" Target="../media/a92b44de_5f8f_11eb_822d_003048fd731b_64c8bbbd_5a46_11f0_a775_047c1617b14343.jpeg"/><Relationship Id="rId44" Type="http://schemas.openxmlformats.org/officeDocument/2006/relationships/image" Target="../media/a92b44e0_5f8f_11eb_822d_003048fd731b_64c8bbbe_5a46_11f0_a775_047c1617b14344.jpeg"/><Relationship Id="rId45" Type="http://schemas.openxmlformats.org/officeDocument/2006/relationships/image" Target="../media/a92b44e2_5f8f_11eb_822d_003048fd731b_64c8bbbf_5a46_11f0_a775_047c1617b14345.jpeg"/><Relationship Id="rId46" Type="http://schemas.openxmlformats.org/officeDocument/2006/relationships/image" Target="../media/a92b44e4_5f8f_11eb_822d_003048fd731b_64c8bbc0_5a46_11f0_a775_047c1617b14346.jpeg"/><Relationship Id="rId47" Type="http://schemas.openxmlformats.org/officeDocument/2006/relationships/image" Target="../media/a92b44e6_5f8f_11eb_822d_003048fd731b_64c8bbc1_5a46_11f0_a775_047c1617b14347.jpeg"/><Relationship Id="rId48" Type="http://schemas.openxmlformats.org/officeDocument/2006/relationships/image" Target="../media/a92b44e8_5f8f_11eb_822d_003048fd731b_64c8bbc2_5a46_11f0_a775_047c1617b14348.jpeg"/><Relationship Id="rId49" Type="http://schemas.openxmlformats.org/officeDocument/2006/relationships/image" Target="../media/a92b44ea_5f8f_11eb_822d_003048fd731b_64c8bbc8_5a46_11f0_a775_047c1617b14349.jpeg"/><Relationship Id="rId50" Type="http://schemas.openxmlformats.org/officeDocument/2006/relationships/image" Target="../media/a92b44ec_5f8f_11eb_822d_003048fd731b_64c8bbc9_5a46_11f0_a775_047c1617b14350.jpeg"/><Relationship Id="rId51" Type="http://schemas.openxmlformats.org/officeDocument/2006/relationships/image" Target="../media/a92b44ee_5f8f_11eb_822d_003048fd731b_64c8bbca_5a46_11f0_a775_047c1617b14351.jpeg"/><Relationship Id="rId52" Type="http://schemas.openxmlformats.org/officeDocument/2006/relationships/image" Target="../media/a92b44f0_5f8f_11eb_822d_003048fd731b_64c8bbcb_5a46_11f0_a775_047c1617b14352.jpeg"/><Relationship Id="rId53" Type="http://schemas.openxmlformats.org/officeDocument/2006/relationships/image" Target="../media/a92b44f2_5f8f_11eb_822d_003048fd731b_64c8bbcc_5a46_11f0_a775_047c1617b14353.jpeg"/><Relationship Id="rId54" Type="http://schemas.openxmlformats.org/officeDocument/2006/relationships/image" Target="../media/a92b44f4_5f8f_11eb_822d_003048fd731b_64c8bbcd_5a46_11f0_a775_047c1617b14354.jpeg"/><Relationship Id="rId55" Type="http://schemas.openxmlformats.org/officeDocument/2006/relationships/image" Target="../media/a92b44f6_5f8f_11eb_822d_003048fd731b_64c8bbc3_5a46_11f0_a775_047c1617b14355.jpeg"/><Relationship Id="rId56" Type="http://schemas.openxmlformats.org/officeDocument/2006/relationships/image" Target="../media/a92b44f8_5f8f_11eb_822d_003048fd731b_64c8bbc4_5a46_11f0_a775_047c1617b14356.jpeg"/><Relationship Id="rId57" Type="http://schemas.openxmlformats.org/officeDocument/2006/relationships/image" Target="../media/a92b44fa_5f8f_11eb_822d_003048fd731b_64c8bbc5_5a46_11f0_a775_047c1617b14357.jpeg"/><Relationship Id="rId58" Type="http://schemas.openxmlformats.org/officeDocument/2006/relationships/image" Target="../media/a92b44fc_5f8f_11eb_822d_003048fd731b_64c8bbc6_5a46_11f0_a775_047c1617b14358.jpeg"/><Relationship Id="rId59" Type="http://schemas.openxmlformats.org/officeDocument/2006/relationships/image" Target="../media/a92b44fe_5f8f_11eb_822d_003048fd731b_64c8bbc7_5a46_11f0_a775_047c1617b14359.jpeg"/><Relationship Id="rId60" Type="http://schemas.openxmlformats.org/officeDocument/2006/relationships/image" Target="../media/f72d3700_5f8f_11eb_822d_003048fd731b_64c8bbce_5a46_11f0_a775_047c1617b14360.jpeg"/><Relationship Id="rId61" Type="http://schemas.openxmlformats.org/officeDocument/2006/relationships/image" Target="../media/f72d3702_5f8f_11eb_822d_003048fd731b_64c8bbcf_5a46_11f0_a775_047c1617b14361.jpeg"/><Relationship Id="rId62" Type="http://schemas.openxmlformats.org/officeDocument/2006/relationships/image" Target="../media/f72d3704_5f8f_11eb_822d_003048fd731b_64c8bbd0_5a46_11f0_a775_047c1617b14362.jpeg"/><Relationship Id="rId63" Type="http://schemas.openxmlformats.org/officeDocument/2006/relationships/image" Target="../media/f72d3706_5f8f_11eb_822d_003048fd731b_64c8bbd1_5a46_11f0_a775_047c1617b14363.jpeg"/><Relationship Id="rId64" Type="http://schemas.openxmlformats.org/officeDocument/2006/relationships/image" Target="../media/f72d3708_5f8f_11eb_822d_003048fd731b_64c8bbd2_5a46_11f0_a775_047c1617b14364.jpeg"/><Relationship Id="rId65" Type="http://schemas.openxmlformats.org/officeDocument/2006/relationships/image" Target="../media/030c9fa9_a7ee_11eb_8299_003048fd731b_d43ed71c_f115_11ee_a58b_047c1617b14365.jpeg"/><Relationship Id="rId66" Type="http://schemas.openxmlformats.org/officeDocument/2006/relationships/image" Target="../media/6cd4e68c_e9f6_11eb_82f2_003048fd731b_d43ed71d_f115_11ee_a58b_047c1617b14366.jpeg"/><Relationship Id="rId67" Type="http://schemas.openxmlformats.org/officeDocument/2006/relationships/image" Target="../media/7188f298_86a5_11e9_8101_003048fd731b_1e8b5a6b_a595_11ee_a526_047c1617b14367.jpeg"/><Relationship Id="rId68" Type="http://schemas.openxmlformats.org/officeDocument/2006/relationships/image" Target="../media/7188f29c_86a5_11e9_8101_003048fd731b_1e8b5a6f_a595_11ee_a526_047c1617b14368.jpeg"/><Relationship Id="rId69" Type="http://schemas.openxmlformats.org/officeDocument/2006/relationships/image" Target="../media/7188f2a0_86a5_11e9_8101_003048fd731b_1e8b5a73_a595_11ee_a526_047c1617b14369.jpeg"/><Relationship Id="rId70" Type="http://schemas.openxmlformats.org/officeDocument/2006/relationships/image" Target="../media/7188f2a4_86a5_11e9_8101_003048fd731b_1e8b5a77_a595_11ee_a526_047c1617b14370.jpeg"/><Relationship Id="rId71" Type="http://schemas.openxmlformats.org/officeDocument/2006/relationships/image" Target="../media/7188f2a8_86a5_11e9_8101_003048fd731b_1e8b5a7b_a595_11ee_a526_047c1617b14371.jpeg"/><Relationship Id="rId72" Type="http://schemas.openxmlformats.org/officeDocument/2006/relationships/image" Target="../media/7188f2ac_86a5_11e9_8101_003048fd731b_2509cbaa_a595_11ee_a526_047c1617b14372.jpeg"/><Relationship Id="rId73" Type="http://schemas.openxmlformats.org/officeDocument/2006/relationships/image" Target="../media/7188f2b0_86a5_11e9_8101_003048fd731b_2509cbae_a595_11ee_a526_047c1617b14373.jpeg"/><Relationship Id="rId74" Type="http://schemas.openxmlformats.org/officeDocument/2006/relationships/image" Target="../media/7188f2b4_86a5_11e9_8101_003048fd731b_2509cbb2_a595_11ee_a526_047c1617b14374.jpeg"/><Relationship Id="rId75" Type="http://schemas.openxmlformats.org/officeDocument/2006/relationships/image" Target="../media/7188f2b8_86a5_11e9_8101_003048fd731b_2509cbb6_a595_11ee_a526_047c1617b14375.jpeg"/><Relationship Id="rId76" Type="http://schemas.openxmlformats.org/officeDocument/2006/relationships/image" Target="../media/7188f2bc_86a5_11e9_8101_003048fd731b_2509cbba_a595_11ee_a526_047c1617b14376.jpeg"/><Relationship Id="rId77" Type="http://schemas.openxmlformats.org/officeDocument/2006/relationships/image" Target="../media/7188f2c0_86a5_11e9_8101_003048fd731b_2509cbbe_a595_11ee_a526_047c1617b14377.jpeg"/><Relationship Id="rId78" Type="http://schemas.openxmlformats.org/officeDocument/2006/relationships/image" Target="../media/7188f2c4_86a5_11e9_8101_003048fd731b_2509cbc2_a595_11ee_a526_047c1617b14378.jpeg"/><Relationship Id="rId79" Type="http://schemas.openxmlformats.org/officeDocument/2006/relationships/image" Target="../media/7188f2c8_86a5_11e9_8101_003048fd731b_2509cbc6_a595_11ee_a526_047c1617b14379.jpeg"/><Relationship Id="rId80" Type="http://schemas.openxmlformats.org/officeDocument/2006/relationships/image" Target="../media/7188f2cc_86a5_11e9_8101_003048fd731b_2509cbca_a595_11ee_a526_047c1617b14380.jpeg"/><Relationship Id="rId81" Type="http://schemas.openxmlformats.org/officeDocument/2006/relationships/image" Target="../media/7188f2d0_86a5_11e9_8101_003048fd731b_2509cbce_a595_11ee_a526_047c1617b14381.jpeg"/><Relationship Id="rId82" Type="http://schemas.openxmlformats.org/officeDocument/2006/relationships/image" Target="../media/7188f2d4_86a5_11e9_8101_003048fd731b_2509cbd2_a595_11ee_a526_047c1617b14382.jpeg"/><Relationship Id="rId83" Type="http://schemas.openxmlformats.org/officeDocument/2006/relationships/image" Target="../media/7188f2d8_86a5_11e9_8101_003048fd731b_2509cbd6_a595_11ee_a526_047c1617b14383.jpeg"/><Relationship Id="rId84" Type="http://schemas.openxmlformats.org/officeDocument/2006/relationships/image" Target="../media/7188f2dc_86a5_11e9_8101_003048fd731b_2509cbda_a595_11ee_a526_047c1617b14384.jpeg"/><Relationship Id="rId85" Type="http://schemas.openxmlformats.org/officeDocument/2006/relationships/image" Target="../media/7188f2e0_86a5_11e9_8101_003048fd731b_2509cbde_a595_11ee_a526_047c1617b14385.jpeg"/><Relationship Id="rId86" Type="http://schemas.openxmlformats.org/officeDocument/2006/relationships/image" Target="../media/7188f2e4_86a5_11e9_8101_003048fd731b_2509cbe2_a595_11ee_a526_047c1617b14386.jpeg"/><Relationship Id="rId87" Type="http://schemas.openxmlformats.org/officeDocument/2006/relationships/image" Target="../media/7188f2e8_86a5_11e9_8101_003048fd731b_2509cbe6_a595_11ee_a526_047c1617b14387.jpeg"/><Relationship Id="rId88" Type="http://schemas.openxmlformats.org/officeDocument/2006/relationships/image" Target="../media/7188f2ec_86a5_11e9_8101_003048fd731b_2509cbea_a595_11ee_a526_047c1617b14388.jpeg"/><Relationship Id="rId89" Type="http://schemas.openxmlformats.org/officeDocument/2006/relationships/image" Target="../media/7188f2f0_86a5_11e9_8101_003048fd731b_2509cbf2_a595_11ee_a526_047c1617b14389.jpeg"/><Relationship Id="rId90" Type="http://schemas.openxmlformats.org/officeDocument/2006/relationships/image" Target="../media/7188f2f4_86a5_11e9_8101_003048fd731b_2509cbf6_a595_11ee_a526_047c1617b14390.jpeg"/><Relationship Id="rId91" Type="http://schemas.openxmlformats.org/officeDocument/2006/relationships/image" Target="../media/7188f2f8_86a5_11e9_8101_003048fd731b_2509cbfa_a595_11ee_a526_047c1617b14391.jpeg"/><Relationship Id="rId92" Type="http://schemas.openxmlformats.org/officeDocument/2006/relationships/image" Target="../media/7188f2fc_86a5_11e9_8101_003048fd731b_2509cbfe_a595_11ee_a526_047c1617b14392.jpeg"/><Relationship Id="rId93" Type="http://schemas.openxmlformats.org/officeDocument/2006/relationships/image" Target="../media/7188f300_86a5_11e9_8101_003048fd731b_2509cc02_a595_11ee_a526_047c1617b14393.jpeg"/><Relationship Id="rId94" Type="http://schemas.openxmlformats.org/officeDocument/2006/relationships/image" Target="../media/7188f304_86a5_11e9_8101_003048fd731b_2509cc06_a595_11ee_a526_047c1617b14394.jpeg"/><Relationship Id="rId95" Type="http://schemas.openxmlformats.org/officeDocument/2006/relationships/image" Target="../media/7188f308_86a5_11e9_8101_003048fd731b_2509cc0a_a595_11ee_a526_047c1617b14395.jpeg"/><Relationship Id="rId96" Type="http://schemas.openxmlformats.org/officeDocument/2006/relationships/image" Target="../media/7188f30c_86a5_11e9_8101_003048fd731b_2509cc0e_a595_11ee_a526_047c1617b14396.jpeg"/><Relationship Id="rId97" Type="http://schemas.openxmlformats.org/officeDocument/2006/relationships/image" Target="../media/7188f310_86a5_11e9_8101_003048fd731b_2509cc12_a595_11ee_a526_047c1617b14397.jpeg"/><Relationship Id="rId98" Type="http://schemas.openxmlformats.org/officeDocument/2006/relationships/image" Target="../media/7188f314_86a5_11e9_8101_003048fd731b_2509cc16_a595_11ee_a526_047c1617b14398.jpeg"/><Relationship Id="rId99" Type="http://schemas.openxmlformats.org/officeDocument/2006/relationships/image" Target="../media/7188f318_86a5_11e9_8101_003048fd731b_2509cc1a_a595_11ee_a526_047c1617b14399.jpeg"/><Relationship Id="rId100" Type="http://schemas.openxmlformats.org/officeDocument/2006/relationships/image" Target="../media/7188f31c_86a5_11e9_8101_003048fd731b_2509cc1e_a595_11ee_a526_047c1617b143100.jpeg"/><Relationship Id="rId101" Type="http://schemas.openxmlformats.org/officeDocument/2006/relationships/image" Target="../media/7188f320_86a5_11e9_8101_003048fd731b_2509cc22_a595_11ee_a526_047c1617b143101.jpeg"/><Relationship Id="rId102" Type="http://schemas.openxmlformats.org/officeDocument/2006/relationships/image" Target="../media/7188f324_86a5_11e9_8101_003048fd731b_2509cc26_a595_11ee_a526_047c1617b143102.jpeg"/><Relationship Id="rId103" Type="http://schemas.openxmlformats.org/officeDocument/2006/relationships/image" Target="../media/7188f328_86a5_11e9_8101_003048fd731b_2509cc2a_a595_11ee_a526_047c1617b143103.jpeg"/><Relationship Id="rId104" Type="http://schemas.openxmlformats.org/officeDocument/2006/relationships/image" Target="../media/77dee6ce_86a5_11e9_8101_003048fd731b_2509cc2e_a595_11ee_a526_047c1617b143104.jpeg"/><Relationship Id="rId105" Type="http://schemas.openxmlformats.org/officeDocument/2006/relationships/image" Target="../media/77dee6d2_86a5_11e9_8101_003048fd731b_2509cc32_a595_11ee_a526_047c1617b143105.jpeg"/><Relationship Id="rId106" Type="http://schemas.openxmlformats.org/officeDocument/2006/relationships/image" Target="../media/77dee6d6_86a5_11e9_8101_003048fd731b_2509cc36_a595_11ee_a526_047c1617b143106.jpeg"/><Relationship Id="rId107" Type="http://schemas.openxmlformats.org/officeDocument/2006/relationships/image" Target="../media/77dee6da_86a5_11e9_8101_003048fd731b_2509cc3a_a595_11ee_a526_047c1617b143107.jpeg"/><Relationship Id="rId108" Type="http://schemas.openxmlformats.org/officeDocument/2006/relationships/image" Target="../media/77dee6de_86a5_11e9_8101_003048fd731b_2509cc42_a595_11ee_a526_047c1617b143108.jpeg"/><Relationship Id="rId109" Type="http://schemas.openxmlformats.org/officeDocument/2006/relationships/image" Target="../media/77dee6e2_86a5_11e9_8101_003048fd731b_2509cc46_a595_11ee_a526_047c1617b143109.jpeg"/><Relationship Id="rId110" Type="http://schemas.openxmlformats.org/officeDocument/2006/relationships/image" Target="../media/77dee6e6_86a5_11e9_8101_003048fd731b_2509cc4a_a595_11ee_a526_047c1617b143110.jpeg"/><Relationship Id="rId111" Type="http://schemas.openxmlformats.org/officeDocument/2006/relationships/image" Target="../media/77dee6ea_86a5_11e9_8101_003048fd731b_2509cc4e_a595_11ee_a526_047c1617b143111.jpeg"/><Relationship Id="rId112" Type="http://schemas.openxmlformats.org/officeDocument/2006/relationships/image" Target="../media/77dee6ee_86a5_11e9_8101_003048fd731b_2509cc52_a595_11ee_a526_047c1617b143112.jpeg"/><Relationship Id="rId113" Type="http://schemas.openxmlformats.org/officeDocument/2006/relationships/image" Target="../media/77dee6f2_86a5_11e9_8101_003048fd731b_2509cc56_a595_11ee_a526_047c1617b143113.jpeg"/><Relationship Id="rId114" Type="http://schemas.openxmlformats.org/officeDocument/2006/relationships/image" Target="../media/77dee6f6_86a5_11e9_8101_003048fd731b_2509cc5a_a595_11ee_a526_047c1617b143114.jpeg"/><Relationship Id="rId115" Type="http://schemas.openxmlformats.org/officeDocument/2006/relationships/image" Target="../media/77dee6fa_86a5_11e9_8101_003048fd731b_2509cc5e_a595_11ee_a526_047c1617b143115.jpeg"/><Relationship Id="rId116" Type="http://schemas.openxmlformats.org/officeDocument/2006/relationships/image" Target="../media/77dee6fe_86a5_11e9_8101_003048fd731b_2509cc62_a595_11ee_a526_047c1617b143116.jpeg"/><Relationship Id="rId117" Type="http://schemas.openxmlformats.org/officeDocument/2006/relationships/image" Target="../media/77dee702_86a5_11e9_8101_003048fd731b_2509cc66_a595_11ee_a526_047c1617b143117.jpeg"/><Relationship Id="rId118" Type="http://schemas.openxmlformats.org/officeDocument/2006/relationships/image" Target="../media/77dee706_86a5_11e9_8101_003048fd731b_2509cc6a_a595_11ee_a526_047c1617b143118.jpeg"/><Relationship Id="rId119" Type="http://schemas.openxmlformats.org/officeDocument/2006/relationships/image" Target="../media/77dee70a_86a5_11e9_8101_003048fd731b_2509cc6e_a595_11ee_a526_047c1617b143119.jpeg"/><Relationship Id="rId120" Type="http://schemas.openxmlformats.org/officeDocument/2006/relationships/image" Target="../media/77dee70e_86a5_11e9_8101_003048fd731b_2509cc72_a595_11ee_a526_047c1617b143120.jpeg"/><Relationship Id="rId121" Type="http://schemas.openxmlformats.org/officeDocument/2006/relationships/image" Target="../media/77dee712_86a5_11e9_8101_003048fd731b_2509cc76_a595_11ee_a526_047c1617b143121.jpeg"/><Relationship Id="rId122" Type="http://schemas.openxmlformats.org/officeDocument/2006/relationships/image" Target="../media/77dee716_86a5_11e9_8101_003048fd731b_2509cc7a_a595_11ee_a526_047c1617b143122.jpeg"/><Relationship Id="rId123" Type="http://schemas.openxmlformats.org/officeDocument/2006/relationships/image" Target="../media/77dee71a_86a5_11e9_8101_003048fd731b_2509cc7e_a595_11ee_a526_047c1617b143123.jpeg"/><Relationship Id="rId124" Type="http://schemas.openxmlformats.org/officeDocument/2006/relationships/image" Target="../media/77dee71e_86a5_11e9_8101_003048fd731b_2509cc82_a595_11ee_a526_047c1617b143124.jpeg"/><Relationship Id="rId125" Type="http://schemas.openxmlformats.org/officeDocument/2006/relationships/image" Target="../media/77dee722_86a5_11e9_8101_003048fd731b_2509cc86_a595_11ee_a526_047c1617b143125.jpeg"/><Relationship Id="rId126" Type="http://schemas.openxmlformats.org/officeDocument/2006/relationships/image" Target="../media/77dee726_86a5_11e9_8101_003048fd731b_2509cc8a_a595_11ee_a526_047c1617b143126.jpeg"/><Relationship Id="rId127" Type="http://schemas.openxmlformats.org/officeDocument/2006/relationships/image" Target="../media/77dee72a_86a5_11e9_8101_003048fd731b_2509cc8e_a595_11ee_a526_047c1617b143127.jpeg"/><Relationship Id="rId128" Type="http://schemas.openxmlformats.org/officeDocument/2006/relationships/image" Target="../media/77dee72e_86a5_11e9_8101_003048fd731b_2509cc92_a595_11ee_a526_047c1617b143128.jpeg"/><Relationship Id="rId129" Type="http://schemas.openxmlformats.org/officeDocument/2006/relationships/image" Target="../media/77dee732_86a5_11e9_8101_003048fd731b_2509cc96_a595_11ee_a526_047c1617b143129.jpeg"/><Relationship Id="rId130" Type="http://schemas.openxmlformats.org/officeDocument/2006/relationships/image" Target="../media/77dee736_86a5_11e9_8101_003048fd731b_2509cc9a_a595_11ee_a526_047c1617b143130.jpeg"/><Relationship Id="rId131" Type="http://schemas.openxmlformats.org/officeDocument/2006/relationships/image" Target="../media/77dee73a_86a5_11e9_8101_003048fd731b_2509cc9e_a595_11ee_a526_047c1617b143131.jpeg"/><Relationship Id="rId132" Type="http://schemas.openxmlformats.org/officeDocument/2006/relationships/image" Target="../media/77dee73e_86a5_11e9_8101_003048fd731b_2509cca2_a595_11ee_a526_047c1617b143132.jpeg"/><Relationship Id="rId133" Type="http://schemas.openxmlformats.org/officeDocument/2006/relationships/image" Target="../media/77dee742_86a5_11e9_8101_003048fd731b_2509cca6_a595_11ee_a526_047c1617b143133.jpeg"/><Relationship Id="rId134" Type="http://schemas.openxmlformats.org/officeDocument/2006/relationships/image" Target="../media/77dee746_86a5_11e9_8101_003048fd731b_2509ccaa_a595_11ee_a526_047c1617b143134.jpeg"/><Relationship Id="rId135" Type="http://schemas.openxmlformats.org/officeDocument/2006/relationships/image" Target="../media/77dee74a_86a5_11e9_8101_003048fd731b_2509ccae_a595_11ee_a526_047c1617b143135.jpeg"/><Relationship Id="rId136" Type="http://schemas.openxmlformats.org/officeDocument/2006/relationships/image" Target="../media/77dee74d_86a5_11e9_8101_003048fd731b_2509ccb2_a595_11ee_a526_047c1617b143136.jpeg"/><Relationship Id="rId137" Type="http://schemas.openxmlformats.org/officeDocument/2006/relationships/image" Target="../media/77dee751_86a5_11e9_8101_003048fd731b_2509ccb6_a595_11ee_a526_047c1617b143137.jpeg"/><Relationship Id="rId138" Type="http://schemas.openxmlformats.org/officeDocument/2006/relationships/image" Target="../media/77dee754_86a5_11e9_8101_003048fd731b_2509ccba_a595_11ee_a526_047c1617b143138.jpeg"/><Relationship Id="rId139" Type="http://schemas.openxmlformats.org/officeDocument/2006/relationships/image" Target="../media/77dee758_86a5_11e9_8101_003048fd731b_2509ccbe_a595_11ee_a526_047c1617b143139.jpeg"/><Relationship Id="rId140" Type="http://schemas.openxmlformats.org/officeDocument/2006/relationships/image" Target="../media/77dee75c_86a5_11e9_8101_003048fd731b_2509ccc2_a595_11ee_a526_047c1617b143140.jpeg"/><Relationship Id="rId141" Type="http://schemas.openxmlformats.org/officeDocument/2006/relationships/image" Target="../media/77dee760_86a5_11e9_8101_003048fd731b_2509ccc6_a595_11ee_a526_047c1617b143141.jpeg"/><Relationship Id="rId142" Type="http://schemas.openxmlformats.org/officeDocument/2006/relationships/image" Target="../media/77dee764_86a5_11e9_8101_003048fd731b_2509ccca_a595_11ee_a526_047c1617b143142.jpeg"/><Relationship Id="rId143" Type="http://schemas.openxmlformats.org/officeDocument/2006/relationships/image" Target="../media/77dee768_86a5_11e9_8101_003048fd731b_2509ccce_a595_11ee_a526_047c1617b143143.jpeg"/><Relationship Id="rId144" Type="http://schemas.openxmlformats.org/officeDocument/2006/relationships/image" Target="../media/77dee76b_86a5_11e9_8101_003048fd731b_2509ccd2_a595_11ee_a526_047c1617b143144.jpeg"/><Relationship Id="rId145" Type="http://schemas.openxmlformats.org/officeDocument/2006/relationships/image" Target="../media/77dee76e_86a5_11e9_8101_003048fd731b_2509ccd6_a595_11ee_a526_047c1617b143145.jpeg"/><Relationship Id="rId146" Type="http://schemas.openxmlformats.org/officeDocument/2006/relationships/image" Target="../media/77dee771_86a5_11e9_8101_003048fd731b_2509ccda_a595_11ee_a526_047c1617b143146.jpeg"/><Relationship Id="rId147" Type="http://schemas.openxmlformats.org/officeDocument/2006/relationships/image" Target="../media/77dee775_86a5_11e9_8101_003048fd731b_2509ccde_a595_11ee_a526_047c1617b143147.jpeg"/><Relationship Id="rId148" Type="http://schemas.openxmlformats.org/officeDocument/2006/relationships/image" Target="../media/77dee779_86a5_11e9_8101_003048fd731b_2509cce2_a595_11ee_a526_047c1617b143148.jpeg"/><Relationship Id="rId149" Type="http://schemas.openxmlformats.org/officeDocument/2006/relationships/image" Target="../media/77dee77d_86a5_11e9_8101_003048fd731b_2509cce6_a595_11ee_a526_047c1617b143149.jpeg"/><Relationship Id="rId150" Type="http://schemas.openxmlformats.org/officeDocument/2006/relationships/image" Target="../media/77dee781_86a5_11e9_8101_003048fd731b_2509ccea_a595_11ee_a526_047c1617b143150.jpeg"/><Relationship Id="rId151" Type="http://schemas.openxmlformats.org/officeDocument/2006/relationships/image" Target="../media/77dee785_86a5_11e9_8101_003048fd731b_2509ccee_a595_11ee_a526_047c1617b143151.jpeg"/><Relationship Id="rId152" Type="http://schemas.openxmlformats.org/officeDocument/2006/relationships/image" Target="../media/77dee789_86a5_11e9_8101_003048fd731b_2509ccf2_a595_11ee_a526_047c1617b143152.jpeg"/><Relationship Id="rId153" Type="http://schemas.openxmlformats.org/officeDocument/2006/relationships/image" Target="../media/77dee78d_86a5_11e9_8101_003048fd731b_2509ccf6_a595_11ee_a526_047c1617b143153.jpeg"/><Relationship Id="rId154" Type="http://schemas.openxmlformats.org/officeDocument/2006/relationships/image" Target="../media/77dee791_86a5_11e9_8101_003048fd731b_2509ccfa_a595_11ee_a526_047c1617b143154.jpeg"/><Relationship Id="rId155" Type="http://schemas.openxmlformats.org/officeDocument/2006/relationships/image" Target="../media/77dee795_86a5_11e9_8101_003048fd731b_2509ccfb_a595_11ee_a526_047c1617b143155.jpeg"/><Relationship Id="rId156" Type="http://schemas.openxmlformats.org/officeDocument/2006/relationships/image" Target="../media/77dee799_86a5_11e9_8101_003048fd731b_2509ccfc_a595_11ee_a526_047c1617b143156.jpeg"/><Relationship Id="rId157" Type="http://schemas.openxmlformats.org/officeDocument/2006/relationships/image" Target="../media/77dee79d_86a5_11e9_8101_003048fd731b_2509ccfd_a595_11ee_a526_047c1617b143157.jpeg"/><Relationship Id="rId158" Type="http://schemas.openxmlformats.org/officeDocument/2006/relationships/image" Target="../media/77dee7a1_86a5_11e9_8101_003048fd731b_2509cd01_a595_11ee_a526_047c1617b143158.jpeg"/><Relationship Id="rId159" Type="http://schemas.openxmlformats.org/officeDocument/2006/relationships/image" Target="../media/77dee7a5_86a5_11e9_8101_003048fd731b_2509cd05_a595_11ee_a526_047c1617b143159.jpeg"/><Relationship Id="rId160" Type="http://schemas.openxmlformats.org/officeDocument/2006/relationships/image" Target="../media/77dee7a9_86a5_11e9_8101_003048fd731b_2509cd09_a595_11ee_a526_047c1617b143160.jpeg"/><Relationship Id="rId161" Type="http://schemas.openxmlformats.org/officeDocument/2006/relationships/image" Target="../media/77dee7ad_86a5_11e9_8101_003048fd731b_2509cd0d_a595_11ee_a526_047c1617b143161.jpeg"/><Relationship Id="rId162" Type="http://schemas.openxmlformats.org/officeDocument/2006/relationships/image" Target="../media/77dee7b1_86a5_11e9_8101_003048fd731b_2509cd11_a595_11ee_a526_047c1617b143162.jpeg"/><Relationship Id="rId163" Type="http://schemas.openxmlformats.org/officeDocument/2006/relationships/image" Target="../media/77dee7b5_86a5_11e9_8101_003048fd731b_2509cd15_a595_11ee_a526_047c1617b143163.jpeg"/><Relationship Id="rId164" Type="http://schemas.openxmlformats.org/officeDocument/2006/relationships/image" Target="../media/77dee7b9_86a5_11e9_8101_003048fd731b_2509cd19_a595_11ee_a526_047c1617b143164.jpeg"/><Relationship Id="rId165" Type="http://schemas.openxmlformats.org/officeDocument/2006/relationships/image" Target="../media/77dee7bd_86a5_11e9_8101_003048fd731b_2509cd1d_a595_11ee_a526_047c1617b143165.jpeg"/><Relationship Id="rId166" Type="http://schemas.openxmlformats.org/officeDocument/2006/relationships/image" Target="../media/77dee7c1_86a5_11e9_8101_003048fd731b_2509cd21_a595_11ee_a526_047c1617b143166.jpeg"/><Relationship Id="rId167" Type="http://schemas.openxmlformats.org/officeDocument/2006/relationships/image" Target="../media/77dee7c5_86a5_11e9_8101_003048fd731b_2509cd2d_a595_11ee_a526_047c1617b143167.jpeg"/><Relationship Id="rId168" Type="http://schemas.openxmlformats.org/officeDocument/2006/relationships/image" Target="../media/77dee7c9_86a5_11e9_8101_003048fd731b_2509cd31_a595_11ee_a526_047c1617b143168.jpeg"/><Relationship Id="rId169" Type="http://schemas.openxmlformats.org/officeDocument/2006/relationships/image" Target="../media/77dee7cd_86a5_11e9_8101_003048fd731b_2509cd25_a595_11ee_a526_047c1617b143169.jpeg"/><Relationship Id="rId170" Type="http://schemas.openxmlformats.org/officeDocument/2006/relationships/image" Target="../media/77dee7d1_86a5_11e9_8101_003048fd731b_2509cd29_a595_11ee_a526_047c1617b143170.jpeg"/><Relationship Id="rId171" Type="http://schemas.openxmlformats.org/officeDocument/2006/relationships/image" Target="../media/77dee7d5_86a5_11e9_8101_003048fd731b_2509cd35_a595_11ee_a526_047c1617b143171.jpeg"/><Relationship Id="rId172" Type="http://schemas.openxmlformats.org/officeDocument/2006/relationships/image" Target="../media/77dee7d9_86a5_11e9_8101_003048fd731b_2509cd39_a595_11ee_a526_047c1617b143172.jpeg"/><Relationship Id="rId173" Type="http://schemas.openxmlformats.org/officeDocument/2006/relationships/image" Target="../media/77dee7dd_86a5_11e9_8101_003048fd731b_2509cd3d_a595_11ee_a526_047c1617b143173.jpeg"/><Relationship Id="rId174" Type="http://schemas.openxmlformats.org/officeDocument/2006/relationships/image" Target="../media/77dee7e1_86a5_11e9_8101_003048fd731b_2509cd41_a595_11ee_a526_047c1617b143174.jpeg"/><Relationship Id="rId175" Type="http://schemas.openxmlformats.org/officeDocument/2006/relationships/image" Target="../media/77dee7e5_86a5_11e9_8101_003048fd731b_2509cd45_a595_11ee_a526_047c1617b143175.jpeg"/><Relationship Id="rId176" Type="http://schemas.openxmlformats.org/officeDocument/2006/relationships/image" Target="../media/77dee7e9_86a5_11e9_8101_003048fd731b_2509cd49_a595_11ee_a526_047c1617b143176.jpeg"/><Relationship Id="rId177" Type="http://schemas.openxmlformats.org/officeDocument/2006/relationships/image" Target="../media/77dee7ed_86a5_11e9_8101_003048fd731b_2509cd4d_a595_11ee_a526_047c1617b143177.jpeg"/><Relationship Id="rId178" Type="http://schemas.openxmlformats.org/officeDocument/2006/relationships/image" Target="../media/77dee7f1_86a5_11e9_8101_003048fd731b_2509cd51_a595_11ee_a526_047c1617b143178.jpeg"/><Relationship Id="rId179" Type="http://schemas.openxmlformats.org/officeDocument/2006/relationships/image" Target="../media/77dee7f5_86a5_11e9_8101_003048fd731b_2509cd55_a595_11ee_a526_047c1617b143179.jpeg"/><Relationship Id="rId180" Type="http://schemas.openxmlformats.org/officeDocument/2006/relationships/image" Target="../media/77dee7f9_86a5_11e9_8101_003048fd731b_2509cd59_a595_11ee_a526_047c1617b143180.jpeg"/><Relationship Id="rId181" Type="http://schemas.openxmlformats.org/officeDocument/2006/relationships/image" Target="../media/77dee7fd_86a5_11e9_8101_003048fd731b_2509cd5d_a595_11ee_a526_047c1617b143181.jpeg"/><Relationship Id="rId182" Type="http://schemas.openxmlformats.org/officeDocument/2006/relationships/image" Target="../media/77dee801_86a5_11e9_8101_003048fd731b_2509cd61_a595_11ee_a526_047c1617b143182.jpeg"/><Relationship Id="rId183" Type="http://schemas.openxmlformats.org/officeDocument/2006/relationships/image" Target="../media/77dee805_86a5_11e9_8101_003048fd731b_2509cd65_a595_11ee_a526_047c1617b143183.jpeg"/><Relationship Id="rId184" Type="http://schemas.openxmlformats.org/officeDocument/2006/relationships/image" Target="../media/77dee809_86a5_11e9_8101_003048fd731b_2509cd69_a595_11ee_a526_047c1617b143184.jpeg"/><Relationship Id="rId185" Type="http://schemas.openxmlformats.org/officeDocument/2006/relationships/image" Target="../media/77dee80d_86a5_11e9_8101_003048fd731b_2509cd6d_a595_11ee_a526_047c1617b143185.jpeg"/><Relationship Id="rId186" Type="http://schemas.openxmlformats.org/officeDocument/2006/relationships/image" Target="../media/77dee811_86a5_11e9_8101_003048fd731b_2509cd71_a595_11ee_a526_047c1617b143186.jpeg"/><Relationship Id="rId187" Type="http://schemas.openxmlformats.org/officeDocument/2006/relationships/image" Target="../media/77dee815_86a5_11e9_8101_003048fd731b_2509cd75_a595_11ee_a526_047c1617b143187.jpeg"/><Relationship Id="rId188" Type="http://schemas.openxmlformats.org/officeDocument/2006/relationships/image" Target="../media/77dee819_86a5_11e9_8101_003048fd731b_2509cd79_a595_11ee_a526_047c1617b143188.jpeg"/><Relationship Id="rId189" Type="http://schemas.openxmlformats.org/officeDocument/2006/relationships/image" Target="../media/77dee81c_86a5_11e9_8101_003048fd731b_2509cd7d_a595_11ee_a526_047c1617b143189.jpeg"/><Relationship Id="rId190" Type="http://schemas.openxmlformats.org/officeDocument/2006/relationships/image" Target="../media/77dee820_86a5_11e9_8101_003048fd731b_2509cd81_a595_11ee_a526_047c1617b143190.jpeg"/><Relationship Id="rId191" Type="http://schemas.openxmlformats.org/officeDocument/2006/relationships/image" Target="../media/77dee824_86a5_11e9_8101_003048fd731b_2509cd84_a595_11ee_a526_047c1617b143191.jpeg"/><Relationship Id="rId192" Type="http://schemas.openxmlformats.org/officeDocument/2006/relationships/image" Target="../media/77dee828_86a5_11e9_8101_003048fd731b_2509cd87_a595_11ee_a526_047c1617b143192.jpeg"/><Relationship Id="rId193" Type="http://schemas.openxmlformats.org/officeDocument/2006/relationships/image" Target="../media/77dee82c_86a5_11e9_8101_003048fd731b_2509cd8a_a595_11ee_a526_047c1617b143193.jpeg"/><Relationship Id="rId194" Type="http://schemas.openxmlformats.org/officeDocument/2006/relationships/image" Target="../media/77dee830_86a5_11e9_8101_003048fd731b_2509cd8d_a595_11ee_a526_047c1617b143194.jpeg"/><Relationship Id="rId195" Type="http://schemas.openxmlformats.org/officeDocument/2006/relationships/image" Target="../media/77dee834_86a5_11e9_8101_003048fd731b_2509cd90_a595_11ee_a526_047c1617b143195.jpeg"/><Relationship Id="rId196" Type="http://schemas.openxmlformats.org/officeDocument/2006/relationships/image" Target="../media/77dee838_86a5_11e9_8101_003048fd731b_2509cd93_a595_11ee_a526_047c1617b143196.jpeg"/><Relationship Id="rId197" Type="http://schemas.openxmlformats.org/officeDocument/2006/relationships/image" Target="../media/77dee83c_86a5_11e9_8101_003048fd731b_2509cd99_a595_11ee_a526_047c1617b143197.jpeg"/><Relationship Id="rId198" Type="http://schemas.openxmlformats.org/officeDocument/2006/relationships/image" Target="../media/77dee840_86a5_11e9_8101_003048fd731b_2509cd9d_a595_11ee_a526_047c1617b143198.jpeg"/><Relationship Id="rId199" Type="http://schemas.openxmlformats.org/officeDocument/2006/relationships/image" Target="../media/77dee844_86a5_11e9_8101_003048fd731b_2509cda1_a595_11ee_a526_047c1617b143199.jpeg"/><Relationship Id="rId200" Type="http://schemas.openxmlformats.org/officeDocument/2006/relationships/image" Target="../media/77dee848_86a5_11e9_8101_003048fd731b_2509cda5_a595_11ee_a526_047c1617b143200.jpeg"/><Relationship Id="rId201" Type="http://schemas.openxmlformats.org/officeDocument/2006/relationships/image" Target="../media/77dee84c_86a5_11e9_8101_003048fd731b_2b2de681_a595_11ee_a526_047c1617b143201.jpeg"/><Relationship Id="rId202" Type="http://schemas.openxmlformats.org/officeDocument/2006/relationships/image" Target="../media/7dda82ca_86a5_11e9_8101_003048fd731b_2b2de685_a595_11ee_a526_047c1617b143202.jpeg"/><Relationship Id="rId203" Type="http://schemas.openxmlformats.org/officeDocument/2006/relationships/image" Target="../media/7dda82ce_86a5_11e9_8101_003048fd731b_2b2de689_a595_11ee_a526_047c1617b143203.jpeg"/><Relationship Id="rId204" Type="http://schemas.openxmlformats.org/officeDocument/2006/relationships/image" Target="../media/7dda82d2_86a5_11e9_8101_003048fd731b_2b2de691_a595_11ee_a526_047c1617b143204.jpeg"/><Relationship Id="rId205" Type="http://schemas.openxmlformats.org/officeDocument/2006/relationships/image" Target="../media/7dda82d6_86a5_11e9_8101_003048fd731b_2b2de695_a595_11ee_a526_047c1617b143205.jpeg"/><Relationship Id="rId206" Type="http://schemas.openxmlformats.org/officeDocument/2006/relationships/image" Target="../media/7dda82da_86a5_11e9_8101_003048fd731b_2b2de699_a595_11ee_a526_047c1617b143206.jpeg"/><Relationship Id="rId207" Type="http://schemas.openxmlformats.org/officeDocument/2006/relationships/image" Target="../media/7dda82de_86a5_11e9_8101_003048fd731b_2b2de69d_a595_11ee_a526_047c1617b143207.jpeg"/><Relationship Id="rId208" Type="http://schemas.openxmlformats.org/officeDocument/2006/relationships/image" Target="../media/7dda82e2_86a5_11e9_8101_003048fd731b_2b2de6a1_a595_11ee_a526_047c1617b143208.jpeg"/><Relationship Id="rId209" Type="http://schemas.openxmlformats.org/officeDocument/2006/relationships/image" Target="../media/7dda82e6_86a5_11e9_8101_003048fd731b_2b2de6a5_a595_11ee_a526_047c1617b143209.jpeg"/><Relationship Id="rId210" Type="http://schemas.openxmlformats.org/officeDocument/2006/relationships/image" Target="../media/7dda82ea_86a5_11e9_8101_003048fd731b_2b2de6a9_a595_11ee_a526_047c1617b143210.jpeg"/><Relationship Id="rId211" Type="http://schemas.openxmlformats.org/officeDocument/2006/relationships/image" Target="../media/7dda82ee_86a5_11e9_8101_003048fd731b_2b2de6ad_a595_11ee_a526_047c1617b143211.jpeg"/><Relationship Id="rId212" Type="http://schemas.openxmlformats.org/officeDocument/2006/relationships/image" Target="../media/7dda82f2_86a5_11e9_8101_003048fd731b_2b2de6b1_a595_11ee_a526_047c1617b143212.jpeg"/><Relationship Id="rId213" Type="http://schemas.openxmlformats.org/officeDocument/2006/relationships/image" Target="../media/7dda82f6_86a5_11e9_8101_003048fd731b_2b2de6b5_a595_11ee_a526_047c1617b143213.jpeg"/><Relationship Id="rId214" Type="http://schemas.openxmlformats.org/officeDocument/2006/relationships/image" Target="../media/7dda82fa_86a5_11e9_8101_003048fd731b_2b2de6b9_a595_11ee_a526_047c1617b143214.jpeg"/><Relationship Id="rId215" Type="http://schemas.openxmlformats.org/officeDocument/2006/relationships/image" Target="../media/7dda82fe_86a5_11e9_8101_003048fd731b_2b2de6bd_a595_11ee_a526_047c1617b143215.jpeg"/><Relationship Id="rId216" Type="http://schemas.openxmlformats.org/officeDocument/2006/relationships/image" Target="../media/7dda8302_86a5_11e9_8101_003048fd731b_2b2de6c1_a595_11ee_a526_047c1617b143216.jpeg"/><Relationship Id="rId217" Type="http://schemas.openxmlformats.org/officeDocument/2006/relationships/image" Target="../media/7dda8306_86a5_11e9_8101_003048fd731b_2b2de6c5_a595_11ee_a526_047c1617b143217.jpeg"/><Relationship Id="rId218" Type="http://schemas.openxmlformats.org/officeDocument/2006/relationships/image" Target="../media/7dda830a_86a5_11e9_8101_003048fd731b_2b2de6c9_a595_11ee_a526_047c1617b143218.jpeg"/><Relationship Id="rId219" Type="http://schemas.openxmlformats.org/officeDocument/2006/relationships/image" Target="../media/7dda830e_86a5_11e9_8101_003048fd731b_2b2de6cd_a595_11ee_a526_047c1617b143219.jpeg"/><Relationship Id="rId220" Type="http://schemas.openxmlformats.org/officeDocument/2006/relationships/image" Target="../media/7dda8312_86a5_11e9_8101_003048fd731b_2b2de6d1_a595_11ee_a526_047c1617b143220.jpeg"/><Relationship Id="rId221" Type="http://schemas.openxmlformats.org/officeDocument/2006/relationships/image" Target="../media/7dda8316_86a5_11e9_8101_003048fd731b_2b2de6d5_a595_11ee_a526_047c1617b143221.jpeg"/><Relationship Id="rId222" Type="http://schemas.openxmlformats.org/officeDocument/2006/relationships/image" Target="../media/7dda8319_86a5_11e9_8101_003048fd731b_2b2de6d9_a595_11ee_a526_047c1617b143222.jpeg"/><Relationship Id="rId223" Type="http://schemas.openxmlformats.org/officeDocument/2006/relationships/image" Target="../media/7dda831d_86a5_11e9_8101_003048fd731b_2b2de6dd_a595_11ee_a526_047c1617b143223.jpeg"/><Relationship Id="rId224" Type="http://schemas.openxmlformats.org/officeDocument/2006/relationships/image" Target="../media/7dda8320_86a5_11e9_8101_003048fd731b_2b2de6e1_a595_11ee_a526_047c1617b143224.jpeg"/><Relationship Id="rId225" Type="http://schemas.openxmlformats.org/officeDocument/2006/relationships/image" Target="../media/7dda8324_86a5_11e9_8101_003048fd731b_2b2de6e5_a595_11ee_a526_047c1617b143225.jpeg"/><Relationship Id="rId226" Type="http://schemas.openxmlformats.org/officeDocument/2006/relationships/image" Target="../media/7dda8327_86a5_11e9_8101_003048fd731b_2b2de6e9_a595_11ee_a526_047c1617b143226.jpeg"/><Relationship Id="rId227" Type="http://schemas.openxmlformats.org/officeDocument/2006/relationships/image" Target="../media/7dda832b_86a5_11e9_8101_003048fd731b_2b2de6ed_a595_11ee_a526_047c1617b143227.jpeg"/><Relationship Id="rId228" Type="http://schemas.openxmlformats.org/officeDocument/2006/relationships/image" Target="../media/7dda832e_86a5_11e9_8101_003048fd731b_2b2de6f1_a595_11ee_a526_047c1617b143228.jpeg"/><Relationship Id="rId229" Type="http://schemas.openxmlformats.org/officeDocument/2006/relationships/image" Target="../media/7dda8331_86a5_11e9_8101_003048fd731b_2b2de6f9_a595_11ee_a526_047c1617b143229.jpeg"/><Relationship Id="rId230" Type="http://schemas.openxmlformats.org/officeDocument/2006/relationships/image" Target="../media/7dda8335_86a5_11e9_8101_003048fd731b_2b2de6fd_a595_11ee_a526_047c1617b143230.jpeg"/><Relationship Id="rId231" Type="http://schemas.openxmlformats.org/officeDocument/2006/relationships/image" Target="../media/7dda8339_86a5_11e9_8101_003048fd731b_2b2de701_a595_11ee_a526_047c1617b143231.jpeg"/><Relationship Id="rId232" Type="http://schemas.openxmlformats.org/officeDocument/2006/relationships/image" Target="../media/7dda833d_86a5_11e9_8101_003048fd731b_2b2de705_a595_11ee_a526_047c1617b143232.jpeg"/><Relationship Id="rId233" Type="http://schemas.openxmlformats.org/officeDocument/2006/relationships/image" Target="../media/7dda8341_86a5_11e9_8101_003048fd731b_2b2de709_a595_11ee_a526_047c1617b143233.jpeg"/><Relationship Id="rId234" Type="http://schemas.openxmlformats.org/officeDocument/2006/relationships/image" Target="../media/7dda8345_86a5_11e9_8101_003048fd731b_2b2de70d_a595_11ee_a526_047c1617b143234.jpeg"/><Relationship Id="rId235" Type="http://schemas.openxmlformats.org/officeDocument/2006/relationships/image" Target="../media/7dda8349_86a5_11e9_8101_003048fd731b_2b2de711_a595_11ee_a526_047c1617b143235.jpeg"/><Relationship Id="rId236" Type="http://schemas.openxmlformats.org/officeDocument/2006/relationships/image" Target="../media/7dda834d_86a5_11e9_8101_003048fd731b_2b2de715_a595_11ee_a526_047c1617b143236.jpeg"/><Relationship Id="rId237" Type="http://schemas.openxmlformats.org/officeDocument/2006/relationships/image" Target="../media/7dda8351_86a5_11e9_8101_003048fd731b_2b2de719_a595_11ee_a526_047c1617b143237.jpeg"/><Relationship Id="rId238" Type="http://schemas.openxmlformats.org/officeDocument/2006/relationships/image" Target="../media/7dda8355_86a5_11e9_8101_003048fd731b_2b2de71d_a595_11ee_a526_047c1617b143238.jpeg"/><Relationship Id="rId239" Type="http://schemas.openxmlformats.org/officeDocument/2006/relationships/image" Target="../media/7dda8359_86a5_11e9_8101_003048fd731b_2b2de721_a595_11ee_a526_047c1617b143239.jpeg"/><Relationship Id="rId240" Type="http://schemas.openxmlformats.org/officeDocument/2006/relationships/image" Target="../media/7dda835d_86a5_11e9_8101_003048fd731b_2b2de725_a595_11ee_a526_047c1617b143240.jpeg"/><Relationship Id="rId241" Type="http://schemas.openxmlformats.org/officeDocument/2006/relationships/image" Target="../media/7dda8361_86a5_11e9_8101_003048fd731b_2b2de729_a595_11ee_a526_047c1617b143241.jpeg"/><Relationship Id="rId242" Type="http://schemas.openxmlformats.org/officeDocument/2006/relationships/image" Target="../media/7dda8365_86a5_11e9_8101_003048fd731b_2b2de72d_a595_11ee_a526_047c1617b143242.jpeg"/><Relationship Id="rId243" Type="http://schemas.openxmlformats.org/officeDocument/2006/relationships/image" Target="../media/7dda8369_86a5_11e9_8101_003048fd731b_2b2de731_a595_11ee_a526_047c1617b143243.jpeg"/><Relationship Id="rId244" Type="http://schemas.openxmlformats.org/officeDocument/2006/relationships/image" Target="../media/7dda836d_86a5_11e9_8101_003048fd731b_2b2de735_a595_11ee_a526_047c1617b143244.jpeg"/><Relationship Id="rId245" Type="http://schemas.openxmlformats.org/officeDocument/2006/relationships/image" Target="../media/7dda8370_86a5_11e9_8101_003048fd731b_2b2de739_a595_11ee_a526_047c1617b143245.jpeg"/><Relationship Id="rId246" Type="http://schemas.openxmlformats.org/officeDocument/2006/relationships/image" Target="../media/7dda8373_86a5_11e9_8101_003048fd731b_2b2de73d_a595_11ee_a526_047c1617b143246.jpeg"/><Relationship Id="rId247" Type="http://schemas.openxmlformats.org/officeDocument/2006/relationships/image" Target="../media/7dda8376_86a5_11e9_8101_003048fd731b_2b2de741_a595_11ee_a526_047c1617b143247.jpeg"/><Relationship Id="rId248" Type="http://schemas.openxmlformats.org/officeDocument/2006/relationships/image" Target="../media/7dda837a_86a5_11e9_8101_003048fd731b_2b2de745_a595_11ee_a526_047c1617b143248.jpeg"/><Relationship Id="rId249" Type="http://schemas.openxmlformats.org/officeDocument/2006/relationships/image" Target="../media/7dda837d_86a5_11e9_8101_003048fd731b_2b2de749_a595_11ee_a526_047c1617b143249.jpeg"/><Relationship Id="rId250" Type="http://schemas.openxmlformats.org/officeDocument/2006/relationships/image" Target="../media/7dda8381_86a5_11e9_8101_003048fd731b_2b2de74d_a595_11ee_a526_047c1617b143250.jpeg"/><Relationship Id="rId251" Type="http://schemas.openxmlformats.org/officeDocument/2006/relationships/image" Target="../media/7dda8385_86a5_11e9_8101_003048fd731b_2b2de751_a595_11ee_a526_047c1617b143251.jpeg"/><Relationship Id="rId252" Type="http://schemas.openxmlformats.org/officeDocument/2006/relationships/image" Target="../media/7dda8389_86a5_11e9_8101_003048fd731b_2b2de755_a595_11ee_a526_047c1617b143252.jpeg"/><Relationship Id="rId253" Type="http://schemas.openxmlformats.org/officeDocument/2006/relationships/image" Target="../media/7dda838d_86a5_11e9_8101_003048fd731b_2b2de759_a595_11ee_a526_047c1617b143253.jpeg"/><Relationship Id="rId254" Type="http://schemas.openxmlformats.org/officeDocument/2006/relationships/image" Target="../media/7dda8391_86a5_11e9_8101_003048fd731b_2b2de75d_a595_11ee_a526_047c1617b143254.jpeg"/><Relationship Id="rId255" Type="http://schemas.openxmlformats.org/officeDocument/2006/relationships/image" Target="../media/7dda8395_86a5_11e9_8101_003048fd731b_2b2de761_a595_11ee_a526_047c1617b143255.jpeg"/><Relationship Id="rId256" Type="http://schemas.openxmlformats.org/officeDocument/2006/relationships/image" Target="../media/7dda8399_86a5_11e9_8101_003048fd731b_2b2de765_a595_11ee_a526_047c1617b143256.jpeg"/><Relationship Id="rId257" Type="http://schemas.openxmlformats.org/officeDocument/2006/relationships/image" Target="../media/7dda839d_86a5_11e9_8101_003048fd731b_2b2de769_a595_11ee_a526_047c1617b143257.jpeg"/><Relationship Id="rId258" Type="http://schemas.openxmlformats.org/officeDocument/2006/relationships/image" Target="../media/7dda83a1_86a5_11e9_8101_003048fd731b_2b2de76d_a595_11ee_a526_047c1617b143258.jpeg"/><Relationship Id="rId259" Type="http://schemas.openxmlformats.org/officeDocument/2006/relationships/image" Target="../media/7dda83a5_86a5_11e9_8101_003048fd731b_2b2de771_a595_11ee_a526_047c1617b143259.jpeg"/><Relationship Id="rId260" Type="http://schemas.openxmlformats.org/officeDocument/2006/relationships/image" Target="../media/7dda83a8_86a5_11e9_8101_003048fd731b_2b2de775_a595_11ee_a526_047c1617b143260.jpeg"/><Relationship Id="rId261" Type="http://schemas.openxmlformats.org/officeDocument/2006/relationships/image" Target="../media/7dda83ab_86a5_11e9_8101_003048fd731b_2b2de77d_a595_11ee_a526_047c1617b143261.jpeg"/><Relationship Id="rId262" Type="http://schemas.openxmlformats.org/officeDocument/2006/relationships/image" Target="../media/7dda83af_86a5_11e9_8101_003048fd731b_2b2de781_a595_11ee_a526_047c1617b143262.jpeg"/><Relationship Id="rId263" Type="http://schemas.openxmlformats.org/officeDocument/2006/relationships/image" Target="../media/7dda83b3_86a5_11e9_8101_003048fd731b_2b2de785_a595_11ee_a526_047c1617b143263.jpeg"/><Relationship Id="rId264" Type="http://schemas.openxmlformats.org/officeDocument/2006/relationships/image" Target="../media/7dda83b7_86a5_11e9_8101_003048fd731b_2b2de789_a595_11ee_a526_047c1617b143264.jpeg"/><Relationship Id="rId265" Type="http://schemas.openxmlformats.org/officeDocument/2006/relationships/image" Target="../media/7dda83bb_86a5_11e9_8101_003048fd731b_2b2de78d_a595_11ee_a526_047c1617b143265.jpeg"/><Relationship Id="rId266" Type="http://schemas.openxmlformats.org/officeDocument/2006/relationships/image" Target="../media/7dda83bf_86a5_11e9_8101_003048fd731b_2b2de791_a595_11ee_a526_047c1617b143266.jpeg"/><Relationship Id="rId267" Type="http://schemas.openxmlformats.org/officeDocument/2006/relationships/image" Target="../media/7dda83c3_86a5_11e9_8101_003048fd731b_2b2de799_a595_11ee_a526_047c1617b143267.jpeg"/><Relationship Id="rId268" Type="http://schemas.openxmlformats.org/officeDocument/2006/relationships/image" Target="../media/7dda83c7_86a5_11e9_8101_003048fd731b_2b2de79d_a595_11ee_a526_047c1617b143268.jpeg"/><Relationship Id="rId269" Type="http://schemas.openxmlformats.org/officeDocument/2006/relationships/image" Target="../media/7dda83cb_86a5_11e9_8101_003048fd731b_2b2de7a1_a595_11ee_a526_047c1617b143269.jpeg"/><Relationship Id="rId270" Type="http://schemas.openxmlformats.org/officeDocument/2006/relationships/image" Target="../media/7dda83cf_86a5_11e9_8101_003048fd731b_2b2de7a5_a595_11ee_a526_047c1617b143270.jpeg"/><Relationship Id="rId271" Type="http://schemas.openxmlformats.org/officeDocument/2006/relationships/image" Target="../media/7dda83d3_86a5_11e9_8101_003048fd731b_2b2de7a9_a595_11ee_a526_047c1617b143271.jpeg"/><Relationship Id="rId272" Type="http://schemas.openxmlformats.org/officeDocument/2006/relationships/image" Target="../media/7dda83d7_86a5_11e9_8101_003048fd731b_2b2de7ad_a595_11ee_a526_047c1617b143272.jpeg"/><Relationship Id="rId273" Type="http://schemas.openxmlformats.org/officeDocument/2006/relationships/image" Target="../media/7dda83db_86a5_11e9_8101_003048fd731b_2b2de7b1_a595_11ee_a526_047c1617b143273.jpeg"/><Relationship Id="rId274" Type="http://schemas.openxmlformats.org/officeDocument/2006/relationships/image" Target="../media/7dda83df_86a5_11e9_8101_003048fd731b_2b2de7b5_a595_11ee_a526_047c1617b143274.jpeg"/><Relationship Id="rId275" Type="http://schemas.openxmlformats.org/officeDocument/2006/relationships/image" Target="../media/7dda83e3_86a5_11e9_8101_003048fd731b_2b2de7b9_a595_11ee_a526_047c1617b143275.jpeg"/><Relationship Id="rId276" Type="http://schemas.openxmlformats.org/officeDocument/2006/relationships/image" Target="../media/7dda83e7_86a5_11e9_8101_003048fd731b_2b2de7bd_a595_11ee_a526_047c1617b143276.jpeg"/><Relationship Id="rId277" Type="http://schemas.openxmlformats.org/officeDocument/2006/relationships/image" Target="../media/7dda83eb_86a5_11e9_8101_003048fd731b_2b2de7c1_a595_11ee_a526_047c1617b143277.jpeg"/><Relationship Id="rId278" Type="http://schemas.openxmlformats.org/officeDocument/2006/relationships/image" Target="../media/7dda83ef_86a5_11e9_8101_003048fd731b_2b2de7c5_a595_11ee_a526_047c1617b143278.jpeg"/><Relationship Id="rId279" Type="http://schemas.openxmlformats.org/officeDocument/2006/relationships/image" Target="../media/7dda83f3_86a5_11e9_8101_003048fd731b_2b2de7c9_a595_11ee_a526_047c1617b143279.jpeg"/><Relationship Id="rId280" Type="http://schemas.openxmlformats.org/officeDocument/2006/relationships/image" Target="../media/7dda83f7_86a5_11e9_8101_003048fd731b_2b2de7cd_a595_11ee_a526_047c1617b143280.jpeg"/><Relationship Id="rId281" Type="http://schemas.openxmlformats.org/officeDocument/2006/relationships/image" Target="../media/7dda83fb_86a5_11e9_8101_003048fd731b_2b2de7d1_a595_11ee_a526_047c1617b143281.jpeg"/><Relationship Id="rId282" Type="http://schemas.openxmlformats.org/officeDocument/2006/relationships/image" Target="../media/7dda83ff_86a5_11e9_8101_003048fd731b_2b2de7d5_a595_11ee_a526_047c1617b143282.jpeg"/><Relationship Id="rId283" Type="http://schemas.openxmlformats.org/officeDocument/2006/relationships/image" Target="../media/7dda8403_86a5_11e9_8101_003048fd731b_2b2de7d9_a595_11ee_a526_047c1617b143283.jpeg"/><Relationship Id="rId284" Type="http://schemas.openxmlformats.org/officeDocument/2006/relationships/image" Target="../media/7dda8407_86a5_11e9_8101_003048fd731b_2b2de7dd_a595_11ee_a526_047c1617b143284.jpeg"/><Relationship Id="rId285" Type="http://schemas.openxmlformats.org/officeDocument/2006/relationships/image" Target="../media/7dda840b_86a5_11e9_8101_003048fd731b_2b2de7e1_a595_11ee_a526_047c1617b143285.jpeg"/><Relationship Id="rId286" Type="http://schemas.openxmlformats.org/officeDocument/2006/relationships/image" Target="../media/7dda840f_86a5_11e9_8101_003048fd731b_2b2de7e5_a595_11ee_a526_047c1617b143286.jpeg"/><Relationship Id="rId287" Type="http://schemas.openxmlformats.org/officeDocument/2006/relationships/image" Target="../media/7dda8412_86a5_11e9_8101_003048fd731b_2b2de7e9_a595_11ee_a526_047c1617b143287.jpeg"/><Relationship Id="rId288" Type="http://schemas.openxmlformats.org/officeDocument/2006/relationships/image" Target="../media/7dda8416_86a5_11e9_8101_003048fd731b_2b2de7ed_a595_11ee_a526_047c1617b143288.jpeg"/><Relationship Id="rId289" Type="http://schemas.openxmlformats.org/officeDocument/2006/relationships/image" Target="../media/7dda841a_86a5_11e9_8101_003048fd731b_2b2de7f1_a595_11ee_a526_047c1617b143289.jpeg"/><Relationship Id="rId290" Type="http://schemas.openxmlformats.org/officeDocument/2006/relationships/image" Target="../media/7dda841e_86a5_11e9_8101_003048fd731b_2b2de7f5_a595_11ee_a526_047c1617b143290.jpeg"/><Relationship Id="rId291" Type="http://schemas.openxmlformats.org/officeDocument/2006/relationships/image" Target="../media/7dda8422_86a5_11e9_8101_003048fd731b_2b2de7f9_a595_11ee_a526_047c1617b143291.jpeg"/><Relationship Id="rId292" Type="http://schemas.openxmlformats.org/officeDocument/2006/relationships/image" Target="../media/7dda8426_86a5_11e9_8101_003048fd731b_2b2de7fd_a595_11ee_a526_047c1617b143292.jpeg"/><Relationship Id="rId293" Type="http://schemas.openxmlformats.org/officeDocument/2006/relationships/image" Target="../media/7dda842a_86a5_11e9_8101_003048fd731b_2b2de801_a595_11ee_a526_047c1617b143293.jpeg"/><Relationship Id="rId294" Type="http://schemas.openxmlformats.org/officeDocument/2006/relationships/image" Target="../media/7dda842e_86a5_11e9_8101_003048fd731b_2b2de805_a595_11ee_a526_047c1617b143294.jpeg"/><Relationship Id="rId295" Type="http://schemas.openxmlformats.org/officeDocument/2006/relationships/image" Target="../media/7dda8432_86a5_11e9_8101_003048fd731b_2b2de809_a595_11ee_a526_047c1617b143295.jpeg"/><Relationship Id="rId296" Type="http://schemas.openxmlformats.org/officeDocument/2006/relationships/image" Target="../media/7dda8435_86a5_11e9_8101_003048fd731b_2b2de80d_a595_11ee_a526_047c1617b143296.jpeg"/><Relationship Id="rId297" Type="http://schemas.openxmlformats.org/officeDocument/2006/relationships/image" Target="../media/7dda8439_86a5_11e9_8101_003048fd731b_2b2de811_a595_11ee_a526_047c1617b143297.jpeg"/><Relationship Id="rId298" Type="http://schemas.openxmlformats.org/officeDocument/2006/relationships/image" Target="../media/7dda843d_86a5_11e9_8101_003048fd731b_2b2de815_a595_11ee_a526_047c1617b143298.jpeg"/><Relationship Id="rId299" Type="http://schemas.openxmlformats.org/officeDocument/2006/relationships/image" Target="../media/7dda8441_86a5_11e9_8101_003048fd731b_2b2de819_a595_11ee_a526_047c1617b143299.jpeg"/><Relationship Id="rId300" Type="http://schemas.openxmlformats.org/officeDocument/2006/relationships/image" Target="../media/7dda8445_86a5_11e9_8101_003048fd731b_2b2de81d_a595_11ee_a526_047c1617b143300.jpeg"/><Relationship Id="rId301" Type="http://schemas.openxmlformats.org/officeDocument/2006/relationships/image" Target="../media/83e7f977_86a5_11e9_8101_003048fd731b_2b2de821_a595_11ee_a526_047c1617b143301.jpeg"/><Relationship Id="rId302" Type="http://schemas.openxmlformats.org/officeDocument/2006/relationships/image" Target="../media/83e7f97b_86a5_11e9_8101_003048fd731b_2b2de825_a595_11ee_a526_047c1617b143302.jpeg"/><Relationship Id="rId303" Type="http://schemas.openxmlformats.org/officeDocument/2006/relationships/image" Target="../media/83e7f97f_86a5_11e9_8101_003048fd731b_2b2de829_a595_11ee_a526_047c1617b143303.jpeg"/><Relationship Id="rId304" Type="http://schemas.openxmlformats.org/officeDocument/2006/relationships/image" Target="../media/83e7f983_86a5_11e9_8101_003048fd731b_2b2de82d_a595_11ee_a526_047c1617b143304.jpeg"/><Relationship Id="rId305" Type="http://schemas.openxmlformats.org/officeDocument/2006/relationships/image" Target="../media/83e7f987_86a5_11e9_8101_003048fd731b_2b2de831_a595_11ee_a526_047c1617b143305.jpeg"/><Relationship Id="rId306" Type="http://schemas.openxmlformats.org/officeDocument/2006/relationships/image" Target="../media/83e7f98a_86a5_11e9_8101_003048fd731b_2b2de835_a595_11ee_a526_047c1617b143306.jpeg"/><Relationship Id="rId307" Type="http://schemas.openxmlformats.org/officeDocument/2006/relationships/image" Target="../media/83e7f98e_86a5_11e9_8101_003048fd731b_2b2de839_a595_11ee_a526_047c1617b143307.jpeg"/><Relationship Id="rId308" Type="http://schemas.openxmlformats.org/officeDocument/2006/relationships/image" Target="../media/83e7f992_86a5_11e9_8101_003048fd731b_2b2de83d_a595_11ee_a526_047c1617b143308.jpeg"/><Relationship Id="rId309" Type="http://schemas.openxmlformats.org/officeDocument/2006/relationships/image" Target="../media/83e7f996_86a5_11e9_8101_003048fd731b_2b2de841_a595_11ee_a526_047c1617b143309.jpeg"/><Relationship Id="rId310" Type="http://schemas.openxmlformats.org/officeDocument/2006/relationships/image" Target="../media/83e7f99a_86a5_11e9_8101_003048fd731b_2b2de845_a595_11ee_a526_047c1617b143310.jpeg"/><Relationship Id="rId311" Type="http://schemas.openxmlformats.org/officeDocument/2006/relationships/image" Target="../media/83e7f99e_86a5_11e9_8101_003048fd731b_2b2de849_a595_11ee_a526_047c1617b143311.jpeg"/><Relationship Id="rId312" Type="http://schemas.openxmlformats.org/officeDocument/2006/relationships/image" Target="../media/83e7f9a1_86a5_11e9_8101_003048fd731b_2b2de84d_a595_11ee_a526_047c1617b143312.jpeg"/><Relationship Id="rId313" Type="http://schemas.openxmlformats.org/officeDocument/2006/relationships/image" Target="../media/83e7f9a4_86a5_11e9_8101_003048fd731b_2b2de851_a595_11ee_a526_047c1617b143313.jpeg"/><Relationship Id="rId314" Type="http://schemas.openxmlformats.org/officeDocument/2006/relationships/image" Target="../media/83e7f9a8_86a5_11e9_8101_003048fd731b_2b2de855_a595_11ee_a526_047c1617b143314.jpeg"/><Relationship Id="rId315" Type="http://schemas.openxmlformats.org/officeDocument/2006/relationships/image" Target="../media/83e7f9ac_86a5_11e9_8101_003048fd731b_2b2de859_a595_11ee_a526_047c1617b143315.jpeg"/><Relationship Id="rId316" Type="http://schemas.openxmlformats.org/officeDocument/2006/relationships/image" Target="../media/83e7f9b0_86a5_11e9_8101_003048fd731b_2b2de85d_a595_11ee_a526_047c1617b143316.jpeg"/><Relationship Id="rId317" Type="http://schemas.openxmlformats.org/officeDocument/2006/relationships/image" Target="../media/83e7f9b4_86a5_11e9_8101_003048fd731b_2b2de861_a595_11ee_a526_047c1617b143317.jpeg"/><Relationship Id="rId318" Type="http://schemas.openxmlformats.org/officeDocument/2006/relationships/image" Target="../media/83e7f9b8_86a5_11e9_8101_003048fd731b_2b2de865_a595_11ee_a526_047c1617b143318.jpeg"/><Relationship Id="rId319" Type="http://schemas.openxmlformats.org/officeDocument/2006/relationships/image" Target="../media/83e7f9bc_86a5_11e9_8101_003048fd731b_2b2de869_a595_11ee_a526_047c1617b143319.jpeg"/><Relationship Id="rId320" Type="http://schemas.openxmlformats.org/officeDocument/2006/relationships/image" Target="../media/83e7f9c0_86a5_11e9_8101_003048fd731b_2b2de86d_a595_11ee_a526_047c1617b143320.jpeg"/><Relationship Id="rId321" Type="http://schemas.openxmlformats.org/officeDocument/2006/relationships/image" Target="../media/83e7f9d7_86a5_11e9_8101_003048fd731b_2b2de871_a595_11ee_a526_047c1617b143321.jpeg"/><Relationship Id="rId322" Type="http://schemas.openxmlformats.org/officeDocument/2006/relationships/image" Target="../media/83e7f9db_86a5_11e9_8101_003048fd731b_2b2de875_a595_11ee_a526_047c1617b143322.jpeg"/><Relationship Id="rId323" Type="http://schemas.openxmlformats.org/officeDocument/2006/relationships/image" Target="../media/83e7f9df_86a5_11e9_8101_003048fd731b_2b2de879_a595_11ee_a526_047c1617b143323.jpeg"/><Relationship Id="rId324" Type="http://schemas.openxmlformats.org/officeDocument/2006/relationships/image" Target="../media/83e7f9e3_86a5_11e9_8101_003048fd731b_2b2de87d_a595_11ee_a526_047c1617b143324.jpeg"/><Relationship Id="rId325" Type="http://schemas.openxmlformats.org/officeDocument/2006/relationships/image" Target="../media/83e7f9e7_86a5_11e9_8101_003048fd731b_3166c425_a595_11ee_a526_047c1617b143325.jpeg"/><Relationship Id="rId326" Type="http://schemas.openxmlformats.org/officeDocument/2006/relationships/image" Target="../media/83e7f9eb_86a5_11e9_8101_003048fd731b_3166c429_a595_11ee_a526_047c1617b143326.jpeg"/><Relationship Id="rId327" Type="http://schemas.openxmlformats.org/officeDocument/2006/relationships/image" Target="../media/83e7f9ef_86a5_11e9_8101_003048fd731b_3166c42d_a595_11ee_a526_047c1617b143327.jpeg"/><Relationship Id="rId328" Type="http://schemas.openxmlformats.org/officeDocument/2006/relationships/image" Target="../media/83e7f9f3_86a5_11e9_8101_003048fd731b_3166c431_a595_11ee_a526_047c1617b143328.jpeg"/><Relationship Id="rId329" Type="http://schemas.openxmlformats.org/officeDocument/2006/relationships/image" Target="../media/83e7f9f7_86a5_11e9_8101_003048fd731b_3166c435_a595_11ee_a526_047c1617b143329.jpeg"/><Relationship Id="rId330" Type="http://schemas.openxmlformats.org/officeDocument/2006/relationships/image" Target="../media/83e7f9fb_86a5_11e9_8101_003048fd731b_3166c439_a595_11ee_a526_047c1617b143330.jpeg"/><Relationship Id="rId331" Type="http://schemas.openxmlformats.org/officeDocument/2006/relationships/image" Target="../media/83e7f9ff_86a5_11e9_8101_003048fd731b_3166c43d_a595_11ee_a526_047c1617b143331.jpeg"/><Relationship Id="rId332" Type="http://schemas.openxmlformats.org/officeDocument/2006/relationships/image" Target="../media/83e7fa03_86a5_11e9_8101_003048fd731b_695c4640_11fe_11ef_a5b8_047c1617b143332.jpeg"/><Relationship Id="rId333" Type="http://schemas.openxmlformats.org/officeDocument/2006/relationships/image" Target="../media/83e7fa07_86a5_11e9_8101_003048fd731b_695c4644_11fe_11ef_a5b8_047c1617b143333.jpeg"/><Relationship Id="rId334" Type="http://schemas.openxmlformats.org/officeDocument/2006/relationships/image" Target="../media/83e7fa0b_86a5_11e9_8101_003048fd731b_695c4648_11fe_11ef_a5b8_047c1617b143334.jpeg"/><Relationship Id="rId335" Type="http://schemas.openxmlformats.org/officeDocument/2006/relationships/image" Target="../media/83e7fa0f_86a5_11e9_8101_003048fd731b_695c464c_11fe_11ef_a5b8_047c1617b143335.jpeg"/><Relationship Id="rId336" Type="http://schemas.openxmlformats.org/officeDocument/2006/relationships/image" Target="../media/83e7fa13_86a5_11e9_8101_003048fd731b_695c4650_11fe_11ef_a5b8_047c1617b143336.jpeg"/><Relationship Id="rId337" Type="http://schemas.openxmlformats.org/officeDocument/2006/relationships/image" Target="../media/83e7fa17_86a5_11e9_8101_003048fd731b_695c4654_11fe_11ef_a5b8_047c1617b143337.jpeg"/><Relationship Id="rId338" Type="http://schemas.openxmlformats.org/officeDocument/2006/relationships/image" Target="../media/83e7fa1b_86a5_11e9_8101_003048fd731b_695c4658_11fe_11ef_a5b8_047c1617b143338.jpeg"/><Relationship Id="rId339" Type="http://schemas.openxmlformats.org/officeDocument/2006/relationships/image" Target="../media/83e7fa1e_86a5_11e9_8101_003048fd731b_3166c461_a595_11ee_a526_047c1617b143339.jpeg"/><Relationship Id="rId340" Type="http://schemas.openxmlformats.org/officeDocument/2006/relationships/image" Target="../media/83e7fa22_86a5_11e9_8101_003048fd731b_3166c465_a595_11ee_a526_047c1617b143340.jpeg"/><Relationship Id="rId341" Type="http://schemas.openxmlformats.org/officeDocument/2006/relationships/image" Target="../media/83e7fa26_86a5_11e9_8101_003048fd731b_3166c469_a595_11ee_a526_047c1617b143341.jpeg"/><Relationship Id="rId342" Type="http://schemas.openxmlformats.org/officeDocument/2006/relationships/image" Target="../media/83e7fa2a_86a5_11e9_8101_003048fd731b_3166c46d_a595_11ee_a526_047c1617b143342.jpeg"/><Relationship Id="rId343" Type="http://schemas.openxmlformats.org/officeDocument/2006/relationships/image" Target="../media/83e7fa2d_86a5_11e9_8101_003048fd731b_3166c471_a595_11ee_a526_047c1617b143343.jpeg"/><Relationship Id="rId344" Type="http://schemas.openxmlformats.org/officeDocument/2006/relationships/image" Target="../media/83e7fa31_86a5_11e9_8101_003048fd731b_3166c475_a595_11ee_a526_047c1617b143344.jpeg"/><Relationship Id="rId345" Type="http://schemas.openxmlformats.org/officeDocument/2006/relationships/image" Target="../media/83e7fa35_86a5_11e9_8101_003048fd731b_3166c479_a595_11ee_a526_047c1617b143345.jpeg"/><Relationship Id="rId346" Type="http://schemas.openxmlformats.org/officeDocument/2006/relationships/image" Target="../media/83e7fa39_86a5_11e9_8101_003048fd731b_3166c47d_a595_11ee_a526_047c1617b143346.jpeg"/><Relationship Id="rId347" Type="http://schemas.openxmlformats.org/officeDocument/2006/relationships/image" Target="../media/83e7fa3d_86a5_11e9_8101_003048fd731b_3166c481_a595_11ee_a526_047c1617b143347.jpeg"/><Relationship Id="rId348" Type="http://schemas.openxmlformats.org/officeDocument/2006/relationships/image" Target="../media/83e7fa40_86a5_11e9_8101_003048fd731b_3166c485_a595_11ee_a526_047c1617b143348.jpeg"/><Relationship Id="rId349" Type="http://schemas.openxmlformats.org/officeDocument/2006/relationships/image" Target="../media/83e7fa43_86a5_11e9_8101_003048fd731b_3166c489_a595_11ee_a526_047c1617b143349.jpeg"/><Relationship Id="rId350" Type="http://schemas.openxmlformats.org/officeDocument/2006/relationships/image" Target="../media/83e7fa46_86a5_11e9_8101_003048fd731b_3166c48d_a595_11ee_a526_047c1617b143350.jpeg"/><Relationship Id="rId351" Type="http://schemas.openxmlformats.org/officeDocument/2006/relationships/image" Target="../media/6d083a41_3466_11eb_81f3_003048fd731b_695c4628_11fe_11ef_a5b8_047c1617b143351.jpeg"/><Relationship Id="rId352" Type="http://schemas.openxmlformats.org/officeDocument/2006/relationships/image" Target="../media/6d083a43_3466_11eb_81f3_003048fd731b_695c462c_11fe_11ef_a5b8_047c1617b143352.jpeg"/><Relationship Id="rId353" Type="http://schemas.openxmlformats.org/officeDocument/2006/relationships/image" Target="../media/6d083a45_3466_11eb_81f3_003048fd731b_695c4630_11fe_11ef_a5b8_047c1617b143353.jpeg"/><Relationship Id="rId354" Type="http://schemas.openxmlformats.org/officeDocument/2006/relationships/image" Target="../media/6d083a47_3466_11eb_81f3_003048fd731b_695c4634_11fe_11ef_a5b8_047c1617b143354.jpeg"/><Relationship Id="rId355" Type="http://schemas.openxmlformats.org/officeDocument/2006/relationships/image" Target="../media/6d083a49_3466_11eb_81f3_003048fd731b_695c465c_11fe_11ef_a5b8_047c1617b143355.jpeg"/><Relationship Id="rId356" Type="http://schemas.openxmlformats.org/officeDocument/2006/relationships/image" Target="../media/65637d4e_0b65_11ec_831e_003048fd731b_2509cd96_a595_11ee_a526_047c1617b143356.jpeg"/><Relationship Id="rId357" Type="http://schemas.openxmlformats.org/officeDocument/2006/relationships/image" Target="../media/65637d50_0b65_11ec_831e_003048fd731b_2b2de68d_a595_11ee_a526_047c1617b143357.jpeg"/><Relationship Id="rId358" Type="http://schemas.openxmlformats.org/officeDocument/2006/relationships/image" Target="../media/65637d52_0b65_11ec_831e_003048fd731b_695c4638_11fe_11ef_a5b8_047c1617b143358.jpeg"/><Relationship Id="rId359" Type="http://schemas.openxmlformats.org/officeDocument/2006/relationships/image" Target="../media/65637d54_0b65_11ec_831e_003048fd731b_695c463c_11fe_11ef_a5b8_047c1617b143359.jpeg"/><Relationship Id="rId360" Type="http://schemas.openxmlformats.org/officeDocument/2006/relationships/image" Target="../media/50c7c7b9_86a5_11e9_8101_003048fd731b_be0a9a3d_5d58_11f0_a779_047c1617b143360.jpeg"/><Relationship Id="rId361" Type="http://schemas.openxmlformats.org/officeDocument/2006/relationships/image" Target="../media/50c7c7bd_86a5_11e9_8101_003048fd731b_be0a9a69_5d58_11f0_a779_047c1617b143361.jpeg"/><Relationship Id="rId362" Type="http://schemas.openxmlformats.org/officeDocument/2006/relationships/image" Target="../media/50c7c7c1_86a5_11e9_8101_003048fd731b_be0a9a8f_5d58_11f0_a779_047c1617b143362.jpeg"/><Relationship Id="rId363" Type="http://schemas.openxmlformats.org/officeDocument/2006/relationships/image" Target="../media/50c7c7c5_86a5_11e9_8101_003048fd731b_be0a9aa5_5d58_11f0_a779_047c1617b143363.jpeg"/><Relationship Id="rId364" Type="http://schemas.openxmlformats.org/officeDocument/2006/relationships/image" Target="../media/50c7c7c9_86a5_11e9_8101_003048fd731b_be0a9ab3_5d58_11f0_a779_047c1617b143364.jpeg"/><Relationship Id="rId365" Type="http://schemas.openxmlformats.org/officeDocument/2006/relationships/image" Target="../media/50c7c7cd_86a5_11e9_8101_003048fd731b_be0a9abd_5d58_11f0_a779_047c1617b143365.jpeg"/><Relationship Id="rId366" Type="http://schemas.openxmlformats.org/officeDocument/2006/relationships/image" Target="../media/50c7c7e9_86a5_11e9_8101_003048fd731b_be0a9a22_5d58_11f0_a779_047c1617b143366.jpeg"/><Relationship Id="rId367" Type="http://schemas.openxmlformats.org/officeDocument/2006/relationships/image" Target="../media/50c7c7ed_86a5_11e9_8101_003048fd731b_be0a9a58_5d58_11f0_a779_047c1617b143367.jpeg"/><Relationship Id="rId368" Type="http://schemas.openxmlformats.org/officeDocument/2006/relationships/image" Target="../media/50c7c7f1_86a5_11e9_8101_003048fd731b_83eb96f3_5d58_11f0_a779_047c1617b143368.jpeg"/><Relationship Id="rId369" Type="http://schemas.openxmlformats.org/officeDocument/2006/relationships/image" Target="../media/50c7c7f5_86a5_11e9_8101_003048fd731b_be0a9a4d_5d58_11f0_a779_047c1617b143369.jpeg"/><Relationship Id="rId370" Type="http://schemas.openxmlformats.org/officeDocument/2006/relationships/image" Target="../media/61bc731e_39e8_11eb_81fc_003048fd731b_83eb96ef_5d58_11f0_a779_047c1617b143370.jpeg"/><Relationship Id="rId371" Type="http://schemas.openxmlformats.org/officeDocument/2006/relationships/image" Target="../media/61bc7320_39e8_11eb_81fc_003048fd731b_be0a9a28_5d58_11f0_a779_047c1617b143371.jpeg"/><Relationship Id="rId372" Type="http://schemas.openxmlformats.org/officeDocument/2006/relationships/image" Target="../media/61bc7322_39e8_11eb_81fc_003048fd731b_be0a9a3f_5d58_11f0_a779_047c1617b143372.jpeg"/><Relationship Id="rId373" Type="http://schemas.openxmlformats.org/officeDocument/2006/relationships/image" Target="../media/61bc7324_39e8_11eb_81fc_003048fd731b_be0a9a49_5d58_11f0_a779_047c1617b143373.jpeg"/><Relationship Id="rId374" Type="http://schemas.openxmlformats.org/officeDocument/2006/relationships/image" Target="../media/61bc7326_39e8_11eb_81fc_003048fd731b_be0a9a5e_5d58_11f0_a779_047c1617b143374.jpeg"/><Relationship Id="rId375" Type="http://schemas.openxmlformats.org/officeDocument/2006/relationships/image" Target="../media/61bc7328_39e8_11eb_81fc_003048fd731b_be0a9a6b_5d58_11f0_a779_047c1617b143375.jpeg"/><Relationship Id="rId376" Type="http://schemas.openxmlformats.org/officeDocument/2006/relationships/image" Target="../media/61bc732a_39e8_11eb_81fc_003048fd731b_be0a9a73_5d58_11f0_a779_047c1617b143376.jpeg"/><Relationship Id="rId377" Type="http://schemas.openxmlformats.org/officeDocument/2006/relationships/image" Target="../media/61bc732c_39e8_11eb_81fc_003048fd731b_be0a9a7b_5d58_11f0_a779_047c1617b143377.jpeg"/><Relationship Id="rId378" Type="http://schemas.openxmlformats.org/officeDocument/2006/relationships/image" Target="../media/61bc732e_39e8_11eb_81fc_003048fd731b_be0a9a84_5d58_11f0_a779_047c1617b143378.jpeg"/><Relationship Id="rId379" Type="http://schemas.openxmlformats.org/officeDocument/2006/relationships/image" Target="../media/61bc7330_39e8_11eb_81fc_003048fd731b_be0a9a91_5d58_11f0_a779_047c1617b143379.jpeg"/><Relationship Id="rId380" Type="http://schemas.openxmlformats.org/officeDocument/2006/relationships/image" Target="../media/61bc7332_39e8_11eb_81fc_003048fd731b_be0a9a99_5d58_11f0_a779_047c1617b143380.jpeg"/><Relationship Id="rId381" Type="http://schemas.openxmlformats.org/officeDocument/2006/relationships/image" Target="../media/61bc7334_39e8_11eb_81fc_003048fd731b_be0a9aa7_5d58_11f0_a779_047c1617b143381.jpeg"/><Relationship Id="rId382" Type="http://schemas.openxmlformats.org/officeDocument/2006/relationships/image" Target="../media/61bc7336_39e8_11eb_81fc_003048fd731b_be0a9ab5_5d58_11f0_a779_047c1617b143382.jpeg"/><Relationship Id="rId383" Type="http://schemas.openxmlformats.org/officeDocument/2006/relationships/image" Target="../media/61bc7338_39e8_11eb_81fc_003048fd731b_be0a9a1e_5d58_11f0_a779_047c1617b143383.jpeg"/><Relationship Id="rId384" Type="http://schemas.openxmlformats.org/officeDocument/2006/relationships/image" Target="../media/61bc733a_39e8_11eb_81fc_003048fd731b_be0a9a2d_5d58_11f0_a779_047c1617b143384.jpeg"/><Relationship Id="rId385" Type="http://schemas.openxmlformats.org/officeDocument/2006/relationships/image" Target="../media/61bc733c_39e8_11eb_81fc_003048fd731b_be0a9a44_5d58_11f0_a779_047c1617b143385.jpeg"/><Relationship Id="rId386" Type="http://schemas.openxmlformats.org/officeDocument/2006/relationships/image" Target="../media/61bc733e_39e8_11eb_81fc_003048fd731b_be0a9a54_5d58_11f0_a779_047c1617b143386.jpeg"/><Relationship Id="rId387" Type="http://schemas.openxmlformats.org/officeDocument/2006/relationships/image" Target="../media/61bc7340_39e8_11eb_81fc_003048fd731b_be0a9a62_5d58_11f0_a779_047c1617b143387.jpeg"/><Relationship Id="rId388" Type="http://schemas.openxmlformats.org/officeDocument/2006/relationships/image" Target="../media/61bc7342_39e8_11eb_81fc_003048fd731b_be0a9a6f_5d58_11f0_a779_047c1617b143388.jpeg"/><Relationship Id="rId389" Type="http://schemas.openxmlformats.org/officeDocument/2006/relationships/image" Target="../media/61bc7344_39e8_11eb_81fc_003048fd731b_be0a9a77_5d58_11f0_a779_047c1617b143389.jpeg"/><Relationship Id="rId390" Type="http://schemas.openxmlformats.org/officeDocument/2006/relationships/image" Target="../media/61bc7346_39e8_11eb_81fc_003048fd731b_be0a9a7f_5d58_11f0_a779_047c1617b143390.jpeg"/><Relationship Id="rId391" Type="http://schemas.openxmlformats.org/officeDocument/2006/relationships/image" Target="../media/61bc7348_39e8_11eb_81fc_003048fd731b_be0a9a88_5d58_11f0_a779_047c1617b143391.jpeg"/><Relationship Id="rId392" Type="http://schemas.openxmlformats.org/officeDocument/2006/relationships/image" Target="../media/61bc734a_39e8_11eb_81fc_003048fd731b_be0a9a95_5d58_11f0_a779_047c1617b143392.jpeg"/><Relationship Id="rId393" Type="http://schemas.openxmlformats.org/officeDocument/2006/relationships/image" Target="../media/61bc734c_39e8_11eb_81fc_003048fd731b_be0a9a9d_5d58_11f0_a779_047c1617b143393.jpeg"/><Relationship Id="rId394" Type="http://schemas.openxmlformats.org/officeDocument/2006/relationships/image" Target="../media/61bc734e_39e8_11eb_81fc_003048fd731b_be0a9aab_5d58_11f0_a779_047c1617b143394.jpeg"/><Relationship Id="rId395" Type="http://schemas.openxmlformats.org/officeDocument/2006/relationships/image" Target="../media/61bc7350_39e8_11eb_81fc_003048fd731b_be0a9ab9_5d58_11f0_a779_047c1617b143395.jpeg"/><Relationship Id="rId396" Type="http://schemas.openxmlformats.org/officeDocument/2006/relationships/image" Target="../media/61bc7352_39e8_11eb_81fc_003048fd731b_be0a9a3a_5d58_11f0_a779_047c1617b143396.jpeg"/><Relationship Id="rId397" Type="http://schemas.openxmlformats.org/officeDocument/2006/relationships/image" Target="../media/61bc7354_39e8_11eb_81fc_003048fd731b_be0a9a66_5d58_11f0_a779_047c1617b143397.jpeg"/><Relationship Id="rId398" Type="http://schemas.openxmlformats.org/officeDocument/2006/relationships/image" Target="../media/61bc7356_39e8_11eb_81fc_003048fd731b_be0a9a8c_5d58_11f0_a779_047c1617b143398.jpeg"/><Relationship Id="rId399" Type="http://schemas.openxmlformats.org/officeDocument/2006/relationships/image" Target="../media/61bc7358_39e8_11eb_81fc_003048fd731b_be0a9a27_5d58_11f0_a779_047c1617b143399.jpeg"/><Relationship Id="rId400" Type="http://schemas.openxmlformats.org/officeDocument/2006/relationships/image" Target="../media/61bc735a_39e8_11eb_81fc_003048fd731b_be0a9a31_5d58_11f0_a779_047c1617b143400.jpeg"/><Relationship Id="rId401" Type="http://schemas.openxmlformats.org/officeDocument/2006/relationships/image" Target="../media/61bc735c_39e8_11eb_81fc_003048fd731b_be0a9a48_5d58_11f0_a779_047c1617b143401.jpeg"/><Relationship Id="rId402" Type="http://schemas.openxmlformats.org/officeDocument/2006/relationships/image" Target="../media/61bc735e_39e8_11eb_81fc_003048fd731b_be0a9a5d_5d58_11f0_a779_047c1617b143402.jpeg"/><Relationship Id="rId403" Type="http://schemas.openxmlformats.org/officeDocument/2006/relationships/image" Target="../media/61bc7360_39e8_11eb_81fc_003048fd731b_be0a9a83_5d58_11f0_a779_047c1617b143403.jpeg"/><Relationship Id="rId404" Type="http://schemas.openxmlformats.org/officeDocument/2006/relationships/image" Target="../media/61bc7362_39e8_11eb_81fc_003048fd731b_83eb96f9_5d58_11f0_a779_047c1617b143404.jpeg"/><Relationship Id="rId405" Type="http://schemas.openxmlformats.org/officeDocument/2006/relationships/image" Target="../media/61bc7364_39e8_11eb_81fc_003048fd731b_be0a9a2c_5d58_11f0_a779_047c1617b143405.jpeg"/><Relationship Id="rId406" Type="http://schemas.openxmlformats.org/officeDocument/2006/relationships/image" Target="../media/61bc7366_39e8_11eb_81fc_003048fd731b_be0a9a43_5d58_11f0_a779_047c1617b143406.jpeg"/><Relationship Id="rId407" Type="http://schemas.openxmlformats.org/officeDocument/2006/relationships/image" Target="../media/61bc7368_39e8_11eb_81fc_003048fd731b_be0a9a53_5d58_11f0_a779_047c1617b14340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6" name="Image_104" descr="Image_104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7" name="Image_105" descr="Image_10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8" name="Image_106" descr="Image_10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9" name="Image_107" descr="Image_10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0" name="Image_108" descr="Image_10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1" name="Image_109" descr="Image_10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2" name="Image_110" descr="Image_11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3" name="Image_111" descr="Image_11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4" name="Image_112" descr="Image_11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5" name="Image_113" descr="Image_11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0" name="Image_138" descr="Image_13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1" name="Image_139" descr="Image_13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2" name="Image_140" descr="Image_14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3" name="Image_141" descr="Image_14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4" name="Image_142" descr="Image_14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5" name="Image_143" descr="Image_14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6" name="Image_144" descr="Image_14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7" name="Image_145" descr="Image_14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8" name="Image_146" descr="Image_14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9" name="Image_147" descr="Image_14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0" name="Image_148" descr="Image_14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1" name="Image_149" descr="Image_14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2" name="Image_150" descr="Image_15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3" name="Image_151" descr="Image_15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4" name="Image_152" descr="Image_15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5" name="Image_153" descr="Image_15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6" name="Image_154" descr="Image_15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7" name="Image_155" descr="Image_15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8" name="Image_156" descr="Image_15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9" name="Image_157" descr="Image_15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0" name="Image_158" descr="Image_15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1" name="Image_159" descr="Image_15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2" name="Image_160" descr="Image_16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3" name="Image_161" descr="Image_16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4" name="Image_162" descr="Image_16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5" name="Image_163" descr="Image_16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6" name="Image_164" descr="Image_16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7" name="Image_165" descr="Image_16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8" name="Image_166" descr="Image_16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9" name="Image_167" descr="Image_16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0" name="Image_168" descr="Image_16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1" name="Image_169" descr="Image_16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2" name="Image_170" descr="Image_17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3" name="Image_171" descr="Image_17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4" name="Image_172" descr="Image_17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5" name="Image_173" descr="Image_17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6" name="Image_174" descr="Image_17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7" name="Image_175" descr="Image_175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8" name="Image_176" descr="Image_176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9" name="Image_177" descr="Image_17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0" name="Image_178" descr="Image_17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1" name="Image_179" descr="Image_17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2" name="Image_180" descr="Image_18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3" name="Image_181" descr="Image_18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4" name="Image_182" descr="Image_18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5" name="Image_183" descr="Image_18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6" name="Image_184" descr="Image_18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7" name="Image_185" descr="Image_18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8" name="Image_186" descr="Image_18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9" name="Image_187" descr="Image_18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0" name="Image_188" descr="Image_18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1" name="Image_189" descr="Image_18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2" name="Image_190" descr="Image_19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3" name="Image_191" descr="Image_19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4" name="Image_192" descr="Image_19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5" name="Image_193" descr="Image_19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6" name="Image_194" descr="Image_19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7" name="Image_195" descr="Image_19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8" name="Image_196" descr="Image_19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9" name="Image_197" descr="Image_19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0" name="Image_198" descr="Image_19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1" name="Image_199" descr="Image_19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2" name="Image_200" descr="Image_20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3" name="Image_201" descr="Image_20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4" name="Image_202" descr="Image_20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5" name="Image_203" descr="Image_20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6" name="Image_204" descr="Image_20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7" name="Image_205" descr="Image_20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8" name="Image_206" descr="Image_20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9" name="Image_207" descr="Image_20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0" name="Image_208" descr="Image_20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1" name="Image_209" descr="Image_20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2" name="Image_210" descr="Image_21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3" name="Image_211" descr="Image_21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4" name="Image_212" descr="Image_21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5" name="Image_213" descr="Image_213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6" name="Image_214" descr="Image_214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7" name="Image_215" descr="Image_21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8" name="Image_216" descr="Image_216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9" name="Image_217" descr="Image_217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0" name="Image_218" descr="Image_218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1" name="Image_219" descr="Image_219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2" name="Image_220" descr="Image_220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3" name="Image_221" descr="Image_221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4" name="Image_222" descr="Image_222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5" name="Image_223" descr="Image_22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6" name="Image_224" descr="Image_224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7" name="Image_225" descr="Image_225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8" name="Image_226" descr="Image_226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9" name="Image_227" descr="Image_227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0" name="Image_228" descr="Image_228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1" name="Image_229" descr="Image_229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2" name="Image_230" descr="Image_230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3" name="Image_231" descr="Image_231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4" name="Image_232" descr="Image_232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5" name="Image_233" descr="Image_233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6" name="Image_234" descr="Image_234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7" name="Image_235" descr="Image_235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8" name="Image_236" descr="Image_236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9" name="Image_237" descr="Image_237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0" name="Image_238" descr="Image_23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1" name="Image_239" descr="Image_23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2" name="Image_240" descr="Image_24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3" name="Image_241" descr="Image_24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4" name="Image_242" descr="Image_24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5" name="Image_243" descr="Image_24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6" name="Image_244" descr="Image_24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7" name="Image_245" descr="Image_24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8" name="Image_246" descr="Image_24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9" name="Image_247" descr="Image_247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0" name="Image_248" descr="Image_248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1" name="Image_249" descr="Image_249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2" name="Image_250" descr="Image_25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3" name="Image_251" descr="Image_251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4" name="Image_252" descr="Image_25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5" name="Image_253" descr="Image_25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6" name="Image_254" descr="Image_25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7" name="Image_255" descr="Image_25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8" name="Image_256" descr="Image_25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9" name="Image_257" descr="Image_25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0" name="Image_258" descr="Image_25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1" name="Image_259" descr="Image_259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2" name="Image_260" descr="Image_26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3" name="Image_261" descr="Image_26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4" name="Image_262" descr="Image_26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5" name="Image_263" descr="Image_26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6" name="Image_264" descr="Image_26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7" name="Image_265" descr="Image_26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8" name="Image_266" descr="Image_26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9" name="Image_267" descr="Image_26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0" name="Image_268" descr="Image_26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1" name="Image_269" descr="Image_26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2" name="Image_270" descr="Image_27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3" name="Image_271" descr="Image_27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4" name="Image_272" descr="Image_27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5" name="Image_273" descr="Image_27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6" name="Image_274" descr="Image_27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7" name="Image_275" descr="Image_27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8" name="Image_276" descr="Image_27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9" name="Image_277" descr="Image_27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0" name="Image_278" descr="Image_27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1" name="Image_279" descr="Image_27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2" name="Image_280" descr="Image_28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3" name="Image_281" descr="Image_28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4" name="Image_282" descr="Image_28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5" name="Image_283" descr="Image_28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6" name="Image_284" descr="Image_28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7" name="Image_285" descr="Image_28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8" name="Image_286" descr="Image_28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9" name="Image_287" descr="Image_28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0" name="Image_288" descr="Image_28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1" name="Image_289" descr="Image_28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2" name="Image_290" descr="Image_29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3" name="Image_291" descr="Image_29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4" name="Image_292" descr="Image_29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5" name="Image_293" descr="Image_29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6" name="Image_294" descr="Image_29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7" name="Image_295" descr="Image_29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8" name="Image_296" descr="Image_29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9" name="Image_297" descr="Image_29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0" name="Image_298" descr="Image_29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1" name="Image_299" descr="Image_29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2" name="Image_300" descr="Image_30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3" name="Image_301" descr="Image_30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4" name="Image_302" descr="Image_30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5" name="Image_303" descr="Image_30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6" name="Image_304" descr="Image_30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7" name="Image_305" descr="Image_30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8" name="Image_306" descr="Image_30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9" name="Image_307" descr="Image_30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0" name="Image_308" descr="Image_30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1" name="Image_309" descr="Image_30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2" name="Image_310" descr="Image_31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3" name="Image_311" descr="Image_31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4" name="Image_312" descr="Image_31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5" name="Image_313" descr="Image_31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6" name="Image_314" descr="Image_31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7" name="Image_315" descr="Image_31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8" name="Image_316" descr="Image_316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9" name="Image_317" descr="Image_317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0" name="Image_318" descr="Image_318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1" name="Image_319" descr="Image_319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2" name="Image_320" descr="Image_320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3" name="Image_321" descr="Image_321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4" name="Image_322" descr="Image_322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5" name="Image_323" descr="Image_32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6" name="Image_324" descr="Image_32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7" name="Image_325" descr="Image_32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8" name="Image_326" descr="Image_32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9" name="Image_327" descr="Image_32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0" name="Image_328" descr="Image_32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1" name="Image_329" descr="Image_329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2" name="Image_330" descr="Image_330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3" name="Image_331" descr="Image_331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4" name="Image_332" descr="Image_332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5" name="Image_333" descr="Image_333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6" name="Image_334" descr="Image_334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7" name="Image_335" descr="Image_335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8" name="Image_336" descr="Image_336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9" name="Image_337" descr="Image_337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0" name="Image_338" descr="Image_338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1" name="Image_339" descr="Image_339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2" name="Image_340" descr="Image_340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3" name="Image_341" descr="Image_34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4" name="Image_342" descr="Image_34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5" name="Image_343" descr="Image_343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6" name="Image_344" descr="Image_344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7" name="Image_345" descr="Image_345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8" name="Image_346" descr="Image_346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9" name="Image_347" descr="Image_34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0" name="Image_348" descr="Image_34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1" name="Image_349" descr="Image_34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2" name="Image_350" descr="Image_35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3" name="Image_351" descr="Image_35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4" name="Image_352" descr="Image_35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5" name="Image_353" descr="Image_353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6" name="Image_354" descr="Image_354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7" name="Image_355" descr="Image_355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8" name="Image_356" descr="Image_356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9" name="Image_357" descr="Image_357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0" name="Image_358" descr="Image_358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1" name="Image_359" descr="Image_359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2" name="Image_360" descr="Image_360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3" name="Image_361" descr="Image_361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4" name="Image_362" descr="Image_362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5" name="Image_363" descr="Image_363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6" name="Image_364" descr="Image_364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7" name="Image_365" descr="Image_365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8" name="Image_366" descr="Image_366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9" name="Image_367" descr="Image_367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0" name="Image_369" descr="Image_369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1" name="Image_370" descr="Image_370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2" name="Image_371" descr="Image_371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3" name="Image_372" descr="Image_372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4" name="Image_373" descr="Image_373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5" name="Image_374" descr="Image_374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6" name="Image_375" descr="Image_375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7" name="Image_376" descr="Image_376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8" name="Image_377" descr="Image_377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9" name="Image_378" descr="Image_378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0" name="Image_379" descr="Image_379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1" name="Image_380" descr="Image_380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2" name="Image_381" descr="Image_381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3" name="Image_382" descr="Image_382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4" name="Image_383" descr="Image_383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5" name="Image_384" descr="Image_384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6" name="Image_385" descr="Image_385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7" name="Image_386" descr="Image_386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8" name="Image_387" descr="Image_387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9" name="Image_388" descr="Image_388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0" name="Image_389" descr="Image_389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1" name="Image_390" descr="Image_390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2" name="Image_391" descr="Image_391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3" name="Image_392" descr="Image_392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4" name="Image_393" descr="Image_393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5" name="Image_394" descr="Image_394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6" name="Image_395" descr="Image_395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7" name="Image_396" descr="Image_396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8" name="Image_397" descr="Image_397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9" name="Image_398" descr="Image_398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0" name="Image_399" descr="Image_399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1" name="Image_400" descr="Image_400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2" name="Image_401" descr="Image_401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3" name="Image_402" descr="Image_402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4" name="Image_403" descr="Image_403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5" name="Image_404" descr="Image_404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6" name="Image_405" descr="Image_405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7" name="Image_406" descr="Image_406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8" name="Image_407" descr="Image_407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9" name="Image_408" descr="Image_408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0" name="Image_409" descr="Image_409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1" name="Image_410" descr="Image_410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2" name="Image_411" descr="Image_411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3" name="Image_412" descr="Image_412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4" name="Image_413" descr="Image_413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5" name="Image_414" descr="Image_414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6" name="Image_415" descr="Image_415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7" name="Image_416" descr="Image_416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811210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J5*117.00</f>
        <v>0</v>
      </c>
      <c r="L5" s="5"/>
    </row>
    <row r="6" spans="1:12" customHeight="1" ht="105" outlineLevel="4">
      <c r="A6" s="1"/>
      <c r="B6" s="1">
        <v>811211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J6*182.00</f>
        <v>0</v>
      </c>
      <c r="L6" s="5"/>
    </row>
    <row r="7" spans="1:12" customHeight="1" ht="105" outlineLevel="4">
      <c r="A7" s="1"/>
      <c r="B7" s="1">
        <v>811212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18</v>
      </c>
      <c r="I7" s="1">
        <v>0</v>
      </c>
      <c r="J7" s="3" t="s">
        <v>19</v>
      </c>
      <c r="K7" s="2" t="str">
        <f>J7*298.00</f>
        <v>0</v>
      </c>
      <c r="L7" s="5"/>
    </row>
    <row r="8" spans="1:12" customHeight="1" ht="105" outlineLevel="4">
      <c r="A8" s="1"/>
      <c r="B8" s="1">
        <v>811213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 t="s">
        <v>18</v>
      </c>
      <c r="I8" s="1">
        <v>0</v>
      </c>
      <c r="J8" s="3" t="s">
        <v>19</v>
      </c>
      <c r="K8" s="2" t="str">
        <f>J8*452.00</f>
        <v>0</v>
      </c>
      <c r="L8" s="5"/>
    </row>
    <row r="9" spans="1:12" customHeight="1" ht="105" outlineLevel="4">
      <c r="A9" s="1"/>
      <c r="B9" s="1">
        <v>811214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 t="s">
        <v>37</v>
      </c>
      <c r="I9" s="1">
        <v>0</v>
      </c>
      <c r="J9" s="3" t="s">
        <v>19</v>
      </c>
      <c r="K9" s="2" t="str">
        <f>J9*774.00</f>
        <v>0</v>
      </c>
      <c r="L9" s="5"/>
    </row>
    <row r="10" spans="1:12" customHeight="1" ht="105" outlineLevel="4">
      <c r="A10" s="1"/>
      <c r="B10" s="1">
        <v>811215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37</v>
      </c>
      <c r="I10" s="1">
        <v>0</v>
      </c>
      <c r="J10" s="3" t="s">
        <v>19</v>
      </c>
      <c r="K10" s="2" t="str">
        <f>J10*1245.00</f>
        <v>0</v>
      </c>
      <c r="L10" s="5"/>
    </row>
    <row r="11" spans="1:12" customHeight="1" ht="105" outlineLevel="4">
      <c r="A11" s="1"/>
      <c r="B11" s="1">
        <v>811216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17</v>
      </c>
      <c r="I11" s="1">
        <v>0</v>
      </c>
      <c r="J11" s="3" t="s">
        <v>19</v>
      </c>
      <c r="K11" s="2" t="str">
        <f>J11*1990.00</f>
        <v>0</v>
      </c>
      <c r="L11" s="5"/>
    </row>
    <row r="12" spans="1:12" customHeight="1" ht="105" outlineLevel="4">
      <c r="A12" s="1"/>
      <c r="B12" s="1">
        <v>811217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 t="s">
        <v>17</v>
      </c>
      <c r="I12" s="1">
        <v>0</v>
      </c>
      <c r="J12" s="3" t="s">
        <v>19</v>
      </c>
      <c r="K12" s="2" t="str">
        <f>J12*3028.00</f>
        <v>0</v>
      </c>
      <c r="L12" s="5"/>
    </row>
    <row r="13" spans="1:12" customHeight="1" ht="105" outlineLevel="4">
      <c r="A13" s="1"/>
      <c r="B13" s="1">
        <v>811218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 t="s">
        <v>54</v>
      </c>
      <c r="I13" s="1">
        <v>0</v>
      </c>
      <c r="J13" s="3" t="s">
        <v>19</v>
      </c>
      <c r="K13" s="2" t="str">
        <f>J13*181.00</f>
        <v>0</v>
      </c>
      <c r="L13" s="5"/>
    </row>
    <row r="14" spans="1:12" customHeight="1" ht="105" outlineLevel="4">
      <c r="A14" s="1"/>
      <c r="B14" s="1">
        <v>811219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0</v>
      </c>
      <c r="H14" s="2" t="s">
        <v>54</v>
      </c>
      <c r="I14" s="1">
        <v>0</v>
      </c>
      <c r="J14" s="3" t="s">
        <v>19</v>
      </c>
      <c r="K14" s="2" t="str">
        <f>J14*261.00</f>
        <v>0</v>
      </c>
      <c r="L14" s="5"/>
    </row>
    <row r="15" spans="1:12" customHeight="1" ht="105" outlineLevel="4">
      <c r="A15" s="1"/>
      <c r="B15" s="1">
        <v>811220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0</v>
      </c>
      <c r="H15" s="2">
        <v>0</v>
      </c>
      <c r="I15" s="1">
        <v>0</v>
      </c>
      <c r="J15" s="3" t="s">
        <v>19</v>
      </c>
      <c r="K15" s="2" t="str">
        <f>J15*419.00</f>
        <v>0</v>
      </c>
      <c r="L15" s="5"/>
    </row>
    <row r="16" spans="1:12" customHeight="1" ht="105" outlineLevel="4">
      <c r="A16" s="1"/>
      <c r="B16" s="1">
        <v>811221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 t="s">
        <v>37</v>
      </c>
      <c r="I16" s="1">
        <v>0</v>
      </c>
      <c r="J16" s="3" t="s">
        <v>19</v>
      </c>
      <c r="K16" s="2" t="str">
        <f>J16*744.00</f>
        <v>0</v>
      </c>
      <c r="L16" s="5"/>
    </row>
    <row r="17" spans="1:12" customHeight="1" ht="105" outlineLevel="4">
      <c r="A17" s="1"/>
      <c r="B17" s="1">
        <v>811222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0</v>
      </c>
      <c r="H17" s="2" t="s">
        <v>37</v>
      </c>
      <c r="I17" s="1">
        <v>0</v>
      </c>
      <c r="J17" s="3" t="s">
        <v>19</v>
      </c>
      <c r="K17" s="2" t="str">
        <f>J17*907.00</f>
        <v>0</v>
      </c>
      <c r="L17" s="5"/>
    </row>
    <row r="18" spans="1:12" customHeight="1" ht="105" outlineLevel="4">
      <c r="A18" s="1"/>
      <c r="B18" s="1">
        <v>811223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0</v>
      </c>
      <c r="H18" s="2">
        <v>0</v>
      </c>
      <c r="I18" s="1">
        <v>0</v>
      </c>
      <c r="J18" s="3" t="s">
        <v>19</v>
      </c>
      <c r="K18" s="2" t="str">
        <f>J18*1605.00</f>
        <v>0</v>
      </c>
      <c r="L18" s="5"/>
    </row>
    <row r="19" spans="1:12" customHeight="1" ht="105" outlineLevel="4">
      <c r="A19" s="1"/>
      <c r="B19" s="1">
        <v>811224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79</v>
      </c>
      <c r="H19" s="2" t="s">
        <v>17</v>
      </c>
      <c r="I19" s="1">
        <v>0</v>
      </c>
      <c r="J19" s="3" t="s">
        <v>19</v>
      </c>
      <c r="K19" s="2" t="str">
        <f>J19*2108.00</f>
        <v>0</v>
      </c>
      <c r="L19" s="5"/>
    </row>
    <row r="20" spans="1:12" customHeight="1" ht="105" outlineLevel="4">
      <c r="A20" s="1"/>
      <c r="B20" s="1">
        <v>811225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0</v>
      </c>
      <c r="H20" s="2" t="s">
        <v>84</v>
      </c>
      <c r="I20" s="1">
        <v>0</v>
      </c>
      <c r="J20" s="3" t="s">
        <v>19</v>
      </c>
      <c r="K20" s="2" t="str">
        <f>J20*2841.00</f>
        <v>0</v>
      </c>
      <c r="L20" s="5"/>
    </row>
    <row r="21" spans="1:12" customHeight="1" ht="105" outlineLevel="4">
      <c r="A21" s="1"/>
      <c r="B21" s="1">
        <v>811226</v>
      </c>
      <c r="C21" s="1" t="s">
        <v>85</v>
      </c>
      <c r="D21" s="1" t="s">
        <v>86</v>
      </c>
      <c r="E21" s="2" t="s">
        <v>87</v>
      </c>
      <c r="F21" s="2" t="s">
        <v>88</v>
      </c>
      <c r="G21" s="2" t="s">
        <v>37</v>
      </c>
      <c r="H21" s="2" t="s">
        <v>17</v>
      </c>
      <c r="I21" s="1">
        <v>0</v>
      </c>
      <c r="J21" s="3" t="s">
        <v>19</v>
      </c>
      <c r="K21" s="2" t="str">
        <f>J21*114.00</f>
        <v>0</v>
      </c>
      <c r="L21" s="5"/>
    </row>
    <row r="22" spans="1:12" customHeight="1" ht="105" outlineLevel="4">
      <c r="A22" s="1"/>
      <c r="B22" s="1">
        <v>811227</v>
      </c>
      <c r="C22" s="1" t="s">
        <v>89</v>
      </c>
      <c r="D22" s="1" t="s">
        <v>90</v>
      </c>
      <c r="E22" s="2" t="s">
        <v>91</v>
      </c>
      <c r="F22" s="2" t="s">
        <v>92</v>
      </c>
      <c r="G22" s="2" t="s">
        <v>37</v>
      </c>
      <c r="H22" s="2" t="s">
        <v>18</v>
      </c>
      <c r="I22" s="1">
        <v>0</v>
      </c>
      <c r="J22" s="3" t="s">
        <v>19</v>
      </c>
      <c r="K22" s="2" t="str">
        <f>J22*168.00</f>
        <v>0</v>
      </c>
      <c r="L22" s="5"/>
    </row>
    <row r="23" spans="1:12" customHeight="1" ht="105" outlineLevel="4">
      <c r="A23" s="1"/>
      <c r="B23" s="1">
        <v>811228</v>
      </c>
      <c r="C23" s="1" t="s">
        <v>93</v>
      </c>
      <c r="D23" s="1" t="s">
        <v>94</v>
      </c>
      <c r="E23" s="2" t="s">
        <v>95</v>
      </c>
      <c r="F23" s="2" t="s">
        <v>96</v>
      </c>
      <c r="G23" s="2" t="s">
        <v>37</v>
      </c>
      <c r="H23" s="2" t="s">
        <v>18</v>
      </c>
      <c r="I23" s="1">
        <v>0</v>
      </c>
      <c r="J23" s="3" t="s">
        <v>19</v>
      </c>
      <c r="K23" s="2" t="str">
        <f>J23*280.00</f>
        <v>0</v>
      </c>
      <c r="L23" s="5"/>
    </row>
    <row r="24" spans="1:12" customHeight="1" ht="105" outlineLevel="4">
      <c r="A24" s="1"/>
      <c r="B24" s="1">
        <v>811229</v>
      </c>
      <c r="C24" s="1" t="s">
        <v>97</v>
      </c>
      <c r="D24" s="1" t="s">
        <v>98</v>
      </c>
      <c r="E24" s="2" t="s">
        <v>99</v>
      </c>
      <c r="F24" s="2" t="s">
        <v>100</v>
      </c>
      <c r="G24" s="2">
        <v>0</v>
      </c>
      <c r="H24" s="2" t="s">
        <v>18</v>
      </c>
      <c r="I24" s="1">
        <v>0</v>
      </c>
      <c r="J24" s="3" t="s">
        <v>19</v>
      </c>
      <c r="K24" s="2" t="str">
        <f>J24*460.00</f>
        <v>0</v>
      </c>
      <c r="L24" s="5"/>
    </row>
    <row r="25" spans="1:12" customHeight="1" ht="105" outlineLevel="4">
      <c r="A25" s="1"/>
      <c r="B25" s="1">
        <v>811230</v>
      </c>
      <c r="C25" s="1" t="s">
        <v>101</v>
      </c>
      <c r="D25" s="1" t="s">
        <v>102</v>
      </c>
      <c r="E25" s="2" t="s">
        <v>103</v>
      </c>
      <c r="F25" s="2" t="s">
        <v>104</v>
      </c>
      <c r="G25" s="2">
        <v>0</v>
      </c>
      <c r="H25" s="2" t="s">
        <v>37</v>
      </c>
      <c r="I25" s="1">
        <v>0</v>
      </c>
      <c r="J25" s="3" t="s">
        <v>19</v>
      </c>
      <c r="K25" s="2" t="str">
        <f>J25*811.00</f>
        <v>0</v>
      </c>
      <c r="L25" s="5"/>
    </row>
    <row r="26" spans="1:12" customHeight="1" ht="105" outlineLevel="4">
      <c r="A26" s="1"/>
      <c r="B26" s="1">
        <v>811231</v>
      </c>
      <c r="C26" s="1" t="s">
        <v>105</v>
      </c>
      <c r="D26" s="1" t="s">
        <v>106</v>
      </c>
      <c r="E26" s="2" t="s">
        <v>107</v>
      </c>
      <c r="F26" s="2" t="s">
        <v>108</v>
      </c>
      <c r="G26" s="2">
        <v>0</v>
      </c>
      <c r="H26" s="2" t="s">
        <v>37</v>
      </c>
      <c r="I26" s="1">
        <v>0</v>
      </c>
      <c r="J26" s="3" t="s">
        <v>19</v>
      </c>
      <c r="K26" s="2" t="str">
        <f>J26*1293.00</f>
        <v>0</v>
      </c>
      <c r="L26" s="5"/>
    </row>
    <row r="27" spans="1:12" customHeight="1" ht="105" outlineLevel="4">
      <c r="A27" s="1"/>
      <c r="B27" s="1">
        <v>811232</v>
      </c>
      <c r="C27" s="1" t="s">
        <v>109</v>
      </c>
      <c r="D27" s="1" t="s">
        <v>110</v>
      </c>
      <c r="E27" s="2" t="s">
        <v>111</v>
      </c>
      <c r="F27" s="2" t="s">
        <v>112</v>
      </c>
      <c r="G27" s="2">
        <v>0</v>
      </c>
      <c r="H27" s="2" t="s">
        <v>17</v>
      </c>
      <c r="I27" s="1">
        <v>0</v>
      </c>
      <c r="J27" s="3" t="s">
        <v>19</v>
      </c>
      <c r="K27" s="2" t="str">
        <f>J27*1085.00</f>
        <v>0</v>
      </c>
      <c r="L27" s="5"/>
    </row>
    <row r="28" spans="1:12" customHeight="1" ht="105" outlineLevel="4">
      <c r="A28" s="1"/>
      <c r="B28" s="1">
        <v>811233</v>
      </c>
      <c r="C28" s="1" t="s">
        <v>113</v>
      </c>
      <c r="D28" s="1" t="s">
        <v>114</v>
      </c>
      <c r="E28" s="2" t="s">
        <v>115</v>
      </c>
      <c r="F28" s="2" t="s">
        <v>116</v>
      </c>
      <c r="G28" s="2">
        <v>0</v>
      </c>
      <c r="H28" s="2" t="s">
        <v>17</v>
      </c>
      <c r="I28" s="1">
        <v>0</v>
      </c>
      <c r="J28" s="3" t="s">
        <v>19</v>
      </c>
      <c r="K28" s="2" t="str">
        <f>J28*1618.00</f>
        <v>0</v>
      </c>
      <c r="L28" s="5"/>
    </row>
    <row r="29" spans="1:12" customHeight="1" ht="105" outlineLevel="4">
      <c r="A29" s="1"/>
      <c r="B29" s="1">
        <v>811234</v>
      </c>
      <c r="C29" s="1" t="s">
        <v>117</v>
      </c>
      <c r="D29" s="1" t="s">
        <v>118</v>
      </c>
      <c r="E29" s="2" t="s">
        <v>119</v>
      </c>
      <c r="F29" s="2" t="s">
        <v>120</v>
      </c>
      <c r="G29" s="2" t="s">
        <v>17</v>
      </c>
      <c r="H29" s="2" t="s">
        <v>18</v>
      </c>
      <c r="I29" s="1">
        <v>0</v>
      </c>
      <c r="J29" s="3" t="s">
        <v>19</v>
      </c>
      <c r="K29" s="2" t="str">
        <f>J29*133.00</f>
        <v>0</v>
      </c>
      <c r="L29" s="5"/>
    </row>
    <row r="30" spans="1:12" customHeight="1" ht="105" outlineLevel="4">
      <c r="A30" s="1"/>
      <c r="B30" s="1">
        <v>811235</v>
      </c>
      <c r="C30" s="1" t="s">
        <v>121</v>
      </c>
      <c r="D30" s="1" t="s">
        <v>122</v>
      </c>
      <c r="E30" s="2" t="s">
        <v>123</v>
      </c>
      <c r="F30" s="2" t="s">
        <v>124</v>
      </c>
      <c r="G30" s="2" t="s">
        <v>17</v>
      </c>
      <c r="H30" s="2" t="s">
        <v>18</v>
      </c>
      <c r="I30" s="1">
        <v>0</v>
      </c>
      <c r="J30" s="3" t="s">
        <v>19</v>
      </c>
      <c r="K30" s="2" t="str">
        <f>J30*202.00</f>
        <v>0</v>
      </c>
      <c r="L30" s="5"/>
    </row>
    <row r="31" spans="1:12" customHeight="1" ht="105" outlineLevel="4">
      <c r="A31" s="1"/>
      <c r="B31" s="1">
        <v>811236</v>
      </c>
      <c r="C31" s="1" t="s">
        <v>125</v>
      </c>
      <c r="D31" s="1" t="s">
        <v>126</v>
      </c>
      <c r="E31" s="2" t="s">
        <v>127</v>
      </c>
      <c r="F31" s="2" t="s">
        <v>128</v>
      </c>
      <c r="G31" s="2" t="s">
        <v>17</v>
      </c>
      <c r="H31" s="2" t="s">
        <v>18</v>
      </c>
      <c r="I31" s="1">
        <v>0</v>
      </c>
      <c r="J31" s="3" t="s">
        <v>19</v>
      </c>
      <c r="K31" s="2" t="str">
        <f>J31*349.00</f>
        <v>0</v>
      </c>
      <c r="L31" s="5"/>
    </row>
    <row r="32" spans="1:12" customHeight="1" ht="105" outlineLevel="4">
      <c r="A32" s="1"/>
      <c r="B32" s="1">
        <v>811237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0</v>
      </c>
      <c r="H32" s="2" t="s">
        <v>18</v>
      </c>
      <c r="I32" s="1">
        <v>0</v>
      </c>
      <c r="J32" s="3" t="s">
        <v>19</v>
      </c>
      <c r="K32" s="2" t="str">
        <f>J32*522.00</f>
        <v>0</v>
      </c>
      <c r="L32" s="5"/>
    </row>
    <row r="33" spans="1:12" customHeight="1" ht="105" outlineLevel="4">
      <c r="A33" s="1"/>
      <c r="B33" s="1">
        <v>811238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0</v>
      </c>
      <c r="H33" s="2" t="s">
        <v>37</v>
      </c>
      <c r="I33" s="1">
        <v>0</v>
      </c>
      <c r="J33" s="3" t="s">
        <v>19</v>
      </c>
      <c r="K33" s="2" t="str">
        <f>J33*810.00</f>
        <v>0</v>
      </c>
      <c r="L33" s="5"/>
    </row>
    <row r="34" spans="1:12" customHeight="1" ht="105" outlineLevel="4">
      <c r="A34" s="1"/>
      <c r="B34" s="1">
        <v>811239</v>
      </c>
      <c r="C34" s="1" t="s">
        <v>137</v>
      </c>
      <c r="D34" s="1" t="s">
        <v>138</v>
      </c>
      <c r="E34" s="2" t="s">
        <v>139</v>
      </c>
      <c r="F34" s="2" t="s">
        <v>140</v>
      </c>
      <c r="G34" s="2">
        <v>0</v>
      </c>
      <c r="H34" s="2" t="s">
        <v>17</v>
      </c>
      <c r="I34" s="1">
        <v>0</v>
      </c>
      <c r="J34" s="3" t="s">
        <v>19</v>
      </c>
      <c r="K34" s="2" t="str">
        <f>J34*1400.00</f>
        <v>0</v>
      </c>
      <c r="L34" s="5"/>
    </row>
    <row r="35" spans="1:12" customHeight="1" ht="105" outlineLevel="4">
      <c r="A35" s="1"/>
      <c r="B35" s="1">
        <v>811240</v>
      </c>
      <c r="C35" s="1" t="s">
        <v>141</v>
      </c>
      <c r="D35" s="1" t="s">
        <v>142</v>
      </c>
      <c r="E35" s="2" t="s">
        <v>143</v>
      </c>
      <c r="F35" s="2" t="s">
        <v>108</v>
      </c>
      <c r="G35" s="2">
        <v>0</v>
      </c>
      <c r="H35" s="2" t="s">
        <v>17</v>
      </c>
      <c r="I35" s="1">
        <v>0</v>
      </c>
      <c r="J35" s="3" t="s">
        <v>19</v>
      </c>
      <c r="K35" s="2" t="str">
        <f>J35*1293.00</f>
        <v>0</v>
      </c>
      <c r="L35" s="5"/>
    </row>
    <row r="36" spans="1:12" customHeight="1" ht="105" outlineLevel="4">
      <c r="A36" s="1"/>
      <c r="B36" s="1">
        <v>811241</v>
      </c>
      <c r="C36" s="1" t="s">
        <v>144</v>
      </c>
      <c r="D36" s="1" t="s">
        <v>145</v>
      </c>
      <c r="E36" s="2" t="s">
        <v>146</v>
      </c>
      <c r="F36" s="2" t="s">
        <v>147</v>
      </c>
      <c r="G36" s="2">
        <v>0</v>
      </c>
      <c r="H36" s="2" t="s">
        <v>17</v>
      </c>
      <c r="I36" s="1">
        <v>0</v>
      </c>
      <c r="J36" s="3" t="s">
        <v>19</v>
      </c>
      <c r="K36" s="2" t="str">
        <f>J36*1971.00</f>
        <v>0</v>
      </c>
      <c r="L36" s="5"/>
    </row>
    <row r="37" spans="1:12" customHeight="1" ht="105" outlineLevel="4">
      <c r="A37" s="1"/>
      <c r="B37" s="1">
        <v>811242</v>
      </c>
      <c r="C37" s="1" t="s">
        <v>148</v>
      </c>
      <c r="D37" s="1" t="s">
        <v>149</v>
      </c>
      <c r="E37" s="2" t="s">
        <v>150</v>
      </c>
      <c r="F37" s="2" t="s">
        <v>53</v>
      </c>
      <c r="G37" s="2" t="s">
        <v>17</v>
      </c>
      <c r="H37" s="2" t="s">
        <v>54</v>
      </c>
      <c r="I37" s="1">
        <v>0</v>
      </c>
      <c r="J37" s="3" t="s">
        <v>19</v>
      </c>
      <c r="K37" s="2" t="str">
        <f>J37*181.00</f>
        <v>0</v>
      </c>
      <c r="L37" s="5"/>
    </row>
    <row r="38" spans="1:12" customHeight="1" ht="105" outlineLevel="4">
      <c r="A38" s="1"/>
      <c r="B38" s="1">
        <v>811243</v>
      </c>
      <c r="C38" s="1" t="s">
        <v>151</v>
      </c>
      <c r="D38" s="1" t="s">
        <v>152</v>
      </c>
      <c r="E38" s="2" t="s">
        <v>153</v>
      </c>
      <c r="F38" s="2" t="s">
        <v>58</v>
      </c>
      <c r="G38" s="2" t="s">
        <v>28</v>
      </c>
      <c r="H38" s="2">
        <v>0</v>
      </c>
      <c r="I38" s="1">
        <v>0</v>
      </c>
      <c r="J38" s="3" t="s">
        <v>19</v>
      </c>
      <c r="K38" s="2" t="str">
        <f>J38*261.00</f>
        <v>0</v>
      </c>
      <c r="L38" s="5"/>
    </row>
    <row r="39" spans="1:12" customHeight="1" ht="105" outlineLevel="4">
      <c r="A39" s="1"/>
      <c r="B39" s="1">
        <v>811244</v>
      </c>
      <c r="C39" s="1" t="s">
        <v>154</v>
      </c>
      <c r="D39" s="1" t="s">
        <v>155</v>
      </c>
      <c r="E39" s="2" t="s">
        <v>156</v>
      </c>
      <c r="F39" s="2" t="s">
        <v>62</v>
      </c>
      <c r="G39" s="2">
        <v>0</v>
      </c>
      <c r="H39" s="2">
        <v>0</v>
      </c>
      <c r="I39" s="1">
        <v>0</v>
      </c>
      <c r="J39" s="3" t="s">
        <v>19</v>
      </c>
      <c r="K39" s="2" t="str">
        <f>J39*419.00</f>
        <v>0</v>
      </c>
      <c r="L39" s="5"/>
    </row>
    <row r="40" spans="1:12" customHeight="1" ht="105" outlineLevel="4">
      <c r="A40" s="1"/>
      <c r="B40" s="1">
        <v>811245</v>
      </c>
      <c r="C40" s="1" t="s">
        <v>157</v>
      </c>
      <c r="D40" s="1" t="s">
        <v>158</v>
      </c>
      <c r="E40" s="2" t="s">
        <v>159</v>
      </c>
      <c r="F40" s="2" t="s">
        <v>88</v>
      </c>
      <c r="G40" s="2" t="s">
        <v>37</v>
      </c>
      <c r="H40" s="2" t="s">
        <v>54</v>
      </c>
      <c r="I40" s="1">
        <v>0</v>
      </c>
      <c r="J40" s="3" t="s">
        <v>19</v>
      </c>
      <c r="K40" s="2" t="str">
        <f>J40*114.00</f>
        <v>0</v>
      </c>
      <c r="L40" s="5"/>
    </row>
    <row r="41" spans="1:12" customHeight="1" ht="105" outlineLevel="4">
      <c r="A41" s="1"/>
      <c r="B41" s="1">
        <v>811246</v>
      </c>
      <c r="C41" s="1" t="s">
        <v>160</v>
      </c>
      <c r="D41" s="1" t="s">
        <v>161</v>
      </c>
      <c r="E41" s="2" t="s">
        <v>162</v>
      </c>
      <c r="F41" s="2" t="s">
        <v>92</v>
      </c>
      <c r="G41" s="2" t="s">
        <v>37</v>
      </c>
      <c r="H41" s="2" t="s">
        <v>18</v>
      </c>
      <c r="I41" s="1">
        <v>0</v>
      </c>
      <c r="J41" s="3" t="s">
        <v>19</v>
      </c>
      <c r="K41" s="2" t="str">
        <f>J41*168.00</f>
        <v>0</v>
      </c>
      <c r="L41" s="5"/>
    </row>
    <row r="42" spans="1:12" customHeight="1" ht="105" outlineLevel="4">
      <c r="A42" s="1"/>
      <c r="B42" s="1">
        <v>811247</v>
      </c>
      <c r="C42" s="1" t="s">
        <v>163</v>
      </c>
      <c r="D42" s="1" t="s">
        <v>164</v>
      </c>
      <c r="E42" s="2" t="s">
        <v>165</v>
      </c>
      <c r="F42" s="2" t="s">
        <v>96</v>
      </c>
      <c r="G42" s="2" t="s">
        <v>17</v>
      </c>
      <c r="H42" s="2" t="s">
        <v>54</v>
      </c>
      <c r="I42" s="1">
        <v>0</v>
      </c>
      <c r="J42" s="3" t="s">
        <v>19</v>
      </c>
      <c r="K42" s="2" t="str">
        <f>J42*280.00</f>
        <v>0</v>
      </c>
      <c r="L42" s="5"/>
    </row>
    <row r="43" spans="1:12" customHeight="1" ht="105" outlineLevel="4">
      <c r="A43" s="1"/>
      <c r="B43" s="1">
        <v>811248</v>
      </c>
      <c r="C43" s="1" t="s">
        <v>166</v>
      </c>
      <c r="D43" s="1" t="s">
        <v>167</v>
      </c>
      <c r="E43" s="2" t="s">
        <v>168</v>
      </c>
      <c r="F43" s="2" t="s">
        <v>16</v>
      </c>
      <c r="G43" s="2" t="s">
        <v>17</v>
      </c>
      <c r="H43" s="2" t="s">
        <v>18</v>
      </c>
      <c r="I43" s="1">
        <v>0</v>
      </c>
      <c r="J43" s="3" t="s">
        <v>19</v>
      </c>
      <c r="K43" s="2" t="str">
        <f>J43*117.00</f>
        <v>0</v>
      </c>
      <c r="L43" s="5"/>
    </row>
    <row r="44" spans="1:12" customHeight="1" ht="105" outlineLevel="4">
      <c r="A44" s="1"/>
      <c r="B44" s="1">
        <v>811249</v>
      </c>
      <c r="C44" s="1" t="s">
        <v>169</v>
      </c>
      <c r="D44" s="1" t="s">
        <v>170</v>
      </c>
      <c r="E44" s="2" t="s">
        <v>171</v>
      </c>
      <c r="F44" s="2" t="s">
        <v>23</v>
      </c>
      <c r="G44" s="2" t="s">
        <v>28</v>
      </c>
      <c r="H44" s="2">
        <v>0</v>
      </c>
      <c r="I44" s="1">
        <v>0</v>
      </c>
      <c r="J44" s="3" t="s">
        <v>19</v>
      </c>
      <c r="K44" s="2" t="str">
        <f>J44*182.00</f>
        <v>0</v>
      </c>
      <c r="L44" s="5"/>
    </row>
    <row r="45" spans="1:12" customHeight="1" ht="105" outlineLevel="4">
      <c r="A45" s="1"/>
      <c r="B45" s="1">
        <v>811250</v>
      </c>
      <c r="C45" s="1" t="s">
        <v>172</v>
      </c>
      <c r="D45" s="1" t="s">
        <v>173</v>
      </c>
      <c r="E45" s="2" t="s">
        <v>174</v>
      </c>
      <c r="F45" s="2" t="s">
        <v>27</v>
      </c>
      <c r="G45" s="2" t="s">
        <v>28</v>
      </c>
      <c r="H45" s="2" t="s">
        <v>18</v>
      </c>
      <c r="I45" s="1">
        <v>0</v>
      </c>
      <c r="J45" s="3" t="s">
        <v>19</v>
      </c>
      <c r="K45" s="2" t="str">
        <f>J45*298.00</f>
        <v>0</v>
      </c>
      <c r="L45" s="5"/>
    </row>
    <row r="46" spans="1:12" customHeight="1" ht="105" outlineLevel="4">
      <c r="A46" s="1"/>
      <c r="B46" s="1">
        <v>836285</v>
      </c>
      <c r="C46" s="1" t="s">
        <v>175</v>
      </c>
      <c r="D46" s="1" t="s">
        <v>176</v>
      </c>
      <c r="E46" s="2" t="s">
        <v>177</v>
      </c>
      <c r="F46" s="2" t="s">
        <v>178</v>
      </c>
      <c r="G46" s="2">
        <v>0</v>
      </c>
      <c r="H46" s="2" t="s">
        <v>17</v>
      </c>
      <c r="I46" s="1">
        <v>0</v>
      </c>
      <c r="J46" s="3" t="s">
        <v>19</v>
      </c>
      <c r="K46" s="2" t="str">
        <f>J46*2446.00</f>
        <v>0</v>
      </c>
      <c r="L46" s="5"/>
    </row>
    <row r="47" spans="1:12" outlineLevel="2">
      <c r="A47" s="8" t="s">
        <v>179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878996</v>
      </c>
      <c r="C48" s="1" t="s">
        <v>180</v>
      </c>
      <c r="D48" s="1" t="s">
        <v>181</v>
      </c>
      <c r="E48" s="2" t="s">
        <v>182</v>
      </c>
      <c r="F48" s="2" t="s">
        <v>183</v>
      </c>
      <c r="G48" s="2" t="s">
        <v>17</v>
      </c>
      <c r="H48" s="2">
        <v>0</v>
      </c>
      <c r="I48" s="1">
        <v>0</v>
      </c>
      <c r="J48" s="3" t="s">
        <v>19</v>
      </c>
      <c r="K48" s="2" t="str">
        <f>J48*99.66</f>
        <v>0</v>
      </c>
      <c r="L48" s="5"/>
    </row>
    <row r="49" spans="1:12" customHeight="1" ht="105" outlineLevel="4">
      <c r="A49" s="1"/>
      <c r="B49" s="1">
        <v>878997</v>
      </c>
      <c r="C49" s="1" t="s">
        <v>184</v>
      </c>
      <c r="D49" s="1" t="s">
        <v>185</v>
      </c>
      <c r="E49" s="2" t="s">
        <v>186</v>
      </c>
      <c r="F49" s="2" t="s">
        <v>187</v>
      </c>
      <c r="G49" s="2" t="s">
        <v>28</v>
      </c>
      <c r="H49" s="2">
        <v>0</v>
      </c>
      <c r="I49" s="1">
        <v>0</v>
      </c>
      <c r="J49" s="3" t="s">
        <v>19</v>
      </c>
      <c r="K49" s="2" t="str">
        <f>J49*130.90</f>
        <v>0</v>
      </c>
      <c r="L49" s="5"/>
    </row>
    <row r="50" spans="1:12" customHeight="1" ht="105" outlineLevel="4">
      <c r="A50" s="1"/>
      <c r="B50" s="1">
        <v>878998</v>
      </c>
      <c r="C50" s="1" t="s">
        <v>188</v>
      </c>
      <c r="D50" s="1" t="s">
        <v>189</v>
      </c>
      <c r="E50" s="2" t="s">
        <v>190</v>
      </c>
      <c r="F50" s="2" t="s">
        <v>191</v>
      </c>
      <c r="G50" s="2" t="s">
        <v>28</v>
      </c>
      <c r="H50" s="2">
        <v>0</v>
      </c>
      <c r="I50" s="1">
        <v>0</v>
      </c>
      <c r="J50" s="3" t="s">
        <v>19</v>
      </c>
      <c r="K50" s="2" t="str">
        <f>J50*200.81</f>
        <v>0</v>
      </c>
      <c r="L50" s="5"/>
    </row>
    <row r="51" spans="1:12" customHeight="1" ht="105" outlineLevel="4">
      <c r="A51" s="1"/>
      <c r="B51" s="1">
        <v>878999</v>
      </c>
      <c r="C51" s="1" t="s">
        <v>192</v>
      </c>
      <c r="D51" s="1" t="s">
        <v>193</v>
      </c>
      <c r="E51" s="2" t="s">
        <v>194</v>
      </c>
      <c r="F51" s="2" t="s">
        <v>195</v>
      </c>
      <c r="G51" s="2">
        <v>0</v>
      </c>
      <c r="H51" s="2">
        <v>0</v>
      </c>
      <c r="I51" s="1">
        <v>0</v>
      </c>
      <c r="J51" s="3" t="s">
        <v>19</v>
      </c>
      <c r="K51" s="2" t="str">
        <f>J51*316.84</f>
        <v>0</v>
      </c>
      <c r="L51" s="5"/>
    </row>
    <row r="52" spans="1:12" customHeight="1" ht="105" outlineLevel="4">
      <c r="A52" s="1"/>
      <c r="B52" s="1">
        <v>879000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0</v>
      </c>
      <c r="H52" s="2">
        <v>0</v>
      </c>
      <c r="I52" s="1">
        <v>0</v>
      </c>
      <c r="J52" s="3" t="s">
        <v>19</v>
      </c>
      <c r="K52" s="2" t="str">
        <f>J52*520.63</f>
        <v>0</v>
      </c>
      <c r="L52" s="5"/>
    </row>
    <row r="53" spans="1:12" customHeight="1" ht="105" outlineLevel="4">
      <c r="A53" s="1"/>
      <c r="B53" s="1">
        <v>879001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19</v>
      </c>
      <c r="K53" s="2" t="str">
        <f>J53*783.91</f>
        <v>0</v>
      </c>
      <c r="L53" s="5"/>
    </row>
    <row r="54" spans="1:12" customHeight="1" ht="105" outlineLevel="4">
      <c r="A54" s="1"/>
      <c r="B54" s="1">
        <v>879002</v>
      </c>
      <c r="C54" s="1" t="s">
        <v>204</v>
      </c>
      <c r="D54" s="1" t="s">
        <v>205</v>
      </c>
      <c r="E54" s="2" t="s">
        <v>206</v>
      </c>
      <c r="F54" s="2" t="s">
        <v>183</v>
      </c>
      <c r="G54" s="2">
        <v>0</v>
      </c>
      <c r="H54" s="2">
        <v>0</v>
      </c>
      <c r="I54" s="1">
        <v>0</v>
      </c>
      <c r="J54" s="3" t="s">
        <v>19</v>
      </c>
      <c r="K54" s="2" t="str">
        <f>J54*99.66</f>
        <v>0</v>
      </c>
      <c r="L54" s="5"/>
    </row>
    <row r="55" spans="1:12" customHeight="1" ht="105" outlineLevel="4">
      <c r="A55" s="1"/>
      <c r="B55" s="1">
        <v>879003</v>
      </c>
      <c r="C55" s="1" t="s">
        <v>207</v>
      </c>
      <c r="D55" s="1" t="s">
        <v>208</v>
      </c>
      <c r="E55" s="2" t="s">
        <v>209</v>
      </c>
      <c r="F55" s="2" t="s">
        <v>210</v>
      </c>
      <c r="G55" s="2">
        <v>0</v>
      </c>
      <c r="H55" s="2">
        <v>0</v>
      </c>
      <c r="I55" s="1">
        <v>0</v>
      </c>
      <c r="J55" s="3" t="s">
        <v>19</v>
      </c>
      <c r="K55" s="2" t="str">
        <f>J55*156.19</f>
        <v>0</v>
      </c>
      <c r="L55" s="5"/>
    </row>
    <row r="56" spans="1:12" customHeight="1" ht="105" outlineLevel="4">
      <c r="A56" s="1"/>
      <c r="B56" s="1">
        <v>879004</v>
      </c>
      <c r="C56" s="1" t="s">
        <v>211</v>
      </c>
      <c r="D56" s="1" t="s">
        <v>212</v>
      </c>
      <c r="E56" s="2" t="s">
        <v>213</v>
      </c>
      <c r="F56" s="2" t="s">
        <v>214</v>
      </c>
      <c r="G56" s="2">
        <v>0</v>
      </c>
      <c r="H56" s="2">
        <v>0</v>
      </c>
      <c r="I56" s="1">
        <v>0</v>
      </c>
      <c r="J56" s="3" t="s">
        <v>19</v>
      </c>
      <c r="K56" s="2" t="str">
        <f>J56*249.90</f>
        <v>0</v>
      </c>
      <c r="L56" s="5"/>
    </row>
    <row r="57" spans="1:12" customHeight="1" ht="105" outlineLevel="4">
      <c r="A57" s="1"/>
      <c r="B57" s="1">
        <v>879005</v>
      </c>
      <c r="C57" s="1" t="s">
        <v>215</v>
      </c>
      <c r="D57" s="1" t="s">
        <v>216</v>
      </c>
      <c r="E57" s="2" t="s">
        <v>217</v>
      </c>
      <c r="F57" s="2" t="s">
        <v>218</v>
      </c>
      <c r="G57" s="2">
        <v>0</v>
      </c>
      <c r="H57" s="2">
        <v>0</v>
      </c>
      <c r="I57" s="1">
        <v>0</v>
      </c>
      <c r="J57" s="3" t="s">
        <v>19</v>
      </c>
      <c r="K57" s="2" t="str">
        <f>J57*374.85</f>
        <v>0</v>
      </c>
      <c r="L57" s="5"/>
    </row>
    <row r="58" spans="1:12" customHeight="1" ht="105" outlineLevel="4">
      <c r="A58" s="1"/>
      <c r="B58" s="1">
        <v>879006</v>
      </c>
      <c r="C58" s="1" t="s">
        <v>219</v>
      </c>
      <c r="D58" s="1" t="s">
        <v>220</v>
      </c>
      <c r="E58" s="2" t="s">
        <v>221</v>
      </c>
      <c r="F58" s="2" t="s">
        <v>222</v>
      </c>
      <c r="G58" s="2">
        <v>0</v>
      </c>
      <c r="H58" s="2">
        <v>0</v>
      </c>
      <c r="I58" s="1">
        <v>0</v>
      </c>
      <c r="J58" s="3" t="s">
        <v>19</v>
      </c>
      <c r="K58" s="2" t="str">
        <f>J58*769.04</f>
        <v>0</v>
      </c>
      <c r="L58" s="5"/>
    </row>
    <row r="59" spans="1:12" customHeight="1" ht="105" outlineLevel="4">
      <c r="A59" s="1"/>
      <c r="B59" s="1">
        <v>879007</v>
      </c>
      <c r="C59" s="1" t="s">
        <v>223</v>
      </c>
      <c r="D59" s="1" t="s">
        <v>224</v>
      </c>
      <c r="E59" s="2" t="s">
        <v>225</v>
      </c>
      <c r="F59" s="2" t="s">
        <v>226</v>
      </c>
      <c r="G59" s="2">
        <v>0</v>
      </c>
      <c r="H59" s="2">
        <v>0</v>
      </c>
      <c r="I59" s="1">
        <v>0</v>
      </c>
      <c r="J59" s="3" t="s">
        <v>19</v>
      </c>
      <c r="K59" s="2" t="str">
        <f>J59*1035.30</f>
        <v>0</v>
      </c>
      <c r="L59" s="5"/>
    </row>
    <row r="60" spans="1:12" customHeight="1" ht="105" outlineLevel="4">
      <c r="A60" s="1"/>
      <c r="B60" s="1">
        <v>879008</v>
      </c>
      <c r="C60" s="1" t="s">
        <v>227</v>
      </c>
      <c r="D60" s="1" t="s">
        <v>228</v>
      </c>
      <c r="E60" s="2" t="s">
        <v>229</v>
      </c>
      <c r="F60" s="2" t="s">
        <v>230</v>
      </c>
      <c r="G60" s="2">
        <v>0</v>
      </c>
      <c r="H60" s="2">
        <v>0</v>
      </c>
      <c r="I60" s="1">
        <v>0</v>
      </c>
      <c r="J60" s="3" t="s">
        <v>19</v>
      </c>
      <c r="K60" s="2" t="str">
        <f>J60*92.23</f>
        <v>0</v>
      </c>
      <c r="L60" s="5"/>
    </row>
    <row r="61" spans="1:12" customHeight="1" ht="105" outlineLevel="4">
      <c r="A61" s="1"/>
      <c r="B61" s="1">
        <v>879009</v>
      </c>
      <c r="C61" s="1" t="s">
        <v>231</v>
      </c>
      <c r="D61" s="1" t="s">
        <v>232</v>
      </c>
      <c r="E61" s="2" t="s">
        <v>233</v>
      </c>
      <c r="F61" s="2" t="s">
        <v>234</v>
      </c>
      <c r="G61" s="2">
        <v>0</v>
      </c>
      <c r="H61" s="2">
        <v>0</v>
      </c>
      <c r="I61" s="1">
        <v>0</v>
      </c>
      <c r="J61" s="3" t="s">
        <v>19</v>
      </c>
      <c r="K61" s="2" t="str">
        <f>J61*138.34</f>
        <v>0</v>
      </c>
      <c r="L61" s="5"/>
    </row>
    <row r="62" spans="1:12" customHeight="1" ht="105" outlineLevel="4">
      <c r="A62" s="1"/>
      <c r="B62" s="1">
        <v>879010</v>
      </c>
      <c r="C62" s="1" t="s">
        <v>235</v>
      </c>
      <c r="D62" s="1" t="s">
        <v>236</v>
      </c>
      <c r="E62" s="2" t="s">
        <v>237</v>
      </c>
      <c r="F62" s="2" t="s">
        <v>238</v>
      </c>
      <c r="G62" s="2">
        <v>0</v>
      </c>
      <c r="H62" s="2">
        <v>0</v>
      </c>
      <c r="I62" s="1">
        <v>0</v>
      </c>
      <c r="J62" s="3" t="s">
        <v>19</v>
      </c>
      <c r="K62" s="2" t="str">
        <f>J62*224.61</f>
        <v>0</v>
      </c>
      <c r="L62" s="5"/>
    </row>
    <row r="63" spans="1:12" customHeight="1" ht="105" outlineLevel="4">
      <c r="A63" s="1"/>
      <c r="B63" s="1">
        <v>879011</v>
      </c>
      <c r="C63" s="1" t="s">
        <v>239</v>
      </c>
      <c r="D63" s="1" t="s">
        <v>240</v>
      </c>
      <c r="E63" s="2" t="s">
        <v>241</v>
      </c>
      <c r="F63" s="2" t="s">
        <v>242</v>
      </c>
      <c r="G63" s="2">
        <v>0</v>
      </c>
      <c r="H63" s="2">
        <v>0</v>
      </c>
      <c r="I63" s="1">
        <v>0</v>
      </c>
      <c r="J63" s="3" t="s">
        <v>19</v>
      </c>
      <c r="K63" s="2" t="str">
        <f>J63*349.56</f>
        <v>0</v>
      </c>
      <c r="L63" s="5"/>
    </row>
    <row r="64" spans="1:12" customHeight="1" ht="105" outlineLevel="4">
      <c r="A64" s="1"/>
      <c r="B64" s="1">
        <v>879012</v>
      </c>
      <c r="C64" s="1" t="s">
        <v>243</v>
      </c>
      <c r="D64" s="1" t="s">
        <v>244</v>
      </c>
      <c r="E64" s="2" t="s">
        <v>245</v>
      </c>
      <c r="F64" s="2" t="s">
        <v>246</v>
      </c>
      <c r="G64" s="2">
        <v>0</v>
      </c>
      <c r="H64" s="2">
        <v>0</v>
      </c>
      <c r="I64" s="1">
        <v>0</v>
      </c>
      <c r="J64" s="3" t="s">
        <v>19</v>
      </c>
      <c r="K64" s="2" t="str">
        <f>J64*450.71</f>
        <v>0</v>
      </c>
      <c r="L64" s="5"/>
    </row>
    <row r="65" spans="1:12" customHeight="1" ht="105" outlineLevel="4">
      <c r="A65" s="1"/>
      <c r="B65" s="1">
        <v>879013</v>
      </c>
      <c r="C65" s="1" t="s">
        <v>247</v>
      </c>
      <c r="D65" s="1" t="s">
        <v>248</v>
      </c>
      <c r="E65" s="2" t="s">
        <v>249</v>
      </c>
      <c r="F65" s="2" t="s">
        <v>250</v>
      </c>
      <c r="G65" s="2">
        <v>0</v>
      </c>
      <c r="H65" s="2">
        <v>0</v>
      </c>
      <c r="I65" s="1">
        <v>0</v>
      </c>
      <c r="J65" s="3" t="s">
        <v>19</v>
      </c>
      <c r="K65" s="2" t="str">
        <f>J65*104.13</f>
        <v>0</v>
      </c>
      <c r="L65" s="5"/>
    </row>
    <row r="66" spans="1:12" customHeight="1" ht="105" outlineLevel="4">
      <c r="A66" s="1"/>
      <c r="B66" s="1">
        <v>879014</v>
      </c>
      <c r="C66" s="1" t="s">
        <v>251</v>
      </c>
      <c r="D66" s="1" t="s">
        <v>252</v>
      </c>
      <c r="E66" s="2" t="s">
        <v>253</v>
      </c>
      <c r="F66" s="2" t="s">
        <v>254</v>
      </c>
      <c r="G66" s="2">
        <v>0</v>
      </c>
      <c r="H66" s="2">
        <v>0</v>
      </c>
      <c r="I66" s="1">
        <v>0</v>
      </c>
      <c r="J66" s="3" t="s">
        <v>19</v>
      </c>
      <c r="K66" s="2" t="str">
        <f>J66*162.14</f>
        <v>0</v>
      </c>
      <c r="L66" s="5"/>
    </row>
    <row r="67" spans="1:12" customHeight="1" ht="105" outlineLevel="4">
      <c r="A67" s="1"/>
      <c r="B67" s="1">
        <v>879015</v>
      </c>
      <c r="C67" s="1" t="s">
        <v>255</v>
      </c>
      <c r="D67" s="1" t="s">
        <v>256</v>
      </c>
      <c r="E67" s="2" t="s">
        <v>257</v>
      </c>
      <c r="F67" s="2" t="s">
        <v>238</v>
      </c>
      <c r="G67" s="2">
        <v>0</v>
      </c>
      <c r="H67" s="2">
        <v>0</v>
      </c>
      <c r="I67" s="1">
        <v>0</v>
      </c>
      <c r="J67" s="3" t="s">
        <v>19</v>
      </c>
      <c r="K67" s="2" t="str">
        <f>J67*224.61</f>
        <v>0</v>
      </c>
      <c r="L67" s="5"/>
    </row>
    <row r="68" spans="1:12" customHeight="1" ht="105" outlineLevel="4">
      <c r="A68" s="1"/>
      <c r="B68" s="1">
        <v>879016</v>
      </c>
      <c r="C68" s="1" t="s">
        <v>258</v>
      </c>
      <c r="D68" s="1" t="s">
        <v>259</v>
      </c>
      <c r="E68" s="2" t="s">
        <v>260</v>
      </c>
      <c r="F68" s="2" t="s">
        <v>261</v>
      </c>
      <c r="G68" s="2">
        <v>0</v>
      </c>
      <c r="H68" s="2">
        <v>0</v>
      </c>
      <c r="I68" s="1">
        <v>0</v>
      </c>
      <c r="J68" s="3" t="s">
        <v>19</v>
      </c>
      <c r="K68" s="2" t="str">
        <f>J68*342.13</f>
        <v>0</v>
      </c>
      <c r="L68" s="5"/>
    </row>
    <row r="69" spans="1:12" customHeight="1" ht="105" outlineLevel="4">
      <c r="A69" s="1"/>
      <c r="B69" s="1">
        <v>879017</v>
      </c>
      <c r="C69" s="1" t="s">
        <v>262</v>
      </c>
      <c r="D69" s="1" t="s">
        <v>263</v>
      </c>
      <c r="E69" s="2" t="s">
        <v>264</v>
      </c>
      <c r="F69" s="2" t="s">
        <v>265</v>
      </c>
      <c r="G69" s="2">
        <v>0</v>
      </c>
      <c r="H69" s="2">
        <v>0</v>
      </c>
      <c r="I69" s="1">
        <v>0</v>
      </c>
      <c r="J69" s="3" t="s">
        <v>19</v>
      </c>
      <c r="K69" s="2" t="str">
        <f>J69*566.74</f>
        <v>0</v>
      </c>
      <c r="L69" s="5"/>
    </row>
    <row r="70" spans="1:12" outlineLevel="1">
      <c r="A70" s="7" t="s">
        <v>266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5"/>
    </row>
    <row r="71" spans="1:12" outlineLevel="2">
      <c r="A71" s="8" t="s">
        <v>267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878694</v>
      </c>
      <c r="C72" s="1" t="s">
        <v>268</v>
      </c>
      <c r="D72" s="1"/>
      <c r="E72" s="2" t="s">
        <v>269</v>
      </c>
      <c r="F72" s="2" t="s">
        <v>270</v>
      </c>
      <c r="G72" s="2">
        <v>0</v>
      </c>
      <c r="H72" s="2">
        <v>0</v>
      </c>
      <c r="I72" s="1">
        <v>0</v>
      </c>
      <c r="J72" s="3" t="s">
        <v>271</v>
      </c>
      <c r="K72" s="2" t="str">
        <f>J72*10.00</f>
        <v>0</v>
      </c>
      <c r="L72" s="5"/>
    </row>
    <row r="73" spans="1:12" customHeight="1" ht="105" outlineLevel="4">
      <c r="A73" s="1"/>
      <c r="B73" s="1">
        <v>878737</v>
      </c>
      <c r="C73" s="1" t="s">
        <v>272</v>
      </c>
      <c r="D73" s="1"/>
      <c r="E73" s="2" t="s">
        <v>273</v>
      </c>
      <c r="F73" s="2" t="s">
        <v>274</v>
      </c>
      <c r="G73" s="2">
        <v>10</v>
      </c>
      <c r="H73" s="2">
        <v>0</v>
      </c>
      <c r="I73" s="1">
        <v>0</v>
      </c>
      <c r="J73" s="3" t="s">
        <v>271</v>
      </c>
      <c r="K73" s="2" t="str">
        <f>J73*20.00</f>
        <v>0</v>
      </c>
      <c r="L73" s="5"/>
    </row>
    <row r="74" spans="1:12" outlineLevel="2">
      <c r="A74" s="8" t="s">
        <v>275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5"/>
    </row>
    <row r="75" spans="1:12" customHeight="1" ht="105" outlineLevel="4">
      <c r="A75" s="1"/>
      <c r="B75" s="1">
        <v>818552</v>
      </c>
      <c r="C75" s="1" t="s">
        <v>276</v>
      </c>
      <c r="D75" s="1" t="s">
        <v>277</v>
      </c>
      <c r="E75" s="2" t="s">
        <v>278</v>
      </c>
      <c r="F75" s="2" t="s">
        <v>279</v>
      </c>
      <c r="G75" s="2" t="s">
        <v>18</v>
      </c>
      <c r="H75" s="2" t="s">
        <v>54</v>
      </c>
      <c r="I75" s="1">
        <v>0</v>
      </c>
      <c r="J75" s="3" t="s">
        <v>271</v>
      </c>
      <c r="K75" s="2" t="str">
        <f>J75*162.00</f>
        <v>0</v>
      </c>
      <c r="L75" s="5"/>
    </row>
    <row r="76" spans="1:12" customHeight="1" ht="105" outlineLevel="4">
      <c r="A76" s="1"/>
      <c r="B76" s="1">
        <v>818553</v>
      </c>
      <c r="C76" s="1" t="s">
        <v>280</v>
      </c>
      <c r="D76" s="1" t="s">
        <v>281</v>
      </c>
      <c r="E76" s="2" t="s">
        <v>282</v>
      </c>
      <c r="F76" s="2" t="s">
        <v>283</v>
      </c>
      <c r="G76" s="2" t="s">
        <v>28</v>
      </c>
      <c r="H76" s="2" t="s">
        <v>18</v>
      </c>
      <c r="I76" s="1">
        <v>0</v>
      </c>
      <c r="J76" s="3" t="s">
        <v>271</v>
      </c>
      <c r="K76" s="2" t="str">
        <f>J76*211.00</f>
        <v>0</v>
      </c>
      <c r="L76" s="5"/>
    </row>
    <row r="77" spans="1:12" customHeight="1" ht="105" outlineLevel="4">
      <c r="A77" s="1"/>
      <c r="B77" s="1">
        <v>818554</v>
      </c>
      <c r="C77" s="1" t="s">
        <v>284</v>
      </c>
      <c r="D77" s="1" t="s">
        <v>285</v>
      </c>
      <c r="E77" s="2" t="s">
        <v>286</v>
      </c>
      <c r="F77" s="2" t="s">
        <v>287</v>
      </c>
      <c r="G77" s="2" t="s">
        <v>17</v>
      </c>
      <c r="H77" s="2" t="s">
        <v>54</v>
      </c>
      <c r="I77" s="1">
        <v>0</v>
      </c>
      <c r="J77" s="3" t="s">
        <v>271</v>
      </c>
      <c r="K77" s="2" t="str">
        <f>J77*166.00</f>
        <v>0</v>
      </c>
      <c r="L77" s="5"/>
    </row>
    <row r="78" spans="1:12" customHeight="1" ht="105" outlineLevel="4">
      <c r="A78" s="1"/>
      <c r="B78" s="1">
        <v>818555</v>
      </c>
      <c r="C78" s="1" t="s">
        <v>288</v>
      </c>
      <c r="D78" s="1" t="s">
        <v>289</v>
      </c>
      <c r="E78" s="2" t="s">
        <v>290</v>
      </c>
      <c r="F78" s="2" t="s">
        <v>291</v>
      </c>
      <c r="G78" s="2" t="s">
        <v>17</v>
      </c>
      <c r="H78" s="2" t="s">
        <v>54</v>
      </c>
      <c r="I78" s="1">
        <v>0</v>
      </c>
      <c r="J78" s="3" t="s">
        <v>271</v>
      </c>
      <c r="K78" s="2" t="str">
        <f>J78*246.00</f>
        <v>0</v>
      </c>
      <c r="L78" s="5"/>
    </row>
    <row r="79" spans="1:12" customHeight="1" ht="105" outlineLevel="4">
      <c r="A79" s="1"/>
      <c r="B79" s="1">
        <v>818556</v>
      </c>
      <c r="C79" s="1" t="s">
        <v>292</v>
      </c>
      <c r="D79" s="1" t="s">
        <v>293</v>
      </c>
      <c r="E79" s="2" t="s">
        <v>294</v>
      </c>
      <c r="F79" s="2" t="s">
        <v>295</v>
      </c>
      <c r="G79" s="2" t="s">
        <v>17</v>
      </c>
      <c r="H79" s="2" t="s">
        <v>37</v>
      </c>
      <c r="I79" s="1">
        <v>0</v>
      </c>
      <c r="J79" s="3" t="s">
        <v>271</v>
      </c>
      <c r="K79" s="2" t="str">
        <f>J79*191.00</f>
        <v>0</v>
      </c>
      <c r="L79" s="5"/>
    </row>
    <row r="80" spans="1:12" customHeight="1" ht="105" outlineLevel="4">
      <c r="A80" s="1"/>
      <c r="B80" s="1">
        <v>818557</v>
      </c>
      <c r="C80" s="1" t="s">
        <v>296</v>
      </c>
      <c r="D80" s="1" t="s">
        <v>297</v>
      </c>
      <c r="E80" s="2" t="s">
        <v>298</v>
      </c>
      <c r="F80" s="2" t="s">
        <v>299</v>
      </c>
      <c r="G80" s="2" t="s">
        <v>28</v>
      </c>
      <c r="H80" s="2" t="s">
        <v>18</v>
      </c>
      <c r="I80" s="1">
        <v>0</v>
      </c>
      <c r="J80" s="3" t="s">
        <v>271</v>
      </c>
      <c r="K80" s="2" t="str">
        <f>J80*262.00</f>
        <v>0</v>
      </c>
      <c r="L80" s="5"/>
    </row>
    <row r="81" spans="1:12" customHeight="1" ht="105" outlineLevel="4">
      <c r="A81" s="1"/>
      <c r="B81" s="1">
        <v>818558</v>
      </c>
      <c r="C81" s="1" t="s">
        <v>300</v>
      </c>
      <c r="D81" s="1" t="s">
        <v>301</v>
      </c>
      <c r="E81" s="2" t="s">
        <v>302</v>
      </c>
      <c r="F81" s="2" t="s">
        <v>303</v>
      </c>
      <c r="G81" s="2" t="s">
        <v>84</v>
      </c>
      <c r="H81" s="2" t="s">
        <v>54</v>
      </c>
      <c r="I81" s="1">
        <v>0</v>
      </c>
      <c r="J81" s="3" t="s">
        <v>271</v>
      </c>
      <c r="K81" s="2" t="str">
        <f>J81*423.00</f>
        <v>0</v>
      </c>
      <c r="L81" s="5"/>
    </row>
    <row r="82" spans="1:12" customHeight="1" ht="105" outlineLevel="4">
      <c r="A82" s="1"/>
      <c r="B82" s="1">
        <v>818559</v>
      </c>
      <c r="C82" s="1" t="s">
        <v>304</v>
      </c>
      <c r="D82" s="1" t="s">
        <v>305</v>
      </c>
      <c r="E82" s="2" t="s">
        <v>306</v>
      </c>
      <c r="F82" s="2" t="s">
        <v>16</v>
      </c>
      <c r="G82" s="2" t="s">
        <v>37</v>
      </c>
      <c r="H82" s="2" t="s">
        <v>54</v>
      </c>
      <c r="I82" s="1">
        <v>0</v>
      </c>
      <c r="J82" s="3" t="s">
        <v>271</v>
      </c>
      <c r="K82" s="2" t="str">
        <f>J82*117.00</f>
        <v>0</v>
      </c>
      <c r="L82" s="5"/>
    </row>
    <row r="83" spans="1:12" customHeight="1" ht="105" outlineLevel="4">
      <c r="A83" s="1"/>
      <c r="B83" s="1">
        <v>818560</v>
      </c>
      <c r="C83" s="1" t="s">
        <v>307</v>
      </c>
      <c r="D83" s="1" t="s">
        <v>308</v>
      </c>
      <c r="E83" s="2" t="s">
        <v>309</v>
      </c>
      <c r="F83" s="2" t="s">
        <v>310</v>
      </c>
      <c r="G83" s="2" t="s">
        <v>17</v>
      </c>
      <c r="H83" s="2" t="s">
        <v>18</v>
      </c>
      <c r="I83" s="1">
        <v>0</v>
      </c>
      <c r="J83" s="3" t="s">
        <v>271</v>
      </c>
      <c r="K83" s="2" t="str">
        <f>J83*167.00</f>
        <v>0</v>
      </c>
      <c r="L83" s="5"/>
    </row>
    <row r="84" spans="1:12" customHeight="1" ht="105" outlineLevel="4">
      <c r="A84" s="1"/>
      <c r="B84" s="1">
        <v>818561</v>
      </c>
      <c r="C84" s="1" t="s">
        <v>311</v>
      </c>
      <c r="D84" s="1" t="s">
        <v>312</v>
      </c>
      <c r="E84" s="2" t="s">
        <v>313</v>
      </c>
      <c r="F84" s="2" t="s">
        <v>314</v>
      </c>
      <c r="G84" s="2" t="s">
        <v>28</v>
      </c>
      <c r="H84" s="2" t="s">
        <v>18</v>
      </c>
      <c r="I84" s="1">
        <v>0</v>
      </c>
      <c r="J84" s="3" t="s">
        <v>271</v>
      </c>
      <c r="K84" s="2" t="str">
        <f>J84*123.00</f>
        <v>0</v>
      </c>
      <c r="L84" s="5"/>
    </row>
    <row r="85" spans="1:12" customHeight="1" ht="105" outlineLevel="4">
      <c r="A85" s="1"/>
      <c r="B85" s="1">
        <v>818562</v>
      </c>
      <c r="C85" s="1" t="s">
        <v>315</v>
      </c>
      <c r="D85" s="1" t="s">
        <v>316</v>
      </c>
      <c r="E85" s="2" t="s">
        <v>317</v>
      </c>
      <c r="F85" s="2" t="s">
        <v>23</v>
      </c>
      <c r="G85" s="2" t="s">
        <v>17</v>
      </c>
      <c r="H85" s="2" t="s">
        <v>54</v>
      </c>
      <c r="I85" s="1">
        <v>0</v>
      </c>
      <c r="J85" s="3" t="s">
        <v>271</v>
      </c>
      <c r="K85" s="2" t="str">
        <f>J85*182.00</f>
        <v>0</v>
      </c>
      <c r="L85" s="5"/>
    </row>
    <row r="86" spans="1:12" customHeight="1" ht="105" outlineLevel="4">
      <c r="A86" s="1"/>
      <c r="B86" s="1">
        <v>818563</v>
      </c>
      <c r="C86" s="1" t="s">
        <v>318</v>
      </c>
      <c r="D86" s="1" t="s">
        <v>319</v>
      </c>
      <c r="E86" s="2" t="s">
        <v>320</v>
      </c>
      <c r="F86" s="2" t="s">
        <v>321</v>
      </c>
      <c r="G86" s="2" t="s">
        <v>17</v>
      </c>
      <c r="H86" s="2" t="s">
        <v>37</v>
      </c>
      <c r="I86" s="1">
        <v>0</v>
      </c>
      <c r="J86" s="3" t="s">
        <v>271</v>
      </c>
      <c r="K86" s="2" t="str">
        <f>J86*159.00</f>
        <v>0</v>
      </c>
      <c r="L86" s="5"/>
    </row>
    <row r="87" spans="1:12" customHeight="1" ht="105" outlineLevel="4">
      <c r="A87" s="1"/>
      <c r="B87" s="1">
        <v>818564</v>
      </c>
      <c r="C87" s="1" t="s">
        <v>322</v>
      </c>
      <c r="D87" s="1" t="s">
        <v>323</v>
      </c>
      <c r="E87" s="2" t="s">
        <v>324</v>
      </c>
      <c r="F87" s="2" t="s">
        <v>325</v>
      </c>
      <c r="G87" s="2" t="s">
        <v>84</v>
      </c>
      <c r="H87" s="2" t="s">
        <v>18</v>
      </c>
      <c r="I87" s="1">
        <v>0</v>
      </c>
      <c r="J87" s="3" t="s">
        <v>271</v>
      </c>
      <c r="K87" s="2" t="str">
        <f>J87*187.00</f>
        <v>0</v>
      </c>
      <c r="L87" s="5"/>
    </row>
    <row r="88" spans="1:12" customHeight="1" ht="105" outlineLevel="4">
      <c r="A88" s="1"/>
      <c r="B88" s="1">
        <v>818565</v>
      </c>
      <c r="C88" s="1" t="s">
        <v>326</v>
      </c>
      <c r="D88" s="1" t="s">
        <v>327</v>
      </c>
      <c r="E88" s="2" t="s">
        <v>328</v>
      </c>
      <c r="F88" s="2" t="s">
        <v>27</v>
      </c>
      <c r="G88" s="2" t="s">
        <v>28</v>
      </c>
      <c r="H88" s="2" t="s">
        <v>18</v>
      </c>
      <c r="I88" s="1">
        <v>0</v>
      </c>
      <c r="J88" s="3" t="s">
        <v>271</v>
      </c>
      <c r="K88" s="2" t="str">
        <f>J88*298.00</f>
        <v>0</v>
      </c>
      <c r="L88" s="5"/>
    </row>
    <row r="89" spans="1:12" customHeight="1" ht="105" outlineLevel="4">
      <c r="A89" s="1"/>
      <c r="B89" s="1">
        <v>818566</v>
      </c>
      <c r="C89" s="1" t="s">
        <v>329</v>
      </c>
      <c r="D89" s="1" t="s">
        <v>330</v>
      </c>
      <c r="E89" s="2" t="s">
        <v>331</v>
      </c>
      <c r="F89" s="2" t="s">
        <v>332</v>
      </c>
      <c r="G89" s="2" t="s">
        <v>18</v>
      </c>
      <c r="H89" s="2" t="s">
        <v>54</v>
      </c>
      <c r="I89" s="1">
        <v>0</v>
      </c>
      <c r="J89" s="3" t="s">
        <v>271</v>
      </c>
      <c r="K89" s="2" t="str">
        <f>J89*12.00</f>
        <v>0</v>
      </c>
      <c r="L89" s="5"/>
    </row>
    <row r="90" spans="1:12" customHeight="1" ht="105" outlineLevel="4">
      <c r="A90" s="1"/>
      <c r="B90" s="1">
        <v>818567</v>
      </c>
      <c r="C90" s="1" t="s">
        <v>333</v>
      </c>
      <c r="D90" s="1" t="s">
        <v>334</v>
      </c>
      <c r="E90" s="2" t="s">
        <v>335</v>
      </c>
      <c r="F90" s="2" t="s">
        <v>336</v>
      </c>
      <c r="G90" s="2" t="s">
        <v>37</v>
      </c>
      <c r="H90" s="2" t="s">
        <v>54</v>
      </c>
      <c r="I90" s="1">
        <v>0</v>
      </c>
      <c r="J90" s="3" t="s">
        <v>271</v>
      </c>
      <c r="K90" s="2" t="str">
        <f>J90*15.00</f>
        <v>0</v>
      </c>
      <c r="L90" s="5"/>
    </row>
    <row r="91" spans="1:12" customHeight="1" ht="105" outlineLevel="4">
      <c r="A91" s="1"/>
      <c r="B91" s="1">
        <v>818568</v>
      </c>
      <c r="C91" s="1" t="s">
        <v>337</v>
      </c>
      <c r="D91" s="1" t="s">
        <v>338</v>
      </c>
      <c r="E91" s="2" t="s">
        <v>339</v>
      </c>
      <c r="F91" s="2" t="s">
        <v>340</v>
      </c>
      <c r="G91" s="2" t="s">
        <v>37</v>
      </c>
      <c r="H91" s="2" t="s">
        <v>54</v>
      </c>
      <c r="I91" s="1">
        <v>0</v>
      </c>
      <c r="J91" s="3" t="s">
        <v>271</v>
      </c>
      <c r="K91" s="2" t="str">
        <f>J91*24.00</f>
        <v>0</v>
      </c>
      <c r="L91" s="5"/>
    </row>
    <row r="92" spans="1:12" customHeight="1" ht="105" outlineLevel="4">
      <c r="A92" s="1"/>
      <c r="B92" s="1">
        <v>818569</v>
      </c>
      <c r="C92" s="1" t="s">
        <v>341</v>
      </c>
      <c r="D92" s="1" t="s">
        <v>342</v>
      </c>
      <c r="E92" s="2" t="s">
        <v>343</v>
      </c>
      <c r="F92" s="2" t="s">
        <v>344</v>
      </c>
      <c r="G92" s="2" t="s">
        <v>84</v>
      </c>
      <c r="H92" s="2" t="s">
        <v>54</v>
      </c>
      <c r="I92" s="1">
        <v>0</v>
      </c>
      <c r="J92" s="3" t="s">
        <v>271</v>
      </c>
      <c r="K92" s="2" t="str">
        <f>J92*43.00</f>
        <v>0</v>
      </c>
      <c r="L92" s="5"/>
    </row>
    <row r="93" spans="1:12" customHeight="1" ht="105" outlineLevel="4">
      <c r="A93" s="1"/>
      <c r="B93" s="1">
        <v>818570</v>
      </c>
      <c r="C93" s="1" t="s">
        <v>345</v>
      </c>
      <c r="D93" s="1" t="s">
        <v>346</v>
      </c>
      <c r="E93" s="2" t="s">
        <v>347</v>
      </c>
      <c r="F93" s="2" t="s">
        <v>348</v>
      </c>
      <c r="G93" s="2" t="s">
        <v>84</v>
      </c>
      <c r="H93" s="2" t="s">
        <v>18</v>
      </c>
      <c r="I93" s="1">
        <v>0</v>
      </c>
      <c r="J93" s="3" t="s">
        <v>271</v>
      </c>
      <c r="K93" s="2" t="str">
        <f>J93*71.00</f>
        <v>0</v>
      </c>
      <c r="L93" s="5"/>
    </row>
    <row r="94" spans="1:12" customHeight="1" ht="105" outlineLevel="4">
      <c r="A94" s="1"/>
      <c r="B94" s="1">
        <v>818571</v>
      </c>
      <c r="C94" s="1" t="s">
        <v>349</v>
      </c>
      <c r="D94" s="1" t="s">
        <v>350</v>
      </c>
      <c r="E94" s="2" t="s">
        <v>351</v>
      </c>
      <c r="F94" s="2" t="s">
        <v>352</v>
      </c>
      <c r="G94" s="2">
        <v>0</v>
      </c>
      <c r="H94" s="2" t="s">
        <v>18</v>
      </c>
      <c r="I94" s="1">
        <v>0</v>
      </c>
      <c r="J94" s="3" t="s">
        <v>271</v>
      </c>
      <c r="K94" s="2" t="str">
        <f>J94*140.00</f>
        <v>0</v>
      </c>
      <c r="L94" s="5"/>
    </row>
    <row r="95" spans="1:12" customHeight="1" ht="105" outlineLevel="4">
      <c r="A95" s="1"/>
      <c r="B95" s="1">
        <v>818572</v>
      </c>
      <c r="C95" s="1" t="s">
        <v>353</v>
      </c>
      <c r="D95" s="1" t="s">
        <v>354</v>
      </c>
      <c r="E95" s="2" t="s">
        <v>355</v>
      </c>
      <c r="F95" s="2" t="s">
        <v>356</v>
      </c>
      <c r="G95" s="2">
        <v>-5</v>
      </c>
      <c r="H95" s="2" t="s">
        <v>17</v>
      </c>
      <c r="I95" s="1">
        <v>0</v>
      </c>
      <c r="J95" s="3" t="s">
        <v>271</v>
      </c>
      <c r="K95" s="2" t="str">
        <f>J95*274.00</f>
        <v>0</v>
      </c>
      <c r="L95" s="5"/>
    </row>
    <row r="96" spans="1:12" customHeight="1" ht="105" outlineLevel="4">
      <c r="A96" s="1"/>
      <c r="B96" s="1">
        <v>818573</v>
      </c>
      <c r="C96" s="1" t="s">
        <v>357</v>
      </c>
      <c r="D96" s="1" t="s">
        <v>358</v>
      </c>
      <c r="E96" s="2" t="s">
        <v>359</v>
      </c>
      <c r="F96" s="2" t="s">
        <v>360</v>
      </c>
      <c r="G96" s="2">
        <v>2</v>
      </c>
      <c r="H96" s="2" t="s">
        <v>17</v>
      </c>
      <c r="I96" s="1">
        <v>0</v>
      </c>
      <c r="J96" s="3" t="s">
        <v>271</v>
      </c>
      <c r="K96" s="2" t="str">
        <f>J96*445.00</f>
        <v>0</v>
      </c>
      <c r="L96" s="5"/>
    </row>
    <row r="97" spans="1:12" customHeight="1" ht="105" outlineLevel="4">
      <c r="A97" s="1"/>
      <c r="B97" s="1">
        <v>818574</v>
      </c>
      <c r="C97" s="1" t="s">
        <v>361</v>
      </c>
      <c r="D97" s="1" t="s">
        <v>362</v>
      </c>
      <c r="E97" s="2" t="s">
        <v>363</v>
      </c>
      <c r="F97" s="2" t="s">
        <v>364</v>
      </c>
      <c r="G97" s="2" t="s">
        <v>17</v>
      </c>
      <c r="H97" s="2" t="s">
        <v>18</v>
      </c>
      <c r="I97" s="1">
        <v>0</v>
      </c>
      <c r="J97" s="3" t="s">
        <v>271</v>
      </c>
      <c r="K97" s="2" t="str">
        <f>J97*13.00</f>
        <v>0</v>
      </c>
      <c r="L97" s="5"/>
    </row>
    <row r="98" spans="1:12" customHeight="1" ht="105" outlineLevel="4">
      <c r="A98" s="1"/>
      <c r="B98" s="1">
        <v>818575</v>
      </c>
      <c r="C98" s="1" t="s">
        <v>365</v>
      </c>
      <c r="D98" s="1" t="s">
        <v>366</v>
      </c>
      <c r="E98" s="2" t="s">
        <v>367</v>
      </c>
      <c r="F98" s="2" t="s">
        <v>368</v>
      </c>
      <c r="G98" s="2" t="s">
        <v>84</v>
      </c>
      <c r="H98" s="2" t="s">
        <v>18</v>
      </c>
      <c r="I98" s="1">
        <v>0</v>
      </c>
      <c r="J98" s="3" t="s">
        <v>271</v>
      </c>
      <c r="K98" s="2" t="str">
        <f>J98*14.00</f>
        <v>0</v>
      </c>
      <c r="L98" s="5"/>
    </row>
    <row r="99" spans="1:12" customHeight="1" ht="105" outlineLevel="4">
      <c r="A99" s="1"/>
      <c r="B99" s="1">
        <v>818576</v>
      </c>
      <c r="C99" s="1" t="s">
        <v>369</v>
      </c>
      <c r="D99" s="1" t="s">
        <v>370</v>
      </c>
      <c r="E99" s="2" t="s">
        <v>371</v>
      </c>
      <c r="F99" s="2" t="s">
        <v>372</v>
      </c>
      <c r="G99" s="2" t="s">
        <v>17</v>
      </c>
      <c r="H99" s="2" t="s">
        <v>18</v>
      </c>
      <c r="I99" s="1">
        <v>0</v>
      </c>
      <c r="J99" s="3" t="s">
        <v>271</v>
      </c>
      <c r="K99" s="2" t="str">
        <f>J99*17.00</f>
        <v>0</v>
      </c>
      <c r="L99" s="5"/>
    </row>
    <row r="100" spans="1:12" customHeight="1" ht="105" outlineLevel="4">
      <c r="A100" s="1"/>
      <c r="B100" s="1">
        <v>818577</v>
      </c>
      <c r="C100" s="1" t="s">
        <v>373</v>
      </c>
      <c r="D100" s="1" t="s">
        <v>374</v>
      </c>
      <c r="E100" s="2" t="s">
        <v>375</v>
      </c>
      <c r="F100" s="2" t="s">
        <v>376</v>
      </c>
      <c r="G100" s="2" t="s">
        <v>79</v>
      </c>
      <c r="H100" s="2" t="s">
        <v>17</v>
      </c>
      <c r="I100" s="1">
        <v>0</v>
      </c>
      <c r="J100" s="3" t="s">
        <v>271</v>
      </c>
      <c r="K100" s="2" t="str">
        <f>J100*23.00</f>
        <v>0</v>
      </c>
      <c r="L100" s="5"/>
    </row>
    <row r="101" spans="1:12" customHeight="1" ht="105" outlineLevel="4">
      <c r="A101" s="1"/>
      <c r="B101" s="1">
        <v>818578</v>
      </c>
      <c r="C101" s="1" t="s">
        <v>377</v>
      </c>
      <c r="D101" s="1" t="s">
        <v>378</v>
      </c>
      <c r="E101" s="2" t="s">
        <v>379</v>
      </c>
      <c r="F101" s="2" t="s">
        <v>380</v>
      </c>
      <c r="G101" s="2" t="s">
        <v>79</v>
      </c>
      <c r="H101" s="2" t="s">
        <v>17</v>
      </c>
      <c r="I101" s="1">
        <v>0</v>
      </c>
      <c r="J101" s="3" t="s">
        <v>271</v>
      </c>
      <c r="K101" s="2" t="str">
        <f>J101*25.00</f>
        <v>0</v>
      </c>
      <c r="L101" s="5"/>
    </row>
    <row r="102" spans="1:12" customHeight="1" ht="105" outlineLevel="4">
      <c r="A102" s="1"/>
      <c r="B102" s="1">
        <v>818579</v>
      </c>
      <c r="C102" s="1" t="s">
        <v>381</v>
      </c>
      <c r="D102" s="1" t="s">
        <v>382</v>
      </c>
      <c r="E102" s="2" t="s">
        <v>383</v>
      </c>
      <c r="F102" s="2" t="s">
        <v>384</v>
      </c>
      <c r="G102" s="2" t="s">
        <v>84</v>
      </c>
      <c r="H102" s="2" t="s">
        <v>37</v>
      </c>
      <c r="I102" s="1">
        <v>0</v>
      </c>
      <c r="J102" s="3" t="s">
        <v>271</v>
      </c>
      <c r="K102" s="2" t="str">
        <f>J102*28.00</f>
        <v>0</v>
      </c>
      <c r="L102" s="5"/>
    </row>
    <row r="103" spans="1:12" customHeight="1" ht="105" outlineLevel="4">
      <c r="A103" s="1"/>
      <c r="B103" s="1">
        <v>818580</v>
      </c>
      <c r="C103" s="1" t="s">
        <v>385</v>
      </c>
      <c r="D103" s="1" t="s">
        <v>386</v>
      </c>
      <c r="E103" s="2" t="s">
        <v>387</v>
      </c>
      <c r="F103" s="2" t="s">
        <v>388</v>
      </c>
      <c r="G103" s="2" t="s">
        <v>28</v>
      </c>
      <c r="H103" s="2" t="s">
        <v>17</v>
      </c>
      <c r="I103" s="1">
        <v>0</v>
      </c>
      <c r="J103" s="3" t="s">
        <v>271</v>
      </c>
      <c r="K103" s="2" t="str">
        <f>J103*35.00</f>
        <v>0</v>
      </c>
      <c r="L103" s="5"/>
    </row>
    <row r="104" spans="1:12" customHeight="1" ht="105" outlineLevel="4">
      <c r="A104" s="1"/>
      <c r="B104" s="1">
        <v>818581</v>
      </c>
      <c r="C104" s="1" t="s">
        <v>389</v>
      </c>
      <c r="D104" s="1" t="s">
        <v>390</v>
      </c>
      <c r="E104" s="2" t="s">
        <v>391</v>
      </c>
      <c r="F104" s="2" t="s">
        <v>392</v>
      </c>
      <c r="G104" s="2">
        <v>7</v>
      </c>
      <c r="H104" s="2" t="s">
        <v>17</v>
      </c>
      <c r="I104" s="1">
        <v>0</v>
      </c>
      <c r="J104" s="3" t="s">
        <v>271</v>
      </c>
      <c r="K104" s="2" t="str">
        <f>J104*40.00</f>
        <v>0</v>
      </c>
      <c r="L104" s="5"/>
    </row>
    <row r="105" spans="1:12" customHeight="1" ht="105" outlineLevel="4">
      <c r="A105" s="1"/>
      <c r="B105" s="1">
        <v>818582</v>
      </c>
      <c r="C105" s="1" t="s">
        <v>393</v>
      </c>
      <c r="D105" s="1" t="s">
        <v>394</v>
      </c>
      <c r="E105" s="2" t="s">
        <v>395</v>
      </c>
      <c r="F105" s="2" t="s">
        <v>396</v>
      </c>
      <c r="G105" s="2" t="s">
        <v>79</v>
      </c>
      <c r="H105" s="2" t="s">
        <v>17</v>
      </c>
      <c r="I105" s="1">
        <v>0</v>
      </c>
      <c r="J105" s="3" t="s">
        <v>271</v>
      </c>
      <c r="K105" s="2" t="str">
        <f>J105*44.00</f>
        <v>0</v>
      </c>
      <c r="L105" s="5"/>
    </row>
    <row r="106" spans="1:12" customHeight="1" ht="105" outlineLevel="4">
      <c r="A106" s="1"/>
      <c r="B106" s="1">
        <v>818583</v>
      </c>
      <c r="C106" s="1" t="s">
        <v>397</v>
      </c>
      <c r="D106" s="1" t="s">
        <v>398</v>
      </c>
      <c r="E106" s="2" t="s">
        <v>399</v>
      </c>
      <c r="F106" s="2" t="s">
        <v>400</v>
      </c>
      <c r="G106" s="2" t="s">
        <v>79</v>
      </c>
      <c r="H106" s="2" t="s">
        <v>17</v>
      </c>
      <c r="I106" s="1">
        <v>0</v>
      </c>
      <c r="J106" s="3" t="s">
        <v>271</v>
      </c>
      <c r="K106" s="2" t="str">
        <f>J106*53.00</f>
        <v>0</v>
      </c>
      <c r="L106" s="5"/>
    </row>
    <row r="107" spans="1:12" customHeight="1" ht="105" outlineLevel="4">
      <c r="A107" s="1"/>
      <c r="B107" s="1">
        <v>818584</v>
      </c>
      <c r="C107" s="1" t="s">
        <v>401</v>
      </c>
      <c r="D107" s="1" t="s">
        <v>402</v>
      </c>
      <c r="E107" s="2" t="s">
        <v>403</v>
      </c>
      <c r="F107" s="2" t="s">
        <v>404</v>
      </c>
      <c r="G107" s="2">
        <v>2</v>
      </c>
      <c r="H107" s="2" t="s">
        <v>17</v>
      </c>
      <c r="I107" s="1">
        <v>0</v>
      </c>
      <c r="J107" s="3" t="s">
        <v>271</v>
      </c>
      <c r="K107" s="2" t="str">
        <f>J107*65.00</f>
        <v>0</v>
      </c>
      <c r="L107" s="5"/>
    </row>
    <row r="108" spans="1:12" customHeight="1" ht="105" outlineLevel="4">
      <c r="A108" s="1"/>
      <c r="B108" s="1">
        <v>818585</v>
      </c>
      <c r="C108" s="1" t="s">
        <v>405</v>
      </c>
      <c r="D108" s="1" t="s">
        <v>406</v>
      </c>
      <c r="E108" s="2" t="s">
        <v>407</v>
      </c>
      <c r="F108" s="2" t="s">
        <v>408</v>
      </c>
      <c r="G108" s="2">
        <v>5</v>
      </c>
      <c r="H108" s="2" t="s">
        <v>17</v>
      </c>
      <c r="I108" s="1">
        <v>0</v>
      </c>
      <c r="J108" s="3" t="s">
        <v>271</v>
      </c>
      <c r="K108" s="2" t="str">
        <f>J108*58.00</f>
        <v>0</v>
      </c>
      <c r="L108" s="5"/>
    </row>
    <row r="109" spans="1:12" customHeight="1" ht="105" outlineLevel="4">
      <c r="A109" s="1"/>
      <c r="B109" s="1">
        <v>818586</v>
      </c>
      <c r="C109" s="1" t="s">
        <v>409</v>
      </c>
      <c r="D109" s="1" t="s">
        <v>410</v>
      </c>
      <c r="E109" s="2" t="s">
        <v>411</v>
      </c>
      <c r="F109" s="2" t="s">
        <v>412</v>
      </c>
      <c r="G109" s="2">
        <v>3</v>
      </c>
      <c r="H109" s="2" t="s">
        <v>17</v>
      </c>
      <c r="I109" s="1">
        <v>0</v>
      </c>
      <c r="J109" s="3" t="s">
        <v>271</v>
      </c>
      <c r="K109" s="2" t="str">
        <f>J109*61.00</f>
        <v>0</v>
      </c>
      <c r="L109" s="5"/>
    </row>
    <row r="110" spans="1:12" customHeight="1" ht="105" outlineLevel="4">
      <c r="A110" s="1"/>
      <c r="B110" s="1">
        <v>818587</v>
      </c>
      <c r="C110" s="1" t="s">
        <v>413</v>
      </c>
      <c r="D110" s="1" t="s">
        <v>414</v>
      </c>
      <c r="E110" s="2" t="s">
        <v>415</v>
      </c>
      <c r="F110" s="2" t="s">
        <v>416</v>
      </c>
      <c r="G110" s="2">
        <v>0</v>
      </c>
      <c r="H110" s="2">
        <v>10</v>
      </c>
      <c r="I110" s="1">
        <v>0</v>
      </c>
      <c r="J110" s="3" t="s">
        <v>271</v>
      </c>
      <c r="K110" s="2" t="str">
        <f>J110*75.00</f>
        <v>0</v>
      </c>
      <c r="L110" s="5"/>
    </row>
    <row r="111" spans="1:12" customHeight="1" ht="105" outlineLevel="4">
      <c r="A111" s="1"/>
      <c r="B111" s="1">
        <v>818588</v>
      </c>
      <c r="C111" s="1" t="s">
        <v>417</v>
      </c>
      <c r="D111" s="1" t="s">
        <v>418</v>
      </c>
      <c r="E111" s="2" t="s">
        <v>419</v>
      </c>
      <c r="F111" s="2" t="s">
        <v>420</v>
      </c>
      <c r="G111" s="2">
        <v>0</v>
      </c>
      <c r="H111" s="2" t="s">
        <v>28</v>
      </c>
      <c r="I111" s="1">
        <v>0</v>
      </c>
      <c r="J111" s="3" t="s">
        <v>271</v>
      </c>
      <c r="K111" s="2" t="str">
        <f>J111*87.00</f>
        <v>0</v>
      </c>
      <c r="L111" s="5"/>
    </row>
    <row r="112" spans="1:12" customHeight="1" ht="105" outlineLevel="4">
      <c r="A112" s="1"/>
      <c r="B112" s="1">
        <v>818589</v>
      </c>
      <c r="C112" s="1" t="s">
        <v>421</v>
      </c>
      <c r="D112" s="1" t="s">
        <v>422</v>
      </c>
      <c r="E112" s="2" t="s">
        <v>423</v>
      </c>
      <c r="F112" s="2" t="s">
        <v>424</v>
      </c>
      <c r="G112" s="2">
        <v>0</v>
      </c>
      <c r="H112" s="2" t="s">
        <v>28</v>
      </c>
      <c r="I112" s="1">
        <v>0</v>
      </c>
      <c r="J112" s="3" t="s">
        <v>271</v>
      </c>
      <c r="K112" s="2" t="str">
        <f>J112*116.00</f>
        <v>0</v>
      </c>
      <c r="L112" s="5"/>
    </row>
    <row r="113" spans="1:12" customHeight="1" ht="105" outlineLevel="4">
      <c r="A113" s="1"/>
      <c r="B113" s="1">
        <v>818590</v>
      </c>
      <c r="C113" s="1" t="s">
        <v>425</v>
      </c>
      <c r="D113" s="1" t="s">
        <v>426</v>
      </c>
      <c r="E113" s="2" t="s">
        <v>427</v>
      </c>
      <c r="F113" s="2" t="s">
        <v>428</v>
      </c>
      <c r="G113" s="2">
        <v>0</v>
      </c>
      <c r="H113" s="2" t="s">
        <v>28</v>
      </c>
      <c r="I113" s="1">
        <v>0</v>
      </c>
      <c r="J113" s="3" t="s">
        <v>271</v>
      </c>
      <c r="K113" s="2" t="str">
        <f>J113*175.00</f>
        <v>0</v>
      </c>
      <c r="L113" s="5"/>
    </row>
    <row r="114" spans="1:12" customHeight="1" ht="105" outlineLevel="4">
      <c r="A114" s="1"/>
      <c r="B114" s="1">
        <v>818591</v>
      </c>
      <c r="C114" s="1" t="s">
        <v>429</v>
      </c>
      <c r="D114" s="1" t="s">
        <v>430</v>
      </c>
      <c r="E114" s="2" t="s">
        <v>431</v>
      </c>
      <c r="F114" s="2" t="s">
        <v>432</v>
      </c>
      <c r="G114" s="2">
        <v>0</v>
      </c>
      <c r="H114" s="2">
        <v>0</v>
      </c>
      <c r="I114" s="1">
        <v>0</v>
      </c>
      <c r="J114" s="3" t="s">
        <v>271</v>
      </c>
      <c r="K114" s="2" t="str">
        <f>J114*232.00</f>
        <v>0</v>
      </c>
      <c r="L114" s="5"/>
    </row>
    <row r="115" spans="1:12" customHeight="1" ht="105" outlineLevel="4">
      <c r="A115" s="1"/>
      <c r="B115" s="1">
        <v>818592</v>
      </c>
      <c r="C115" s="1" t="s">
        <v>433</v>
      </c>
      <c r="D115" s="1" t="s">
        <v>434</v>
      </c>
      <c r="E115" s="2" t="s">
        <v>435</v>
      </c>
      <c r="F115" s="2" t="s">
        <v>436</v>
      </c>
      <c r="G115" s="2">
        <v>0</v>
      </c>
      <c r="H115" s="2" t="s">
        <v>84</v>
      </c>
      <c r="I115" s="1">
        <v>0</v>
      </c>
      <c r="J115" s="3" t="s">
        <v>271</v>
      </c>
      <c r="K115" s="2" t="str">
        <f>J115*226.00</f>
        <v>0</v>
      </c>
      <c r="L115" s="5"/>
    </row>
    <row r="116" spans="1:12" customHeight="1" ht="105" outlineLevel="4">
      <c r="A116" s="1"/>
      <c r="B116" s="1">
        <v>818593</v>
      </c>
      <c r="C116" s="1" t="s">
        <v>437</v>
      </c>
      <c r="D116" s="1" t="s">
        <v>438</v>
      </c>
      <c r="E116" s="2" t="s">
        <v>439</v>
      </c>
      <c r="F116" s="2" t="s">
        <v>364</v>
      </c>
      <c r="G116" s="2" t="s">
        <v>17</v>
      </c>
      <c r="H116" s="2" t="s">
        <v>54</v>
      </c>
      <c r="I116" s="1">
        <v>0</v>
      </c>
      <c r="J116" s="3" t="s">
        <v>271</v>
      </c>
      <c r="K116" s="2" t="str">
        <f>J116*13.00</f>
        <v>0</v>
      </c>
      <c r="L116" s="5"/>
    </row>
    <row r="117" spans="1:12" customHeight="1" ht="105" outlineLevel="4">
      <c r="A117" s="1"/>
      <c r="B117" s="1">
        <v>818594</v>
      </c>
      <c r="C117" s="1" t="s">
        <v>440</v>
      </c>
      <c r="D117" s="1" t="s">
        <v>441</v>
      </c>
      <c r="E117" s="2" t="s">
        <v>442</v>
      </c>
      <c r="F117" s="2" t="s">
        <v>443</v>
      </c>
      <c r="G117" s="2" t="s">
        <v>79</v>
      </c>
      <c r="H117" s="2" t="s">
        <v>18</v>
      </c>
      <c r="I117" s="1">
        <v>0</v>
      </c>
      <c r="J117" s="3" t="s">
        <v>271</v>
      </c>
      <c r="K117" s="2" t="str">
        <f>J117*18.00</f>
        <v>0</v>
      </c>
      <c r="L117" s="5"/>
    </row>
    <row r="118" spans="1:12" customHeight="1" ht="105" outlineLevel="4">
      <c r="A118" s="1"/>
      <c r="B118" s="1">
        <v>818595</v>
      </c>
      <c r="C118" s="1" t="s">
        <v>444</v>
      </c>
      <c r="D118" s="1" t="s">
        <v>445</v>
      </c>
      <c r="E118" s="2" t="s">
        <v>446</v>
      </c>
      <c r="F118" s="2" t="s">
        <v>447</v>
      </c>
      <c r="G118" s="2" t="s">
        <v>17</v>
      </c>
      <c r="H118" s="2" t="s">
        <v>54</v>
      </c>
      <c r="I118" s="1">
        <v>0</v>
      </c>
      <c r="J118" s="3" t="s">
        <v>271</v>
      </c>
      <c r="K118" s="2" t="str">
        <f>J118*21.00</f>
        <v>0</v>
      </c>
      <c r="L118" s="5"/>
    </row>
    <row r="119" spans="1:12" customHeight="1" ht="105" outlineLevel="4">
      <c r="A119" s="1"/>
      <c r="B119" s="1">
        <v>818596</v>
      </c>
      <c r="C119" s="1" t="s">
        <v>448</v>
      </c>
      <c r="D119" s="1" t="s">
        <v>449</v>
      </c>
      <c r="E119" s="2" t="s">
        <v>450</v>
      </c>
      <c r="F119" s="2" t="s">
        <v>451</v>
      </c>
      <c r="G119" s="2" t="s">
        <v>28</v>
      </c>
      <c r="H119" s="2" t="s">
        <v>17</v>
      </c>
      <c r="I119" s="1">
        <v>0</v>
      </c>
      <c r="J119" s="3" t="s">
        <v>271</v>
      </c>
      <c r="K119" s="2" t="str">
        <f>J119*31.00</f>
        <v>0</v>
      </c>
      <c r="L119" s="5"/>
    </row>
    <row r="120" spans="1:12" customHeight="1" ht="105" outlineLevel="4">
      <c r="A120" s="1"/>
      <c r="B120" s="1">
        <v>818597</v>
      </c>
      <c r="C120" s="1" t="s">
        <v>452</v>
      </c>
      <c r="D120" s="1" t="s">
        <v>453</v>
      </c>
      <c r="E120" s="2" t="s">
        <v>454</v>
      </c>
      <c r="F120" s="2" t="s">
        <v>455</v>
      </c>
      <c r="G120" s="2" t="s">
        <v>84</v>
      </c>
      <c r="H120" s="2" t="s">
        <v>37</v>
      </c>
      <c r="I120" s="1">
        <v>0</v>
      </c>
      <c r="J120" s="3" t="s">
        <v>271</v>
      </c>
      <c r="K120" s="2" t="str">
        <f>J120*32.00</f>
        <v>0</v>
      </c>
      <c r="L120" s="5"/>
    </row>
    <row r="121" spans="1:12" customHeight="1" ht="105" outlineLevel="4">
      <c r="A121" s="1"/>
      <c r="B121" s="1">
        <v>818598</v>
      </c>
      <c r="C121" s="1" t="s">
        <v>456</v>
      </c>
      <c r="D121" s="1" t="s">
        <v>457</v>
      </c>
      <c r="E121" s="2" t="s">
        <v>458</v>
      </c>
      <c r="F121" s="2" t="s">
        <v>388</v>
      </c>
      <c r="G121" s="2" t="s">
        <v>79</v>
      </c>
      <c r="H121" s="2" t="s">
        <v>18</v>
      </c>
      <c r="I121" s="1">
        <v>0</v>
      </c>
      <c r="J121" s="3" t="s">
        <v>271</v>
      </c>
      <c r="K121" s="2" t="str">
        <f>J121*35.00</f>
        <v>0</v>
      </c>
      <c r="L121" s="5"/>
    </row>
    <row r="122" spans="1:12" customHeight="1" ht="105" outlineLevel="4">
      <c r="A122" s="1"/>
      <c r="B122" s="1">
        <v>818599</v>
      </c>
      <c r="C122" s="1" t="s">
        <v>459</v>
      </c>
      <c r="D122" s="1" t="s">
        <v>460</v>
      </c>
      <c r="E122" s="2" t="s">
        <v>461</v>
      </c>
      <c r="F122" s="2" t="s">
        <v>462</v>
      </c>
      <c r="G122" s="2" t="s">
        <v>28</v>
      </c>
      <c r="H122" s="2" t="s">
        <v>17</v>
      </c>
      <c r="I122" s="1">
        <v>0</v>
      </c>
      <c r="J122" s="3" t="s">
        <v>271</v>
      </c>
      <c r="K122" s="2" t="str">
        <f>J122*52.00</f>
        <v>0</v>
      </c>
      <c r="L122" s="5"/>
    </row>
    <row r="123" spans="1:12" customHeight="1" ht="105" outlineLevel="4">
      <c r="A123" s="1"/>
      <c r="B123" s="1">
        <v>818600</v>
      </c>
      <c r="C123" s="1" t="s">
        <v>463</v>
      </c>
      <c r="D123" s="1" t="s">
        <v>464</v>
      </c>
      <c r="E123" s="2" t="s">
        <v>465</v>
      </c>
      <c r="F123" s="2" t="s">
        <v>466</v>
      </c>
      <c r="G123" s="2" t="s">
        <v>79</v>
      </c>
      <c r="H123" s="2" t="s">
        <v>28</v>
      </c>
      <c r="I123" s="1">
        <v>0</v>
      </c>
      <c r="J123" s="3" t="s">
        <v>271</v>
      </c>
      <c r="K123" s="2" t="str">
        <f>J123*49.00</f>
        <v>0</v>
      </c>
      <c r="L123" s="5"/>
    </row>
    <row r="124" spans="1:12" customHeight="1" ht="105" outlineLevel="4">
      <c r="A124" s="1"/>
      <c r="B124" s="1">
        <v>818601</v>
      </c>
      <c r="C124" s="1" t="s">
        <v>467</v>
      </c>
      <c r="D124" s="1" t="s">
        <v>468</v>
      </c>
      <c r="E124" s="2" t="s">
        <v>469</v>
      </c>
      <c r="F124" s="2" t="s">
        <v>470</v>
      </c>
      <c r="G124" s="2" t="s">
        <v>79</v>
      </c>
      <c r="H124" s="2" t="s">
        <v>17</v>
      </c>
      <c r="I124" s="1">
        <v>0</v>
      </c>
      <c r="J124" s="3" t="s">
        <v>271</v>
      </c>
      <c r="K124" s="2" t="str">
        <f>J124*60.00</f>
        <v>0</v>
      </c>
      <c r="L124" s="5"/>
    </row>
    <row r="125" spans="1:12" customHeight="1" ht="105" outlineLevel="4">
      <c r="A125" s="1"/>
      <c r="B125" s="1">
        <v>818602</v>
      </c>
      <c r="C125" s="1" t="s">
        <v>471</v>
      </c>
      <c r="D125" s="1" t="s">
        <v>472</v>
      </c>
      <c r="E125" s="2" t="s">
        <v>473</v>
      </c>
      <c r="F125" s="2" t="s">
        <v>412</v>
      </c>
      <c r="G125" s="2" t="s">
        <v>79</v>
      </c>
      <c r="H125" s="2" t="s">
        <v>17</v>
      </c>
      <c r="I125" s="1">
        <v>0</v>
      </c>
      <c r="J125" s="3" t="s">
        <v>271</v>
      </c>
      <c r="K125" s="2" t="str">
        <f>J125*61.00</f>
        <v>0</v>
      </c>
      <c r="L125" s="5"/>
    </row>
    <row r="126" spans="1:12" customHeight="1" ht="105" outlineLevel="4">
      <c r="A126" s="1"/>
      <c r="B126" s="1">
        <v>818603</v>
      </c>
      <c r="C126" s="1" t="s">
        <v>474</v>
      </c>
      <c r="D126" s="1" t="s">
        <v>475</v>
      </c>
      <c r="E126" s="2" t="s">
        <v>476</v>
      </c>
      <c r="F126" s="2" t="s">
        <v>477</v>
      </c>
      <c r="G126" s="2">
        <v>2</v>
      </c>
      <c r="H126" s="2" t="s">
        <v>17</v>
      </c>
      <c r="I126" s="1">
        <v>0</v>
      </c>
      <c r="J126" s="3" t="s">
        <v>271</v>
      </c>
      <c r="K126" s="2" t="str">
        <f>J126*86.00</f>
        <v>0</v>
      </c>
      <c r="L126" s="5"/>
    </row>
    <row r="127" spans="1:12" customHeight="1" ht="105" outlineLevel="4">
      <c r="A127" s="1"/>
      <c r="B127" s="1">
        <v>818604</v>
      </c>
      <c r="C127" s="1" t="s">
        <v>478</v>
      </c>
      <c r="D127" s="1" t="s">
        <v>479</v>
      </c>
      <c r="E127" s="2" t="s">
        <v>480</v>
      </c>
      <c r="F127" s="2" t="s">
        <v>481</v>
      </c>
      <c r="G127" s="2">
        <v>8</v>
      </c>
      <c r="H127" s="2" t="s">
        <v>28</v>
      </c>
      <c r="I127" s="1">
        <v>0</v>
      </c>
      <c r="J127" s="3" t="s">
        <v>271</v>
      </c>
      <c r="K127" s="2" t="str">
        <f>J127*103.00</f>
        <v>0</v>
      </c>
      <c r="L127" s="5"/>
    </row>
    <row r="128" spans="1:12" customHeight="1" ht="105" outlineLevel="4">
      <c r="A128" s="1"/>
      <c r="B128" s="1">
        <v>818605</v>
      </c>
      <c r="C128" s="1" t="s">
        <v>482</v>
      </c>
      <c r="D128" s="1" t="s">
        <v>483</v>
      </c>
      <c r="E128" s="2" t="s">
        <v>484</v>
      </c>
      <c r="F128" s="2" t="s">
        <v>485</v>
      </c>
      <c r="G128" s="2">
        <v>-4</v>
      </c>
      <c r="H128" s="2" t="s">
        <v>28</v>
      </c>
      <c r="I128" s="1">
        <v>0</v>
      </c>
      <c r="J128" s="3" t="s">
        <v>271</v>
      </c>
      <c r="K128" s="2" t="str">
        <f>J128*102.00</f>
        <v>0</v>
      </c>
      <c r="L128" s="5"/>
    </row>
    <row r="129" spans="1:12" customHeight="1" ht="105" outlineLevel="4">
      <c r="A129" s="1"/>
      <c r="B129" s="1">
        <v>818606</v>
      </c>
      <c r="C129" s="1" t="s">
        <v>486</v>
      </c>
      <c r="D129" s="1" t="s">
        <v>487</v>
      </c>
      <c r="E129" s="2" t="s">
        <v>488</v>
      </c>
      <c r="F129" s="2" t="s">
        <v>481</v>
      </c>
      <c r="G129" s="2">
        <v>3</v>
      </c>
      <c r="H129" s="2" t="s">
        <v>17</v>
      </c>
      <c r="I129" s="1">
        <v>0</v>
      </c>
      <c r="J129" s="3" t="s">
        <v>271</v>
      </c>
      <c r="K129" s="2" t="str">
        <f>J129*103.00</f>
        <v>0</v>
      </c>
      <c r="L129" s="5"/>
    </row>
    <row r="130" spans="1:12" customHeight="1" ht="105" outlineLevel="4">
      <c r="A130" s="1"/>
      <c r="B130" s="1">
        <v>818607</v>
      </c>
      <c r="C130" s="1" t="s">
        <v>489</v>
      </c>
      <c r="D130" s="1" t="s">
        <v>490</v>
      </c>
      <c r="E130" s="2" t="s">
        <v>491</v>
      </c>
      <c r="F130" s="2" t="s">
        <v>492</v>
      </c>
      <c r="G130" s="2">
        <v>0</v>
      </c>
      <c r="H130" s="2" t="s">
        <v>17</v>
      </c>
      <c r="I130" s="1">
        <v>0</v>
      </c>
      <c r="J130" s="3" t="s">
        <v>271</v>
      </c>
      <c r="K130" s="2" t="str">
        <f>J130*119.00</f>
        <v>0</v>
      </c>
      <c r="L130" s="5"/>
    </row>
    <row r="131" spans="1:12" customHeight="1" ht="105" outlineLevel="4">
      <c r="A131" s="1"/>
      <c r="B131" s="1">
        <v>818608</v>
      </c>
      <c r="C131" s="1" t="s">
        <v>493</v>
      </c>
      <c r="D131" s="1" t="s">
        <v>494</v>
      </c>
      <c r="E131" s="2" t="s">
        <v>495</v>
      </c>
      <c r="F131" s="2" t="s">
        <v>496</v>
      </c>
      <c r="G131" s="2">
        <v>0</v>
      </c>
      <c r="H131" s="2" t="s">
        <v>28</v>
      </c>
      <c r="I131" s="1">
        <v>0</v>
      </c>
      <c r="J131" s="3" t="s">
        <v>271</v>
      </c>
      <c r="K131" s="2" t="str">
        <f>J131*236.00</f>
        <v>0</v>
      </c>
      <c r="L131" s="5"/>
    </row>
    <row r="132" spans="1:12" customHeight="1" ht="105" outlineLevel="4">
      <c r="A132" s="1"/>
      <c r="B132" s="1">
        <v>818609</v>
      </c>
      <c r="C132" s="1" t="s">
        <v>497</v>
      </c>
      <c r="D132" s="1" t="s">
        <v>498</v>
      </c>
      <c r="E132" s="2" t="s">
        <v>499</v>
      </c>
      <c r="F132" s="2" t="s">
        <v>299</v>
      </c>
      <c r="G132" s="2">
        <v>5</v>
      </c>
      <c r="H132" s="2" t="s">
        <v>28</v>
      </c>
      <c r="I132" s="1">
        <v>0</v>
      </c>
      <c r="J132" s="3" t="s">
        <v>271</v>
      </c>
      <c r="K132" s="2" t="str">
        <f>J132*262.00</f>
        <v>0</v>
      </c>
      <c r="L132" s="5"/>
    </row>
    <row r="133" spans="1:12" customHeight="1" ht="105" outlineLevel="4">
      <c r="A133" s="1"/>
      <c r="B133" s="1">
        <v>818610</v>
      </c>
      <c r="C133" s="1" t="s">
        <v>500</v>
      </c>
      <c r="D133" s="1" t="s">
        <v>501</v>
      </c>
      <c r="E133" s="2" t="s">
        <v>502</v>
      </c>
      <c r="F133" s="2" t="s">
        <v>503</v>
      </c>
      <c r="G133" s="2">
        <v>0</v>
      </c>
      <c r="H133" s="2" t="s">
        <v>28</v>
      </c>
      <c r="I133" s="1">
        <v>0</v>
      </c>
      <c r="J133" s="3" t="s">
        <v>271</v>
      </c>
      <c r="K133" s="2" t="str">
        <f>J133*143.00</f>
        <v>0</v>
      </c>
      <c r="L133" s="5"/>
    </row>
    <row r="134" spans="1:12" customHeight="1" ht="105" outlineLevel="4">
      <c r="A134" s="1"/>
      <c r="B134" s="1">
        <v>818611</v>
      </c>
      <c r="C134" s="1" t="s">
        <v>504</v>
      </c>
      <c r="D134" s="1" t="s">
        <v>505</v>
      </c>
      <c r="E134" s="2" t="s">
        <v>506</v>
      </c>
      <c r="F134" s="2" t="s">
        <v>507</v>
      </c>
      <c r="G134" s="2">
        <v>-1</v>
      </c>
      <c r="H134" s="2" t="s">
        <v>17</v>
      </c>
      <c r="I134" s="1">
        <v>0</v>
      </c>
      <c r="J134" s="3" t="s">
        <v>271</v>
      </c>
      <c r="K134" s="2" t="str">
        <f>J134*199.00</f>
        <v>0</v>
      </c>
      <c r="L134" s="5"/>
    </row>
    <row r="135" spans="1:12" customHeight="1" ht="105" outlineLevel="4">
      <c r="A135" s="1"/>
      <c r="B135" s="1">
        <v>818612</v>
      </c>
      <c r="C135" s="1" t="s">
        <v>508</v>
      </c>
      <c r="D135" s="1" t="s">
        <v>509</v>
      </c>
      <c r="E135" s="2" t="s">
        <v>510</v>
      </c>
      <c r="F135" s="2" t="s">
        <v>511</v>
      </c>
      <c r="G135" s="2">
        <v>0</v>
      </c>
      <c r="H135" s="2" t="s">
        <v>28</v>
      </c>
      <c r="I135" s="1">
        <v>0</v>
      </c>
      <c r="J135" s="3" t="s">
        <v>271</v>
      </c>
      <c r="K135" s="2" t="str">
        <f>J135*377.00</f>
        <v>0</v>
      </c>
      <c r="L135" s="5"/>
    </row>
    <row r="136" spans="1:12" customHeight="1" ht="105" outlineLevel="4">
      <c r="A136" s="1"/>
      <c r="B136" s="1">
        <v>818613</v>
      </c>
      <c r="C136" s="1" t="s">
        <v>512</v>
      </c>
      <c r="D136" s="1" t="s">
        <v>513</v>
      </c>
      <c r="E136" s="2" t="s">
        <v>514</v>
      </c>
      <c r="F136" s="2" t="s">
        <v>515</v>
      </c>
      <c r="G136" s="2">
        <v>0</v>
      </c>
      <c r="H136" s="2" t="s">
        <v>28</v>
      </c>
      <c r="I136" s="1">
        <v>0</v>
      </c>
      <c r="J136" s="3" t="s">
        <v>271</v>
      </c>
      <c r="K136" s="2" t="str">
        <f>J136*297.00</f>
        <v>0</v>
      </c>
      <c r="L136" s="5"/>
    </row>
    <row r="137" spans="1:12" customHeight="1" ht="105" outlineLevel="4">
      <c r="A137" s="1"/>
      <c r="B137" s="1">
        <v>818614</v>
      </c>
      <c r="C137" s="1" t="s">
        <v>516</v>
      </c>
      <c r="D137" s="1" t="s">
        <v>517</v>
      </c>
      <c r="E137" s="2" t="s">
        <v>518</v>
      </c>
      <c r="F137" s="2" t="s">
        <v>519</v>
      </c>
      <c r="G137" s="2">
        <v>0</v>
      </c>
      <c r="H137" s="2" t="s">
        <v>28</v>
      </c>
      <c r="I137" s="1">
        <v>0</v>
      </c>
      <c r="J137" s="3" t="s">
        <v>271</v>
      </c>
      <c r="K137" s="2" t="str">
        <f>J137*356.00</f>
        <v>0</v>
      </c>
      <c r="L137" s="5"/>
    </row>
    <row r="138" spans="1:12" customHeight="1" ht="105" outlineLevel="4">
      <c r="A138" s="1"/>
      <c r="B138" s="1">
        <v>818615</v>
      </c>
      <c r="C138" s="1" t="s">
        <v>520</v>
      </c>
      <c r="D138" s="1" t="s">
        <v>521</v>
      </c>
      <c r="E138" s="2" t="s">
        <v>522</v>
      </c>
      <c r="F138" s="2" t="s">
        <v>523</v>
      </c>
      <c r="G138" s="2" t="s">
        <v>84</v>
      </c>
      <c r="H138" s="2" t="s">
        <v>37</v>
      </c>
      <c r="I138" s="1">
        <v>0</v>
      </c>
      <c r="J138" s="3" t="s">
        <v>271</v>
      </c>
      <c r="K138" s="2" t="str">
        <f>J138*449.00</f>
        <v>0</v>
      </c>
      <c r="L138" s="5"/>
    </row>
    <row r="139" spans="1:12" customHeight="1" ht="105" outlineLevel="4">
      <c r="A139" s="1"/>
      <c r="B139" s="1">
        <v>818616</v>
      </c>
      <c r="C139" s="1" t="s">
        <v>524</v>
      </c>
      <c r="D139" s="1" t="s">
        <v>525</v>
      </c>
      <c r="E139" s="2" t="s">
        <v>526</v>
      </c>
      <c r="F139" s="2" t="s">
        <v>527</v>
      </c>
      <c r="G139" s="2" t="s">
        <v>79</v>
      </c>
      <c r="H139" s="2" t="s">
        <v>37</v>
      </c>
      <c r="I139" s="1">
        <v>0</v>
      </c>
      <c r="J139" s="3" t="s">
        <v>271</v>
      </c>
      <c r="K139" s="2" t="str">
        <f>J139*485.00</f>
        <v>0</v>
      </c>
      <c r="L139" s="5"/>
    </row>
    <row r="140" spans="1:12" customHeight="1" ht="105" outlineLevel="4">
      <c r="A140" s="1"/>
      <c r="B140" s="1">
        <v>818617</v>
      </c>
      <c r="C140" s="1" t="s">
        <v>528</v>
      </c>
      <c r="D140" s="1" t="s">
        <v>529</v>
      </c>
      <c r="E140" s="2" t="s">
        <v>530</v>
      </c>
      <c r="F140" s="2" t="s">
        <v>531</v>
      </c>
      <c r="G140" s="2" t="s">
        <v>79</v>
      </c>
      <c r="H140" s="2" t="s">
        <v>37</v>
      </c>
      <c r="I140" s="1">
        <v>0</v>
      </c>
      <c r="J140" s="3" t="s">
        <v>271</v>
      </c>
      <c r="K140" s="2" t="str">
        <f>J140*796.00</f>
        <v>0</v>
      </c>
      <c r="L140" s="5"/>
    </row>
    <row r="141" spans="1:12" customHeight="1" ht="105" outlineLevel="4">
      <c r="A141" s="1"/>
      <c r="B141" s="1">
        <v>818618</v>
      </c>
      <c r="C141" s="1" t="s">
        <v>532</v>
      </c>
      <c r="D141" s="1" t="s">
        <v>533</v>
      </c>
      <c r="E141" s="2" t="s">
        <v>534</v>
      </c>
      <c r="F141" s="2" t="s">
        <v>535</v>
      </c>
      <c r="G141" s="2" t="s">
        <v>79</v>
      </c>
      <c r="H141" s="2" t="s">
        <v>17</v>
      </c>
      <c r="I141" s="1">
        <v>0</v>
      </c>
      <c r="J141" s="3" t="s">
        <v>271</v>
      </c>
      <c r="K141" s="2" t="str">
        <f>J141*975.00</f>
        <v>0</v>
      </c>
      <c r="L141" s="5"/>
    </row>
    <row r="142" spans="1:12" customHeight="1" ht="105" outlineLevel="4">
      <c r="A142" s="1"/>
      <c r="B142" s="1">
        <v>818619</v>
      </c>
      <c r="C142" s="1" t="s">
        <v>536</v>
      </c>
      <c r="D142" s="1" t="s">
        <v>537</v>
      </c>
      <c r="E142" s="2" t="s">
        <v>538</v>
      </c>
      <c r="F142" s="2" t="s">
        <v>539</v>
      </c>
      <c r="G142" s="2">
        <v>0</v>
      </c>
      <c r="H142" s="2" t="s">
        <v>17</v>
      </c>
      <c r="I142" s="1">
        <v>0</v>
      </c>
      <c r="J142" s="3" t="s">
        <v>271</v>
      </c>
      <c r="K142" s="2" t="str">
        <f>J142*1640.00</f>
        <v>0</v>
      </c>
      <c r="L142" s="5"/>
    </row>
    <row r="143" spans="1:12" customHeight="1" ht="105" outlineLevel="4">
      <c r="A143" s="1"/>
      <c r="B143" s="1">
        <v>818620</v>
      </c>
      <c r="C143" s="1" t="s">
        <v>540</v>
      </c>
      <c r="D143" s="1" t="s">
        <v>541</v>
      </c>
      <c r="E143" s="2" t="s">
        <v>542</v>
      </c>
      <c r="F143" s="2" t="s">
        <v>543</v>
      </c>
      <c r="G143" s="2">
        <v>2</v>
      </c>
      <c r="H143" s="2" t="s">
        <v>84</v>
      </c>
      <c r="I143" s="1">
        <v>0</v>
      </c>
      <c r="J143" s="3" t="s">
        <v>271</v>
      </c>
      <c r="K143" s="2" t="str">
        <f>J143*2862.00</f>
        <v>0</v>
      </c>
      <c r="L143" s="5"/>
    </row>
    <row r="144" spans="1:12" customHeight="1" ht="105" outlineLevel="4">
      <c r="A144" s="1"/>
      <c r="B144" s="1">
        <v>818621</v>
      </c>
      <c r="C144" s="1" t="s">
        <v>544</v>
      </c>
      <c r="D144" s="1" t="s">
        <v>545</v>
      </c>
      <c r="E144" s="2" t="s">
        <v>546</v>
      </c>
      <c r="F144" s="2" t="s">
        <v>547</v>
      </c>
      <c r="G144" s="2">
        <v>0</v>
      </c>
      <c r="H144" s="2" t="s">
        <v>79</v>
      </c>
      <c r="I144" s="1">
        <v>0</v>
      </c>
      <c r="J144" s="3" t="s">
        <v>271</v>
      </c>
      <c r="K144" s="2" t="str">
        <f>J144*4554.00</f>
        <v>0</v>
      </c>
      <c r="L144" s="5"/>
    </row>
    <row r="145" spans="1:12" customHeight="1" ht="105" outlineLevel="4">
      <c r="A145" s="1"/>
      <c r="B145" s="1">
        <v>818622</v>
      </c>
      <c r="C145" s="1" t="s">
        <v>548</v>
      </c>
      <c r="D145" s="1" t="s">
        <v>549</v>
      </c>
      <c r="E145" s="2" t="s">
        <v>550</v>
      </c>
      <c r="F145" s="2" t="s">
        <v>551</v>
      </c>
      <c r="G145" s="2">
        <v>0</v>
      </c>
      <c r="H145" s="2">
        <v>0</v>
      </c>
      <c r="I145" s="1">
        <v>0</v>
      </c>
      <c r="J145" s="3" t="s">
        <v>271</v>
      </c>
      <c r="K145" s="2" t="str">
        <f>J145*4948.00</f>
        <v>0</v>
      </c>
      <c r="L145" s="5"/>
    </row>
    <row r="146" spans="1:12" customHeight="1" ht="105" outlineLevel="4">
      <c r="A146" s="1"/>
      <c r="B146" s="1">
        <v>818623</v>
      </c>
      <c r="C146" s="1" t="s">
        <v>552</v>
      </c>
      <c r="D146" s="1" t="s">
        <v>553</v>
      </c>
      <c r="E146" s="2" t="s">
        <v>554</v>
      </c>
      <c r="F146" s="2" t="s">
        <v>555</v>
      </c>
      <c r="G146" s="2" t="s">
        <v>84</v>
      </c>
      <c r="H146" s="2" t="s">
        <v>37</v>
      </c>
      <c r="I146" s="1">
        <v>0</v>
      </c>
      <c r="J146" s="3" t="s">
        <v>271</v>
      </c>
      <c r="K146" s="2" t="str">
        <f>J146*514.00</f>
        <v>0</v>
      </c>
      <c r="L146" s="5"/>
    </row>
    <row r="147" spans="1:12" customHeight="1" ht="105" outlineLevel="4">
      <c r="A147" s="1"/>
      <c r="B147" s="1">
        <v>818624</v>
      </c>
      <c r="C147" s="1" t="s">
        <v>556</v>
      </c>
      <c r="D147" s="1" t="s">
        <v>557</v>
      </c>
      <c r="E147" s="2" t="s">
        <v>558</v>
      </c>
      <c r="F147" s="2" t="s">
        <v>559</v>
      </c>
      <c r="G147" s="2">
        <v>8</v>
      </c>
      <c r="H147" s="2" t="s">
        <v>37</v>
      </c>
      <c r="I147" s="1">
        <v>0</v>
      </c>
      <c r="J147" s="3" t="s">
        <v>271</v>
      </c>
      <c r="K147" s="2" t="str">
        <f>J147*607.00</f>
        <v>0</v>
      </c>
      <c r="L147" s="5"/>
    </row>
    <row r="148" spans="1:12" customHeight="1" ht="105" outlineLevel="4">
      <c r="A148" s="1"/>
      <c r="B148" s="1">
        <v>818625</v>
      </c>
      <c r="C148" s="1" t="s">
        <v>560</v>
      </c>
      <c r="D148" s="1" t="s">
        <v>561</v>
      </c>
      <c r="E148" s="2" t="s">
        <v>562</v>
      </c>
      <c r="F148" s="2" t="s">
        <v>563</v>
      </c>
      <c r="G148" s="2" t="s">
        <v>79</v>
      </c>
      <c r="H148" s="2" t="s">
        <v>37</v>
      </c>
      <c r="I148" s="1">
        <v>0</v>
      </c>
      <c r="J148" s="3" t="s">
        <v>271</v>
      </c>
      <c r="K148" s="2" t="str">
        <f>J148*910.00</f>
        <v>0</v>
      </c>
      <c r="L148" s="5"/>
    </row>
    <row r="149" spans="1:12" customHeight="1" ht="105" outlineLevel="4">
      <c r="A149" s="1"/>
      <c r="B149" s="1">
        <v>818626</v>
      </c>
      <c r="C149" s="1" t="s">
        <v>564</v>
      </c>
      <c r="D149" s="1" t="s">
        <v>565</v>
      </c>
      <c r="E149" s="2" t="s">
        <v>566</v>
      </c>
      <c r="F149" s="2" t="s">
        <v>567</v>
      </c>
      <c r="G149" s="2" t="s">
        <v>79</v>
      </c>
      <c r="H149" s="2" t="s">
        <v>17</v>
      </c>
      <c r="I149" s="1">
        <v>0</v>
      </c>
      <c r="J149" s="3" t="s">
        <v>271</v>
      </c>
      <c r="K149" s="2" t="str">
        <f>J149*1202.00</f>
        <v>0</v>
      </c>
      <c r="L149" s="5"/>
    </row>
    <row r="150" spans="1:12" customHeight="1" ht="105" outlineLevel="4">
      <c r="A150" s="1"/>
      <c r="B150" s="1">
        <v>818627</v>
      </c>
      <c r="C150" s="1" t="s">
        <v>568</v>
      </c>
      <c r="D150" s="1" t="s">
        <v>569</v>
      </c>
      <c r="E150" s="2" t="s">
        <v>570</v>
      </c>
      <c r="F150" s="2" t="s">
        <v>571</v>
      </c>
      <c r="G150" s="2" t="s">
        <v>79</v>
      </c>
      <c r="H150" s="2" t="s">
        <v>17</v>
      </c>
      <c r="I150" s="1">
        <v>0</v>
      </c>
      <c r="J150" s="3" t="s">
        <v>271</v>
      </c>
      <c r="K150" s="2" t="str">
        <f>J150*2335.00</f>
        <v>0</v>
      </c>
      <c r="L150" s="5"/>
    </row>
    <row r="151" spans="1:12" customHeight="1" ht="105" outlineLevel="4">
      <c r="A151" s="1"/>
      <c r="B151" s="1">
        <v>818628</v>
      </c>
      <c r="C151" s="1" t="s">
        <v>572</v>
      </c>
      <c r="D151" s="1" t="s">
        <v>573</v>
      </c>
      <c r="E151" s="2" t="s">
        <v>574</v>
      </c>
      <c r="F151" s="2" t="s">
        <v>575</v>
      </c>
      <c r="G151" s="2">
        <v>1</v>
      </c>
      <c r="H151" s="2" t="s">
        <v>84</v>
      </c>
      <c r="I151" s="1">
        <v>0</v>
      </c>
      <c r="J151" s="3" t="s">
        <v>271</v>
      </c>
      <c r="K151" s="2" t="str">
        <f>J151*4187.00</f>
        <v>0</v>
      </c>
      <c r="L151" s="5"/>
    </row>
    <row r="152" spans="1:12" customHeight="1" ht="105" outlineLevel="4">
      <c r="A152" s="1"/>
      <c r="B152" s="1">
        <v>818629</v>
      </c>
      <c r="C152" s="1" t="s">
        <v>576</v>
      </c>
      <c r="D152" s="1" t="s">
        <v>577</v>
      </c>
      <c r="E152" s="2" t="s">
        <v>578</v>
      </c>
      <c r="F152" s="2" t="s">
        <v>579</v>
      </c>
      <c r="G152" s="2">
        <v>0</v>
      </c>
      <c r="H152" s="2" t="s">
        <v>79</v>
      </c>
      <c r="I152" s="1">
        <v>0</v>
      </c>
      <c r="J152" s="3" t="s">
        <v>271</v>
      </c>
      <c r="K152" s="2" t="str">
        <f>J152*5391.00</f>
        <v>0</v>
      </c>
      <c r="L152" s="5"/>
    </row>
    <row r="153" spans="1:12" customHeight="1" ht="105" outlineLevel="4">
      <c r="A153" s="1"/>
      <c r="B153" s="1">
        <v>818630</v>
      </c>
      <c r="C153" s="1" t="s">
        <v>580</v>
      </c>
      <c r="D153" s="1" t="s">
        <v>581</v>
      </c>
      <c r="E153" s="2" t="s">
        <v>582</v>
      </c>
      <c r="F153" s="2" t="s">
        <v>583</v>
      </c>
      <c r="G153" s="2">
        <v>0</v>
      </c>
      <c r="H153" s="2">
        <v>0</v>
      </c>
      <c r="I153" s="1">
        <v>0</v>
      </c>
      <c r="J153" s="3" t="s">
        <v>271</v>
      </c>
      <c r="K153" s="2" t="str">
        <f>J153*5959.00</f>
        <v>0</v>
      </c>
      <c r="L153" s="5"/>
    </row>
    <row r="154" spans="1:12" customHeight="1" ht="105" outlineLevel="4">
      <c r="A154" s="1"/>
      <c r="B154" s="1">
        <v>818631</v>
      </c>
      <c r="C154" s="1" t="s">
        <v>584</v>
      </c>
      <c r="D154" s="1" t="s">
        <v>585</v>
      </c>
      <c r="E154" s="2" t="s">
        <v>586</v>
      </c>
      <c r="F154" s="2" t="s">
        <v>587</v>
      </c>
      <c r="G154" s="2" t="s">
        <v>17</v>
      </c>
      <c r="H154" s="2" t="s">
        <v>18</v>
      </c>
      <c r="I154" s="1">
        <v>0</v>
      </c>
      <c r="J154" s="3" t="s">
        <v>271</v>
      </c>
      <c r="K154" s="2" t="str">
        <f>J154*163.00</f>
        <v>0</v>
      </c>
      <c r="L154" s="5"/>
    </row>
    <row r="155" spans="1:12" customHeight="1" ht="105" outlineLevel="4">
      <c r="A155" s="1"/>
      <c r="B155" s="1">
        <v>818632</v>
      </c>
      <c r="C155" s="1" t="s">
        <v>588</v>
      </c>
      <c r="D155" s="1" t="s">
        <v>589</v>
      </c>
      <c r="E155" s="2" t="s">
        <v>590</v>
      </c>
      <c r="F155" s="2" t="s">
        <v>591</v>
      </c>
      <c r="G155" s="2" t="s">
        <v>84</v>
      </c>
      <c r="H155" s="2" t="s">
        <v>18</v>
      </c>
      <c r="I155" s="1">
        <v>0</v>
      </c>
      <c r="J155" s="3" t="s">
        <v>271</v>
      </c>
      <c r="K155" s="2" t="str">
        <f>J155*207.00</f>
        <v>0</v>
      </c>
      <c r="L155" s="5"/>
    </row>
    <row r="156" spans="1:12" customHeight="1" ht="105" outlineLevel="4">
      <c r="A156" s="1"/>
      <c r="B156" s="1">
        <v>818633</v>
      </c>
      <c r="C156" s="1" t="s">
        <v>592</v>
      </c>
      <c r="D156" s="1" t="s">
        <v>593</v>
      </c>
      <c r="E156" s="2" t="s">
        <v>594</v>
      </c>
      <c r="F156" s="2" t="s">
        <v>595</v>
      </c>
      <c r="G156" s="2" t="s">
        <v>79</v>
      </c>
      <c r="H156" s="2" t="s">
        <v>18</v>
      </c>
      <c r="I156" s="1">
        <v>0</v>
      </c>
      <c r="J156" s="3" t="s">
        <v>271</v>
      </c>
      <c r="K156" s="2" t="str">
        <f>J156*225.00</f>
        <v>0</v>
      </c>
      <c r="L156" s="5"/>
    </row>
    <row r="157" spans="1:12" customHeight="1" ht="105" outlineLevel="4">
      <c r="A157" s="1"/>
      <c r="B157" s="1">
        <v>818634</v>
      </c>
      <c r="C157" s="1" t="s">
        <v>596</v>
      </c>
      <c r="D157" s="1" t="s">
        <v>597</v>
      </c>
      <c r="E157" s="2" t="s">
        <v>598</v>
      </c>
      <c r="F157" s="2" t="s">
        <v>599</v>
      </c>
      <c r="G157" s="2" t="s">
        <v>79</v>
      </c>
      <c r="H157" s="2" t="s">
        <v>37</v>
      </c>
      <c r="I157" s="1">
        <v>0</v>
      </c>
      <c r="J157" s="3" t="s">
        <v>271</v>
      </c>
      <c r="K157" s="2" t="str">
        <f>J157*395.00</f>
        <v>0</v>
      </c>
      <c r="L157" s="5"/>
    </row>
    <row r="158" spans="1:12" customHeight="1" ht="105" outlineLevel="4">
      <c r="A158" s="1"/>
      <c r="B158" s="1">
        <v>818635</v>
      </c>
      <c r="C158" s="1" t="s">
        <v>600</v>
      </c>
      <c r="D158" s="1" t="s">
        <v>601</v>
      </c>
      <c r="E158" s="2" t="s">
        <v>602</v>
      </c>
      <c r="F158" s="2" t="s">
        <v>603</v>
      </c>
      <c r="G158" s="2" t="s">
        <v>79</v>
      </c>
      <c r="H158" s="2" t="s">
        <v>17</v>
      </c>
      <c r="I158" s="1">
        <v>0</v>
      </c>
      <c r="J158" s="3" t="s">
        <v>271</v>
      </c>
      <c r="K158" s="2" t="str">
        <f>J158*422.00</f>
        <v>0</v>
      </c>
      <c r="L158" s="5"/>
    </row>
    <row r="159" spans="1:12" customHeight="1" ht="105" outlineLevel="4">
      <c r="A159" s="1"/>
      <c r="B159" s="1">
        <v>818636</v>
      </c>
      <c r="C159" s="1" t="s">
        <v>604</v>
      </c>
      <c r="D159" s="1" t="s">
        <v>605</v>
      </c>
      <c r="E159" s="2" t="s">
        <v>606</v>
      </c>
      <c r="F159" s="2" t="s">
        <v>607</v>
      </c>
      <c r="G159" s="2" t="s">
        <v>28</v>
      </c>
      <c r="H159" s="2">
        <v>0</v>
      </c>
      <c r="I159" s="1">
        <v>0</v>
      </c>
      <c r="J159" s="3" t="s">
        <v>271</v>
      </c>
      <c r="K159" s="2" t="str">
        <f>J159*299.00</f>
        <v>0</v>
      </c>
      <c r="L159" s="5"/>
    </row>
    <row r="160" spans="1:12" customHeight="1" ht="105" outlineLevel="4">
      <c r="A160" s="1"/>
      <c r="B160" s="1">
        <v>818637</v>
      </c>
      <c r="C160" s="1" t="s">
        <v>608</v>
      </c>
      <c r="D160" s="1" t="s">
        <v>609</v>
      </c>
      <c r="E160" s="2" t="s">
        <v>610</v>
      </c>
      <c r="F160" s="2" t="s">
        <v>611</v>
      </c>
      <c r="G160" s="2" t="s">
        <v>28</v>
      </c>
      <c r="H160" s="2" t="s">
        <v>18</v>
      </c>
      <c r="I160" s="1">
        <v>0</v>
      </c>
      <c r="J160" s="3" t="s">
        <v>271</v>
      </c>
      <c r="K160" s="2" t="str">
        <f>J160*249.00</f>
        <v>0</v>
      </c>
      <c r="L160" s="5"/>
    </row>
    <row r="161" spans="1:12" customHeight="1" ht="105" outlineLevel="4">
      <c r="A161" s="1"/>
      <c r="B161" s="1">
        <v>818638</v>
      </c>
      <c r="C161" s="1" t="s">
        <v>612</v>
      </c>
      <c r="D161" s="1" t="s">
        <v>613</v>
      </c>
      <c r="E161" s="2" t="s">
        <v>614</v>
      </c>
      <c r="F161" s="2" t="s">
        <v>615</v>
      </c>
      <c r="G161" s="2">
        <v>0</v>
      </c>
      <c r="H161" s="2">
        <v>0</v>
      </c>
      <c r="I161" s="1">
        <v>0</v>
      </c>
      <c r="J161" s="3" t="s">
        <v>271</v>
      </c>
      <c r="K161" s="2" t="str">
        <f>J161*326.00</f>
        <v>0</v>
      </c>
      <c r="L161" s="5"/>
    </row>
    <row r="162" spans="1:12" customHeight="1" ht="105" outlineLevel="4">
      <c r="A162" s="1"/>
      <c r="B162" s="1">
        <v>818639</v>
      </c>
      <c r="C162" s="1" t="s">
        <v>616</v>
      </c>
      <c r="D162" s="1" t="s">
        <v>617</v>
      </c>
      <c r="E162" s="2" t="s">
        <v>618</v>
      </c>
      <c r="F162" s="2" t="s">
        <v>619</v>
      </c>
      <c r="G162" s="2" t="s">
        <v>28</v>
      </c>
      <c r="H162" s="2">
        <v>0</v>
      </c>
      <c r="I162" s="1">
        <v>0</v>
      </c>
      <c r="J162" s="3" t="s">
        <v>271</v>
      </c>
      <c r="K162" s="2" t="str">
        <f>J162*418.00</f>
        <v>0</v>
      </c>
      <c r="L162" s="5"/>
    </row>
    <row r="163" spans="1:12" customHeight="1" ht="105" outlineLevel="4">
      <c r="A163" s="1"/>
      <c r="B163" s="1">
        <v>818640</v>
      </c>
      <c r="C163" s="1" t="s">
        <v>620</v>
      </c>
      <c r="D163" s="1" t="s">
        <v>621</v>
      </c>
      <c r="E163" s="2" t="s">
        <v>622</v>
      </c>
      <c r="F163" s="2" t="s">
        <v>623</v>
      </c>
      <c r="G163" s="2">
        <v>-13</v>
      </c>
      <c r="H163" s="2">
        <v>0</v>
      </c>
      <c r="I163" s="1">
        <v>0</v>
      </c>
      <c r="J163" s="3" t="s">
        <v>271</v>
      </c>
      <c r="K163" s="2" t="str">
        <f>J163*483.00</f>
        <v>0</v>
      </c>
      <c r="L163" s="5"/>
    </row>
    <row r="164" spans="1:12" customHeight="1" ht="105" outlineLevel="4">
      <c r="A164" s="1"/>
      <c r="B164" s="1">
        <v>818641</v>
      </c>
      <c r="C164" s="1" t="s">
        <v>624</v>
      </c>
      <c r="D164" s="1" t="s">
        <v>625</v>
      </c>
      <c r="E164" s="2" t="s">
        <v>626</v>
      </c>
      <c r="F164" s="2" t="s">
        <v>627</v>
      </c>
      <c r="G164" s="2" t="s">
        <v>28</v>
      </c>
      <c r="H164" s="2">
        <v>0</v>
      </c>
      <c r="I164" s="1">
        <v>0</v>
      </c>
      <c r="J164" s="3" t="s">
        <v>271</v>
      </c>
      <c r="K164" s="2" t="str">
        <f>J164*581.00</f>
        <v>0</v>
      </c>
      <c r="L164" s="5"/>
    </row>
    <row r="165" spans="1:12" customHeight="1" ht="105" outlineLevel="4">
      <c r="A165" s="1"/>
      <c r="B165" s="1">
        <v>818642</v>
      </c>
      <c r="C165" s="1" t="s">
        <v>628</v>
      </c>
      <c r="D165" s="1" t="s">
        <v>629</v>
      </c>
      <c r="E165" s="2" t="s">
        <v>630</v>
      </c>
      <c r="F165" s="2" t="s">
        <v>631</v>
      </c>
      <c r="G165" s="2">
        <v>0</v>
      </c>
      <c r="H165" s="2">
        <v>0</v>
      </c>
      <c r="I165" s="1">
        <v>0</v>
      </c>
      <c r="J165" s="3" t="s">
        <v>271</v>
      </c>
      <c r="K165" s="2" t="str">
        <f>J165*1785.00</f>
        <v>0</v>
      </c>
      <c r="L165" s="5"/>
    </row>
    <row r="166" spans="1:12" customHeight="1" ht="105" outlineLevel="4">
      <c r="A166" s="1"/>
      <c r="B166" s="1">
        <v>818643</v>
      </c>
      <c r="C166" s="1" t="s">
        <v>632</v>
      </c>
      <c r="D166" s="1" t="s">
        <v>633</v>
      </c>
      <c r="E166" s="2" t="s">
        <v>634</v>
      </c>
      <c r="F166" s="2" t="s">
        <v>635</v>
      </c>
      <c r="G166" s="2">
        <v>0</v>
      </c>
      <c r="H166" s="2">
        <v>0</v>
      </c>
      <c r="I166" s="1">
        <v>0</v>
      </c>
      <c r="J166" s="3" t="s">
        <v>271</v>
      </c>
      <c r="K166" s="2" t="str">
        <f>J166*943.00</f>
        <v>0</v>
      </c>
      <c r="L166" s="5"/>
    </row>
    <row r="167" spans="1:12" customHeight="1" ht="105" outlineLevel="4">
      <c r="A167" s="1"/>
      <c r="B167" s="1">
        <v>818644</v>
      </c>
      <c r="C167" s="1" t="s">
        <v>636</v>
      </c>
      <c r="D167" s="1" t="s">
        <v>637</v>
      </c>
      <c r="E167" s="2" t="s">
        <v>638</v>
      </c>
      <c r="F167" s="2" t="s">
        <v>527</v>
      </c>
      <c r="G167" s="2">
        <v>9</v>
      </c>
      <c r="H167" s="2" t="s">
        <v>17</v>
      </c>
      <c r="I167" s="1">
        <v>0</v>
      </c>
      <c r="J167" s="3" t="s">
        <v>271</v>
      </c>
      <c r="K167" s="2" t="str">
        <f>J167*485.00</f>
        <v>0</v>
      </c>
      <c r="L167" s="5"/>
    </row>
    <row r="168" spans="1:12" customHeight="1" ht="105" outlineLevel="4">
      <c r="A168" s="1"/>
      <c r="B168" s="1">
        <v>818645</v>
      </c>
      <c r="C168" s="1" t="s">
        <v>639</v>
      </c>
      <c r="D168" s="1" t="s">
        <v>640</v>
      </c>
      <c r="E168" s="2" t="s">
        <v>641</v>
      </c>
      <c r="F168" s="2" t="s">
        <v>642</v>
      </c>
      <c r="G168" s="2">
        <v>7</v>
      </c>
      <c r="H168" s="2" t="s">
        <v>28</v>
      </c>
      <c r="I168" s="1">
        <v>0</v>
      </c>
      <c r="J168" s="3" t="s">
        <v>271</v>
      </c>
      <c r="K168" s="2" t="str">
        <f>J168*547.00</f>
        <v>0</v>
      </c>
      <c r="L168" s="5"/>
    </row>
    <row r="169" spans="1:12" customHeight="1" ht="105" outlineLevel="4">
      <c r="A169" s="1"/>
      <c r="B169" s="1">
        <v>818646</v>
      </c>
      <c r="C169" s="1" t="s">
        <v>643</v>
      </c>
      <c r="D169" s="1" t="s">
        <v>644</v>
      </c>
      <c r="E169" s="2" t="s">
        <v>645</v>
      </c>
      <c r="F169" s="2" t="s">
        <v>646</v>
      </c>
      <c r="G169" s="2">
        <v>9</v>
      </c>
      <c r="H169" s="2" t="s">
        <v>28</v>
      </c>
      <c r="I169" s="1">
        <v>0</v>
      </c>
      <c r="J169" s="3" t="s">
        <v>271</v>
      </c>
      <c r="K169" s="2" t="str">
        <f>J169*960.00</f>
        <v>0</v>
      </c>
      <c r="L169" s="5"/>
    </row>
    <row r="170" spans="1:12" customHeight="1" ht="105" outlineLevel="4">
      <c r="A170" s="1"/>
      <c r="B170" s="1">
        <v>818647</v>
      </c>
      <c r="C170" s="1" t="s">
        <v>647</v>
      </c>
      <c r="D170" s="1" t="s">
        <v>648</v>
      </c>
      <c r="E170" s="2" t="s">
        <v>649</v>
      </c>
      <c r="F170" s="2" t="s">
        <v>356</v>
      </c>
      <c r="G170" s="2">
        <v>7</v>
      </c>
      <c r="H170" s="2">
        <v>0</v>
      </c>
      <c r="I170" s="1">
        <v>0</v>
      </c>
      <c r="J170" s="3" t="s">
        <v>271</v>
      </c>
      <c r="K170" s="2" t="str">
        <f>J170*274.00</f>
        <v>0</v>
      </c>
      <c r="L170" s="5"/>
    </row>
    <row r="171" spans="1:12" customHeight="1" ht="105" outlineLevel="4">
      <c r="A171" s="1"/>
      <c r="B171" s="1">
        <v>818648</v>
      </c>
      <c r="C171" s="1" t="s">
        <v>650</v>
      </c>
      <c r="D171" s="1" t="s">
        <v>651</v>
      </c>
      <c r="E171" s="2" t="s">
        <v>652</v>
      </c>
      <c r="F171" s="2" t="s">
        <v>653</v>
      </c>
      <c r="G171" s="2">
        <v>8</v>
      </c>
      <c r="H171" s="2" t="s">
        <v>17</v>
      </c>
      <c r="I171" s="1">
        <v>0</v>
      </c>
      <c r="J171" s="3" t="s">
        <v>271</v>
      </c>
      <c r="K171" s="2" t="str">
        <f>J171*331.00</f>
        <v>0</v>
      </c>
      <c r="L171" s="5"/>
    </row>
    <row r="172" spans="1:12" customHeight="1" ht="105" outlineLevel="4">
      <c r="A172" s="1"/>
      <c r="B172" s="1">
        <v>818649</v>
      </c>
      <c r="C172" s="1" t="s">
        <v>654</v>
      </c>
      <c r="D172" s="1" t="s">
        <v>655</v>
      </c>
      <c r="E172" s="2" t="s">
        <v>656</v>
      </c>
      <c r="F172" s="2" t="s">
        <v>657</v>
      </c>
      <c r="G172" s="2" t="s">
        <v>79</v>
      </c>
      <c r="H172" s="2" t="s">
        <v>17</v>
      </c>
      <c r="I172" s="1">
        <v>0</v>
      </c>
      <c r="J172" s="3" t="s">
        <v>271</v>
      </c>
      <c r="K172" s="2" t="str">
        <f>J172*579.00</f>
        <v>0</v>
      </c>
      <c r="L172" s="5"/>
    </row>
    <row r="173" spans="1:12" customHeight="1" ht="105" outlineLevel="4">
      <c r="A173" s="1"/>
      <c r="B173" s="1">
        <v>818650</v>
      </c>
      <c r="C173" s="1" t="s">
        <v>658</v>
      </c>
      <c r="D173" s="1" t="s">
        <v>659</v>
      </c>
      <c r="E173" s="2" t="s">
        <v>660</v>
      </c>
      <c r="F173" s="2" t="s">
        <v>661</v>
      </c>
      <c r="G173" s="2" t="s">
        <v>84</v>
      </c>
      <c r="H173" s="2" t="s">
        <v>17</v>
      </c>
      <c r="I173" s="1">
        <v>0</v>
      </c>
      <c r="J173" s="3" t="s">
        <v>271</v>
      </c>
      <c r="K173" s="2" t="str">
        <f>J173*587.00</f>
        <v>0</v>
      </c>
      <c r="L173" s="5"/>
    </row>
    <row r="174" spans="1:12" customHeight="1" ht="105" outlineLevel="4">
      <c r="A174" s="1"/>
      <c r="B174" s="1">
        <v>818651</v>
      </c>
      <c r="C174" s="1" t="s">
        <v>662</v>
      </c>
      <c r="D174" s="1" t="s">
        <v>663</v>
      </c>
      <c r="E174" s="2" t="s">
        <v>664</v>
      </c>
      <c r="F174" s="2" t="s">
        <v>665</v>
      </c>
      <c r="G174" s="2" t="s">
        <v>79</v>
      </c>
      <c r="H174" s="2" t="s">
        <v>17</v>
      </c>
      <c r="I174" s="1">
        <v>0</v>
      </c>
      <c r="J174" s="3" t="s">
        <v>271</v>
      </c>
      <c r="K174" s="2" t="str">
        <f>J174*905.00</f>
        <v>0</v>
      </c>
      <c r="L174" s="5"/>
    </row>
    <row r="175" spans="1:12" customHeight="1" ht="105" outlineLevel="4">
      <c r="A175" s="1"/>
      <c r="B175" s="1">
        <v>818652</v>
      </c>
      <c r="C175" s="1" t="s">
        <v>666</v>
      </c>
      <c r="D175" s="1" t="s">
        <v>667</v>
      </c>
      <c r="E175" s="2" t="s">
        <v>668</v>
      </c>
      <c r="F175" s="2" t="s">
        <v>669</v>
      </c>
      <c r="G175" s="2">
        <v>0</v>
      </c>
      <c r="H175" s="2">
        <v>0</v>
      </c>
      <c r="I175" s="1">
        <v>0</v>
      </c>
      <c r="J175" s="3" t="s">
        <v>271</v>
      </c>
      <c r="K175" s="2" t="str">
        <f>J175*590.00</f>
        <v>0</v>
      </c>
      <c r="L175" s="5"/>
    </row>
    <row r="176" spans="1:12" customHeight="1" ht="105" outlineLevel="4">
      <c r="A176" s="1"/>
      <c r="B176" s="1">
        <v>818653</v>
      </c>
      <c r="C176" s="1" t="s">
        <v>670</v>
      </c>
      <c r="D176" s="1" t="s">
        <v>671</v>
      </c>
      <c r="E176" s="2" t="s">
        <v>672</v>
      </c>
      <c r="F176" s="2" t="s">
        <v>673</v>
      </c>
      <c r="G176" s="2" t="s">
        <v>79</v>
      </c>
      <c r="H176" s="2" t="s">
        <v>28</v>
      </c>
      <c r="I176" s="1">
        <v>0</v>
      </c>
      <c r="J176" s="3" t="s">
        <v>271</v>
      </c>
      <c r="K176" s="2" t="str">
        <f>J176*1003.00</f>
        <v>0</v>
      </c>
      <c r="L176" s="5"/>
    </row>
    <row r="177" spans="1:12" customHeight="1" ht="105" outlineLevel="4">
      <c r="A177" s="1"/>
      <c r="B177" s="1">
        <v>818654</v>
      </c>
      <c r="C177" s="1" t="s">
        <v>674</v>
      </c>
      <c r="D177" s="1" t="s">
        <v>675</v>
      </c>
      <c r="E177" s="2" t="s">
        <v>676</v>
      </c>
      <c r="F177" s="2" t="s">
        <v>677</v>
      </c>
      <c r="G177" s="2">
        <v>10</v>
      </c>
      <c r="H177" s="2" t="s">
        <v>37</v>
      </c>
      <c r="I177" s="1">
        <v>0</v>
      </c>
      <c r="J177" s="3" t="s">
        <v>271</v>
      </c>
      <c r="K177" s="2" t="str">
        <f>J177*628.00</f>
        <v>0</v>
      </c>
      <c r="L177" s="5"/>
    </row>
    <row r="178" spans="1:12" customHeight="1" ht="105" outlineLevel="4">
      <c r="A178" s="1"/>
      <c r="B178" s="1">
        <v>818655</v>
      </c>
      <c r="C178" s="1" t="s">
        <v>678</v>
      </c>
      <c r="D178" s="1" t="s">
        <v>679</v>
      </c>
      <c r="E178" s="2" t="s">
        <v>680</v>
      </c>
      <c r="F178" s="2" t="s">
        <v>681</v>
      </c>
      <c r="G178" s="2">
        <v>8</v>
      </c>
      <c r="H178" s="2" t="s">
        <v>17</v>
      </c>
      <c r="I178" s="1">
        <v>0</v>
      </c>
      <c r="J178" s="3" t="s">
        <v>271</v>
      </c>
      <c r="K178" s="2" t="str">
        <f>J178*1072.00</f>
        <v>0</v>
      </c>
      <c r="L178" s="5"/>
    </row>
    <row r="179" spans="1:12" customHeight="1" ht="105" outlineLevel="4">
      <c r="A179" s="1"/>
      <c r="B179" s="1">
        <v>818656</v>
      </c>
      <c r="C179" s="1" t="s">
        <v>682</v>
      </c>
      <c r="D179" s="1" t="s">
        <v>683</v>
      </c>
      <c r="E179" s="2" t="s">
        <v>684</v>
      </c>
      <c r="F179" s="2" t="s">
        <v>685</v>
      </c>
      <c r="G179" s="2" t="s">
        <v>79</v>
      </c>
      <c r="H179" s="2" t="s">
        <v>18</v>
      </c>
      <c r="I179" s="1">
        <v>0</v>
      </c>
      <c r="J179" s="3" t="s">
        <v>271</v>
      </c>
      <c r="K179" s="2" t="str">
        <f>J179*613.00</f>
        <v>0</v>
      </c>
      <c r="L179" s="5"/>
    </row>
    <row r="180" spans="1:12" customHeight="1" ht="105" outlineLevel="4">
      <c r="A180" s="1"/>
      <c r="B180" s="1">
        <v>818657</v>
      </c>
      <c r="C180" s="1" t="s">
        <v>686</v>
      </c>
      <c r="D180" s="1" t="s">
        <v>687</v>
      </c>
      <c r="E180" s="2" t="s">
        <v>688</v>
      </c>
      <c r="F180" s="2" t="s">
        <v>689</v>
      </c>
      <c r="G180" s="2">
        <v>0</v>
      </c>
      <c r="H180" s="2" t="s">
        <v>28</v>
      </c>
      <c r="I180" s="1">
        <v>0</v>
      </c>
      <c r="J180" s="3" t="s">
        <v>271</v>
      </c>
      <c r="K180" s="2" t="str">
        <f>J180*1127.00</f>
        <v>0</v>
      </c>
      <c r="L180" s="5"/>
    </row>
    <row r="181" spans="1:12" customHeight="1" ht="105" outlineLevel="4">
      <c r="A181" s="1"/>
      <c r="B181" s="1">
        <v>818658</v>
      </c>
      <c r="C181" s="1" t="s">
        <v>690</v>
      </c>
      <c r="D181" s="1" t="s">
        <v>691</v>
      </c>
      <c r="E181" s="2" t="s">
        <v>692</v>
      </c>
      <c r="F181" s="2" t="s">
        <v>693</v>
      </c>
      <c r="G181" s="2">
        <v>3</v>
      </c>
      <c r="H181" s="2" t="s">
        <v>17</v>
      </c>
      <c r="I181" s="1">
        <v>0</v>
      </c>
      <c r="J181" s="3" t="s">
        <v>271</v>
      </c>
      <c r="K181" s="2" t="str">
        <f>J181*178.00</f>
        <v>0</v>
      </c>
      <c r="L181" s="5"/>
    </row>
    <row r="182" spans="1:12" customHeight="1" ht="105" outlineLevel="4">
      <c r="A182" s="1"/>
      <c r="B182" s="1">
        <v>818659</v>
      </c>
      <c r="C182" s="1" t="s">
        <v>694</v>
      </c>
      <c r="D182" s="1" t="s">
        <v>695</v>
      </c>
      <c r="E182" s="2" t="s">
        <v>696</v>
      </c>
      <c r="F182" s="2" t="s">
        <v>697</v>
      </c>
      <c r="G182" s="2">
        <v>8</v>
      </c>
      <c r="H182" s="2" t="s">
        <v>84</v>
      </c>
      <c r="I182" s="1">
        <v>0</v>
      </c>
      <c r="J182" s="3" t="s">
        <v>271</v>
      </c>
      <c r="K182" s="2" t="str">
        <f>J182*219.00</f>
        <v>0</v>
      </c>
      <c r="L182" s="5"/>
    </row>
    <row r="183" spans="1:12" customHeight="1" ht="105" outlineLevel="4">
      <c r="A183" s="1"/>
      <c r="B183" s="1">
        <v>818660</v>
      </c>
      <c r="C183" s="1" t="s">
        <v>698</v>
      </c>
      <c r="D183" s="1" t="s">
        <v>699</v>
      </c>
      <c r="E183" s="2" t="s">
        <v>700</v>
      </c>
      <c r="F183" s="2" t="s">
        <v>701</v>
      </c>
      <c r="G183" s="2">
        <v>2</v>
      </c>
      <c r="H183" s="2" t="s">
        <v>79</v>
      </c>
      <c r="I183" s="1">
        <v>0</v>
      </c>
      <c r="J183" s="3" t="s">
        <v>271</v>
      </c>
      <c r="K183" s="2" t="str">
        <f>J183*536.00</f>
        <v>0</v>
      </c>
      <c r="L183" s="5"/>
    </row>
    <row r="184" spans="1:12" customHeight="1" ht="105" outlineLevel="4">
      <c r="A184" s="1"/>
      <c r="B184" s="1">
        <v>818661</v>
      </c>
      <c r="C184" s="1" t="s">
        <v>702</v>
      </c>
      <c r="D184" s="1" t="s">
        <v>703</v>
      </c>
      <c r="E184" s="2" t="s">
        <v>704</v>
      </c>
      <c r="F184" s="2" t="s">
        <v>705</v>
      </c>
      <c r="G184" s="2">
        <v>5</v>
      </c>
      <c r="H184" s="2" t="s">
        <v>28</v>
      </c>
      <c r="I184" s="1">
        <v>0</v>
      </c>
      <c r="J184" s="3" t="s">
        <v>271</v>
      </c>
      <c r="K184" s="2" t="str">
        <f>J184*169.00</f>
        <v>0</v>
      </c>
      <c r="L184" s="5"/>
    </row>
    <row r="185" spans="1:12" customHeight="1" ht="105" outlineLevel="4">
      <c r="A185" s="1"/>
      <c r="B185" s="1">
        <v>818662</v>
      </c>
      <c r="C185" s="1" t="s">
        <v>706</v>
      </c>
      <c r="D185" s="1" t="s">
        <v>707</v>
      </c>
      <c r="E185" s="2" t="s">
        <v>708</v>
      </c>
      <c r="F185" s="2" t="s">
        <v>709</v>
      </c>
      <c r="G185" s="2" t="s">
        <v>79</v>
      </c>
      <c r="H185" s="2" t="s">
        <v>17</v>
      </c>
      <c r="I185" s="1">
        <v>0</v>
      </c>
      <c r="J185" s="3" t="s">
        <v>271</v>
      </c>
      <c r="K185" s="2" t="str">
        <f>J185*270.00</f>
        <v>0</v>
      </c>
      <c r="L185" s="5"/>
    </row>
    <row r="186" spans="1:12" customHeight="1" ht="105" outlineLevel="4">
      <c r="A186" s="1"/>
      <c r="B186" s="1">
        <v>818663</v>
      </c>
      <c r="C186" s="1" t="s">
        <v>710</v>
      </c>
      <c r="D186" s="1" t="s">
        <v>711</v>
      </c>
      <c r="E186" s="2" t="s">
        <v>712</v>
      </c>
      <c r="F186" s="2" t="s">
        <v>713</v>
      </c>
      <c r="G186" s="2">
        <v>0</v>
      </c>
      <c r="H186" s="2" t="s">
        <v>84</v>
      </c>
      <c r="I186" s="1">
        <v>0</v>
      </c>
      <c r="J186" s="3" t="s">
        <v>271</v>
      </c>
      <c r="K186" s="2" t="str">
        <f>J186*488.00</f>
        <v>0</v>
      </c>
      <c r="L186" s="5"/>
    </row>
    <row r="187" spans="1:12" customHeight="1" ht="105" outlineLevel="4">
      <c r="A187" s="1"/>
      <c r="B187" s="1">
        <v>818664</v>
      </c>
      <c r="C187" s="1" t="s">
        <v>714</v>
      </c>
      <c r="D187" s="1" t="s">
        <v>715</v>
      </c>
      <c r="E187" s="2" t="s">
        <v>716</v>
      </c>
      <c r="F187" s="2" t="s">
        <v>717</v>
      </c>
      <c r="G187" s="2" t="s">
        <v>17</v>
      </c>
      <c r="H187" s="2" t="s">
        <v>54</v>
      </c>
      <c r="I187" s="1">
        <v>0</v>
      </c>
      <c r="J187" s="3" t="s">
        <v>271</v>
      </c>
      <c r="K187" s="2" t="str">
        <f>J187*361.00</f>
        <v>0</v>
      </c>
      <c r="L187" s="5"/>
    </row>
    <row r="188" spans="1:12" customHeight="1" ht="105" outlineLevel="4">
      <c r="A188" s="1"/>
      <c r="B188" s="1">
        <v>818665</v>
      </c>
      <c r="C188" s="1" t="s">
        <v>718</v>
      </c>
      <c r="D188" s="1" t="s">
        <v>719</v>
      </c>
      <c r="E188" s="2" t="s">
        <v>720</v>
      </c>
      <c r="F188" s="2" t="s">
        <v>721</v>
      </c>
      <c r="G188" s="2" t="s">
        <v>79</v>
      </c>
      <c r="H188" s="2" t="s">
        <v>37</v>
      </c>
      <c r="I188" s="1">
        <v>0</v>
      </c>
      <c r="J188" s="3" t="s">
        <v>271</v>
      </c>
      <c r="K188" s="2" t="str">
        <f>J188*394.00</f>
        <v>0</v>
      </c>
      <c r="L188" s="5"/>
    </row>
    <row r="189" spans="1:12" customHeight="1" ht="105" outlineLevel="4">
      <c r="A189" s="1"/>
      <c r="B189" s="1">
        <v>818666</v>
      </c>
      <c r="C189" s="1" t="s">
        <v>722</v>
      </c>
      <c r="D189" s="1" t="s">
        <v>723</v>
      </c>
      <c r="E189" s="2" t="s">
        <v>724</v>
      </c>
      <c r="F189" s="2" t="s">
        <v>416</v>
      </c>
      <c r="G189" s="2">
        <v>0</v>
      </c>
      <c r="H189" s="2">
        <v>0</v>
      </c>
      <c r="I189" s="1">
        <v>0</v>
      </c>
      <c r="J189" s="3" t="s">
        <v>271</v>
      </c>
      <c r="K189" s="2" t="str">
        <f>J189*75.00</f>
        <v>0</v>
      </c>
      <c r="L189" s="5"/>
    </row>
    <row r="190" spans="1:12" customHeight="1" ht="105" outlineLevel="4">
      <c r="A190" s="1"/>
      <c r="B190" s="1">
        <v>818667</v>
      </c>
      <c r="C190" s="1" t="s">
        <v>725</v>
      </c>
      <c r="D190" s="1" t="s">
        <v>726</v>
      </c>
      <c r="E190" s="2" t="s">
        <v>727</v>
      </c>
      <c r="F190" s="2" t="s">
        <v>443</v>
      </c>
      <c r="G190" s="2" t="s">
        <v>18</v>
      </c>
      <c r="H190" s="2" t="s">
        <v>54</v>
      </c>
      <c r="I190" s="1">
        <v>0</v>
      </c>
      <c r="J190" s="3" t="s">
        <v>271</v>
      </c>
      <c r="K190" s="2" t="str">
        <f>J190*18.00</f>
        <v>0</v>
      </c>
      <c r="L190" s="5"/>
    </row>
    <row r="191" spans="1:12" customHeight="1" ht="105" outlineLevel="4">
      <c r="A191" s="1"/>
      <c r="B191" s="1">
        <v>818668</v>
      </c>
      <c r="C191" s="1" t="s">
        <v>728</v>
      </c>
      <c r="D191" s="1" t="s">
        <v>729</v>
      </c>
      <c r="E191" s="2" t="s">
        <v>730</v>
      </c>
      <c r="F191" s="2" t="s">
        <v>384</v>
      </c>
      <c r="G191" s="2" t="s">
        <v>37</v>
      </c>
      <c r="H191" s="2" t="s">
        <v>54</v>
      </c>
      <c r="I191" s="1">
        <v>0</v>
      </c>
      <c r="J191" s="3" t="s">
        <v>271</v>
      </c>
      <c r="K191" s="2" t="str">
        <f>J191*28.00</f>
        <v>0</v>
      </c>
      <c r="L191" s="5"/>
    </row>
    <row r="192" spans="1:12" customHeight="1" ht="105" outlineLevel="4">
      <c r="A192" s="1"/>
      <c r="B192" s="1">
        <v>818669</v>
      </c>
      <c r="C192" s="1" t="s">
        <v>731</v>
      </c>
      <c r="D192" s="1" t="s">
        <v>732</v>
      </c>
      <c r="E192" s="2" t="s">
        <v>733</v>
      </c>
      <c r="F192" s="2" t="s">
        <v>734</v>
      </c>
      <c r="G192" s="2" t="s">
        <v>17</v>
      </c>
      <c r="H192" s="2" t="s">
        <v>54</v>
      </c>
      <c r="I192" s="1">
        <v>0</v>
      </c>
      <c r="J192" s="3" t="s">
        <v>271</v>
      </c>
      <c r="K192" s="2" t="str">
        <f>J192*47.00</f>
        <v>0</v>
      </c>
      <c r="L192" s="5"/>
    </row>
    <row r="193" spans="1:12" customHeight="1" ht="105" outlineLevel="4">
      <c r="A193" s="1"/>
      <c r="B193" s="1">
        <v>818670</v>
      </c>
      <c r="C193" s="1" t="s">
        <v>735</v>
      </c>
      <c r="D193" s="1" t="s">
        <v>736</v>
      </c>
      <c r="E193" s="2" t="s">
        <v>737</v>
      </c>
      <c r="F193" s="2" t="s">
        <v>738</v>
      </c>
      <c r="G193" s="2" t="s">
        <v>79</v>
      </c>
      <c r="H193" s="2" t="s">
        <v>37</v>
      </c>
      <c r="I193" s="1">
        <v>0</v>
      </c>
      <c r="J193" s="3" t="s">
        <v>271</v>
      </c>
      <c r="K193" s="2" t="str">
        <f>J193*89.00</f>
        <v>0</v>
      </c>
      <c r="L193" s="5"/>
    </row>
    <row r="194" spans="1:12" customHeight="1" ht="105" outlineLevel="4">
      <c r="A194" s="1"/>
      <c r="B194" s="1">
        <v>818671</v>
      </c>
      <c r="C194" s="1" t="s">
        <v>739</v>
      </c>
      <c r="D194" s="1" t="s">
        <v>740</v>
      </c>
      <c r="E194" s="2" t="s">
        <v>741</v>
      </c>
      <c r="F194" s="2" t="s">
        <v>321</v>
      </c>
      <c r="G194" s="2">
        <v>10</v>
      </c>
      <c r="H194" s="2" t="s">
        <v>17</v>
      </c>
      <c r="I194" s="1">
        <v>0</v>
      </c>
      <c r="J194" s="3" t="s">
        <v>271</v>
      </c>
      <c r="K194" s="2" t="str">
        <f>J194*159.00</f>
        <v>0</v>
      </c>
      <c r="L194" s="5"/>
    </row>
    <row r="195" spans="1:12" customHeight="1" ht="105" outlineLevel="4">
      <c r="A195" s="1"/>
      <c r="B195" s="1">
        <v>818672</v>
      </c>
      <c r="C195" s="1" t="s">
        <v>742</v>
      </c>
      <c r="D195" s="1" t="s">
        <v>743</v>
      </c>
      <c r="E195" s="2" t="s">
        <v>744</v>
      </c>
      <c r="F195" s="2" t="s">
        <v>745</v>
      </c>
      <c r="G195" s="2">
        <v>1</v>
      </c>
      <c r="H195" s="2" t="s">
        <v>17</v>
      </c>
      <c r="I195" s="1">
        <v>0</v>
      </c>
      <c r="J195" s="3" t="s">
        <v>271</v>
      </c>
      <c r="K195" s="2" t="str">
        <f>J195*319.00</f>
        <v>0</v>
      </c>
      <c r="L195" s="5"/>
    </row>
    <row r="196" spans="1:12" customHeight="1" ht="105" outlineLevel="4">
      <c r="A196" s="1"/>
      <c r="B196" s="1">
        <v>818673</v>
      </c>
      <c r="C196" s="1" t="s">
        <v>746</v>
      </c>
      <c r="D196" s="1" t="s">
        <v>747</v>
      </c>
      <c r="E196" s="2" t="s">
        <v>748</v>
      </c>
      <c r="F196" s="2" t="s">
        <v>749</v>
      </c>
      <c r="G196" s="2">
        <v>0</v>
      </c>
      <c r="H196" s="2" t="s">
        <v>28</v>
      </c>
      <c r="I196" s="1">
        <v>0</v>
      </c>
      <c r="J196" s="3" t="s">
        <v>271</v>
      </c>
      <c r="K196" s="2" t="str">
        <f>J196*557.00</f>
        <v>0</v>
      </c>
      <c r="L196" s="5"/>
    </row>
    <row r="197" spans="1:12" customHeight="1" ht="105" outlineLevel="4">
      <c r="A197" s="1"/>
      <c r="B197" s="1">
        <v>818674</v>
      </c>
      <c r="C197" s="1" t="s">
        <v>750</v>
      </c>
      <c r="D197" s="1" t="s">
        <v>751</v>
      </c>
      <c r="E197" s="2" t="s">
        <v>752</v>
      </c>
      <c r="F197" s="2" t="s">
        <v>753</v>
      </c>
      <c r="G197" s="2">
        <v>0</v>
      </c>
      <c r="H197" s="2" t="s">
        <v>28</v>
      </c>
      <c r="I197" s="1">
        <v>0</v>
      </c>
      <c r="J197" s="3" t="s">
        <v>271</v>
      </c>
      <c r="K197" s="2" t="str">
        <f>J197*1035.00</f>
        <v>0</v>
      </c>
      <c r="L197" s="5"/>
    </row>
    <row r="198" spans="1:12" customHeight="1" ht="105" outlineLevel="4">
      <c r="A198" s="1"/>
      <c r="B198" s="1">
        <v>818675</v>
      </c>
      <c r="C198" s="1" t="s">
        <v>754</v>
      </c>
      <c r="D198" s="1" t="s">
        <v>755</v>
      </c>
      <c r="E198" s="2" t="s">
        <v>756</v>
      </c>
      <c r="F198" s="2" t="s">
        <v>757</v>
      </c>
      <c r="G198" s="2" t="s">
        <v>84</v>
      </c>
      <c r="H198" s="2" t="s">
        <v>18</v>
      </c>
      <c r="I198" s="1">
        <v>0</v>
      </c>
      <c r="J198" s="3" t="s">
        <v>271</v>
      </c>
      <c r="K198" s="2" t="str">
        <f>J198*157.00</f>
        <v>0</v>
      </c>
      <c r="L198" s="5"/>
    </row>
    <row r="199" spans="1:12" customHeight="1" ht="105" outlineLevel="4">
      <c r="A199" s="1"/>
      <c r="B199" s="1">
        <v>818676</v>
      </c>
      <c r="C199" s="1" t="s">
        <v>758</v>
      </c>
      <c r="D199" s="1" t="s">
        <v>759</v>
      </c>
      <c r="E199" s="2" t="s">
        <v>760</v>
      </c>
      <c r="F199" s="2" t="s">
        <v>761</v>
      </c>
      <c r="G199" s="2" t="s">
        <v>79</v>
      </c>
      <c r="H199" s="2" t="s">
        <v>17</v>
      </c>
      <c r="I199" s="1">
        <v>0</v>
      </c>
      <c r="J199" s="3" t="s">
        <v>271</v>
      </c>
      <c r="K199" s="2" t="str">
        <f>J199*194.00</f>
        <v>0</v>
      </c>
      <c r="L199" s="5"/>
    </row>
    <row r="200" spans="1:12" customHeight="1" ht="105" outlineLevel="4">
      <c r="A200" s="1"/>
      <c r="B200" s="1">
        <v>818677</v>
      </c>
      <c r="C200" s="1" t="s">
        <v>762</v>
      </c>
      <c r="D200" s="1" t="s">
        <v>763</v>
      </c>
      <c r="E200" s="2" t="s">
        <v>764</v>
      </c>
      <c r="F200" s="2" t="s">
        <v>765</v>
      </c>
      <c r="G200" s="2" t="s">
        <v>79</v>
      </c>
      <c r="H200" s="2" t="s">
        <v>18</v>
      </c>
      <c r="I200" s="1">
        <v>0</v>
      </c>
      <c r="J200" s="3" t="s">
        <v>271</v>
      </c>
      <c r="K200" s="2" t="str">
        <f>J200*179.00</f>
        <v>0</v>
      </c>
      <c r="L200" s="5"/>
    </row>
    <row r="201" spans="1:12" customHeight="1" ht="105" outlineLevel="4">
      <c r="A201" s="1"/>
      <c r="B201" s="1">
        <v>818678</v>
      </c>
      <c r="C201" s="1" t="s">
        <v>766</v>
      </c>
      <c r="D201" s="1" t="s">
        <v>767</v>
      </c>
      <c r="E201" s="2" t="s">
        <v>768</v>
      </c>
      <c r="F201" s="2" t="s">
        <v>769</v>
      </c>
      <c r="G201" s="2" t="s">
        <v>79</v>
      </c>
      <c r="H201" s="2" t="s">
        <v>17</v>
      </c>
      <c r="I201" s="1">
        <v>0</v>
      </c>
      <c r="J201" s="3" t="s">
        <v>271</v>
      </c>
      <c r="K201" s="2" t="str">
        <f>J201*214.00</f>
        <v>0</v>
      </c>
      <c r="L201" s="5"/>
    </row>
    <row r="202" spans="1:12" customHeight="1" ht="105" outlineLevel="4">
      <c r="A202" s="1"/>
      <c r="B202" s="1">
        <v>818679</v>
      </c>
      <c r="C202" s="1" t="s">
        <v>770</v>
      </c>
      <c r="D202" s="1" t="s">
        <v>771</v>
      </c>
      <c r="E202" s="2" t="s">
        <v>772</v>
      </c>
      <c r="F202" s="2" t="s">
        <v>773</v>
      </c>
      <c r="G202" s="2" t="s">
        <v>84</v>
      </c>
      <c r="H202" s="2" t="s">
        <v>37</v>
      </c>
      <c r="I202" s="1">
        <v>0</v>
      </c>
      <c r="J202" s="3" t="s">
        <v>271</v>
      </c>
      <c r="K202" s="2" t="str">
        <f>J202*285.00</f>
        <v>0</v>
      </c>
      <c r="L202" s="5"/>
    </row>
    <row r="203" spans="1:12" customHeight="1" ht="105" outlineLevel="4">
      <c r="A203" s="1"/>
      <c r="B203" s="1">
        <v>818680</v>
      </c>
      <c r="C203" s="1" t="s">
        <v>774</v>
      </c>
      <c r="D203" s="1" t="s">
        <v>775</v>
      </c>
      <c r="E203" s="2" t="s">
        <v>776</v>
      </c>
      <c r="F203" s="2" t="s">
        <v>777</v>
      </c>
      <c r="G203" s="2" t="s">
        <v>79</v>
      </c>
      <c r="H203" s="2" t="s">
        <v>17</v>
      </c>
      <c r="I203" s="1">
        <v>0</v>
      </c>
      <c r="J203" s="3" t="s">
        <v>271</v>
      </c>
      <c r="K203" s="2" t="str">
        <f>J203*308.00</f>
        <v>0</v>
      </c>
      <c r="L203" s="5"/>
    </row>
    <row r="204" spans="1:12" customHeight="1" ht="105" outlineLevel="4">
      <c r="A204" s="1"/>
      <c r="B204" s="1">
        <v>818681</v>
      </c>
      <c r="C204" s="1" t="s">
        <v>778</v>
      </c>
      <c r="D204" s="1" t="s">
        <v>779</v>
      </c>
      <c r="E204" s="2" t="s">
        <v>780</v>
      </c>
      <c r="F204" s="2" t="s">
        <v>781</v>
      </c>
      <c r="G204" s="2" t="s">
        <v>79</v>
      </c>
      <c r="H204" s="2" t="s">
        <v>17</v>
      </c>
      <c r="I204" s="1">
        <v>0</v>
      </c>
      <c r="J204" s="3" t="s">
        <v>271</v>
      </c>
      <c r="K204" s="2" t="str">
        <f>J204*382.00</f>
        <v>0</v>
      </c>
      <c r="L204" s="5"/>
    </row>
    <row r="205" spans="1:12" customHeight="1" ht="105" outlineLevel="4">
      <c r="A205" s="1"/>
      <c r="B205" s="1">
        <v>818682</v>
      </c>
      <c r="C205" s="1" t="s">
        <v>782</v>
      </c>
      <c r="D205" s="1" t="s">
        <v>783</v>
      </c>
      <c r="E205" s="2" t="s">
        <v>784</v>
      </c>
      <c r="F205" s="2" t="s">
        <v>785</v>
      </c>
      <c r="G205" s="2" t="s">
        <v>17</v>
      </c>
      <c r="H205" s="2" t="s">
        <v>18</v>
      </c>
      <c r="I205" s="1">
        <v>0</v>
      </c>
      <c r="J205" s="3" t="s">
        <v>271</v>
      </c>
      <c r="K205" s="2" t="str">
        <f>J205*196.00</f>
        <v>0</v>
      </c>
      <c r="L205" s="5"/>
    </row>
    <row r="206" spans="1:12" customHeight="1" ht="105" outlineLevel="4">
      <c r="A206" s="1"/>
      <c r="B206" s="1">
        <v>818683</v>
      </c>
      <c r="C206" s="1" t="s">
        <v>786</v>
      </c>
      <c r="D206" s="1" t="s">
        <v>787</v>
      </c>
      <c r="E206" s="2" t="s">
        <v>788</v>
      </c>
      <c r="F206" s="2" t="s">
        <v>291</v>
      </c>
      <c r="G206" s="2" t="s">
        <v>28</v>
      </c>
      <c r="H206" s="2" t="s">
        <v>17</v>
      </c>
      <c r="I206" s="1">
        <v>0</v>
      </c>
      <c r="J206" s="3" t="s">
        <v>271</v>
      </c>
      <c r="K206" s="2" t="str">
        <f>J206*246.00</f>
        <v>0</v>
      </c>
      <c r="L206" s="5"/>
    </row>
    <row r="207" spans="1:12" customHeight="1" ht="105" outlineLevel="4">
      <c r="A207" s="1"/>
      <c r="B207" s="1">
        <v>818684</v>
      </c>
      <c r="C207" s="1" t="s">
        <v>789</v>
      </c>
      <c r="D207" s="1" t="s">
        <v>790</v>
      </c>
      <c r="E207" s="2" t="s">
        <v>791</v>
      </c>
      <c r="F207" s="2" t="s">
        <v>792</v>
      </c>
      <c r="G207" s="2" t="s">
        <v>84</v>
      </c>
      <c r="H207" s="2" t="s">
        <v>37</v>
      </c>
      <c r="I207" s="1">
        <v>0</v>
      </c>
      <c r="J207" s="3" t="s">
        <v>271</v>
      </c>
      <c r="K207" s="2" t="str">
        <f>J207*248.00</f>
        <v>0</v>
      </c>
      <c r="L207" s="5"/>
    </row>
    <row r="208" spans="1:12" customHeight="1" ht="105" outlineLevel="4">
      <c r="A208" s="1"/>
      <c r="B208" s="1">
        <v>818685</v>
      </c>
      <c r="C208" s="1" t="s">
        <v>793</v>
      </c>
      <c r="D208" s="1" t="s">
        <v>794</v>
      </c>
      <c r="E208" s="2" t="s">
        <v>795</v>
      </c>
      <c r="F208" s="2" t="s">
        <v>796</v>
      </c>
      <c r="G208" s="2" t="s">
        <v>17</v>
      </c>
      <c r="H208" s="2" t="s">
        <v>17</v>
      </c>
      <c r="I208" s="1">
        <v>0</v>
      </c>
      <c r="J208" s="3" t="s">
        <v>271</v>
      </c>
      <c r="K208" s="2" t="str">
        <f>J208*307.00</f>
        <v>0</v>
      </c>
      <c r="L208" s="5"/>
    </row>
    <row r="209" spans="1:12" customHeight="1" ht="105" outlineLevel="4">
      <c r="A209" s="1"/>
      <c r="B209" s="1">
        <v>818686</v>
      </c>
      <c r="C209" s="1" t="s">
        <v>797</v>
      </c>
      <c r="D209" s="1" t="s">
        <v>798</v>
      </c>
      <c r="E209" s="2" t="s">
        <v>799</v>
      </c>
      <c r="F209" s="2" t="s">
        <v>800</v>
      </c>
      <c r="G209" s="2">
        <v>3</v>
      </c>
      <c r="H209" s="2" t="s">
        <v>37</v>
      </c>
      <c r="I209" s="1">
        <v>0</v>
      </c>
      <c r="J209" s="3" t="s">
        <v>271</v>
      </c>
      <c r="K209" s="2" t="str">
        <f>J209*330.00</f>
        <v>0</v>
      </c>
      <c r="L209" s="5"/>
    </row>
    <row r="210" spans="1:12" customHeight="1" ht="105" outlineLevel="4">
      <c r="A210" s="1"/>
      <c r="B210" s="1">
        <v>818687</v>
      </c>
      <c r="C210" s="1" t="s">
        <v>801</v>
      </c>
      <c r="D210" s="1" t="s">
        <v>802</v>
      </c>
      <c r="E210" s="2" t="s">
        <v>803</v>
      </c>
      <c r="F210" s="2" t="s">
        <v>804</v>
      </c>
      <c r="G210" s="2" t="s">
        <v>79</v>
      </c>
      <c r="H210" s="2" t="s">
        <v>37</v>
      </c>
      <c r="I210" s="1">
        <v>0</v>
      </c>
      <c r="J210" s="3" t="s">
        <v>271</v>
      </c>
      <c r="K210" s="2" t="str">
        <f>J210*365.00</f>
        <v>0</v>
      </c>
      <c r="L210" s="5"/>
    </row>
    <row r="211" spans="1:12" customHeight="1" ht="105" outlineLevel="4">
      <c r="A211" s="1"/>
      <c r="B211" s="1">
        <v>818688</v>
      </c>
      <c r="C211" s="1" t="s">
        <v>805</v>
      </c>
      <c r="D211" s="1" t="s">
        <v>806</v>
      </c>
      <c r="E211" s="2" t="s">
        <v>807</v>
      </c>
      <c r="F211" s="2" t="s">
        <v>808</v>
      </c>
      <c r="G211" s="2" t="s">
        <v>17</v>
      </c>
      <c r="H211" s="2" t="s">
        <v>17</v>
      </c>
      <c r="I211" s="1">
        <v>0</v>
      </c>
      <c r="J211" s="3" t="s">
        <v>271</v>
      </c>
      <c r="K211" s="2" t="str">
        <f>J211*454.00</f>
        <v>0</v>
      </c>
      <c r="L211" s="5"/>
    </row>
    <row r="212" spans="1:12" customHeight="1" ht="105" outlineLevel="4">
      <c r="A212" s="1"/>
      <c r="B212" s="1">
        <v>818689</v>
      </c>
      <c r="C212" s="1" t="s">
        <v>809</v>
      </c>
      <c r="D212" s="1" t="s">
        <v>810</v>
      </c>
      <c r="E212" s="2" t="s">
        <v>811</v>
      </c>
      <c r="F212" s="2" t="s">
        <v>812</v>
      </c>
      <c r="G212" s="2" t="s">
        <v>79</v>
      </c>
      <c r="H212" s="2" t="s">
        <v>17</v>
      </c>
      <c r="I212" s="1">
        <v>0</v>
      </c>
      <c r="J212" s="3" t="s">
        <v>271</v>
      </c>
      <c r="K212" s="2" t="str">
        <f>J212*289.00</f>
        <v>0</v>
      </c>
      <c r="L212" s="5"/>
    </row>
    <row r="213" spans="1:12" customHeight="1" ht="105" outlineLevel="4">
      <c r="A213" s="1"/>
      <c r="B213" s="1">
        <v>818690</v>
      </c>
      <c r="C213" s="1" t="s">
        <v>813</v>
      </c>
      <c r="D213" s="1" t="s">
        <v>814</v>
      </c>
      <c r="E213" s="2" t="s">
        <v>815</v>
      </c>
      <c r="F213" s="2" t="s">
        <v>745</v>
      </c>
      <c r="G213" s="2" t="s">
        <v>79</v>
      </c>
      <c r="H213" s="2" t="s">
        <v>17</v>
      </c>
      <c r="I213" s="1">
        <v>0</v>
      </c>
      <c r="J213" s="3" t="s">
        <v>271</v>
      </c>
      <c r="K213" s="2" t="str">
        <f>J213*319.00</f>
        <v>0</v>
      </c>
      <c r="L213" s="5"/>
    </row>
    <row r="214" spans="1:12" customHeight="1" ht="105" outlineLevel="4">
      <c r="A214" s="1"/>
      <c r="B214" s="1">
        <v>818691</v>
      </c>
      <c r="C214" s="1" t="s">
        <v>816</v>
      </c>
      <c r="D214" s="1" t="s">
        <v>817</v>
      </c>
      <c r="E214" s="2" t="s">
        <v>818</v>
      </c>
      <c r="F214" s="2" t="s">
        <v>819</v>
      </c>
      <c r="G214" s="2" t="s">
        <v>79</v>
      </c>
      <c r="H214" s="2" t="s">
        <v>37</v>
      </c>
      <c r="I214" s="1">
        <v>0</v>
      </c>
      <c r="J214" s="3" t="s">
        <v>271</v>
      </c>
      <c r="K214" s="2" t="str">
        <f>J214*33.00</f>
        <v>0</v>
      </c>
      <c r="L214" s="5"/>
    </row>
    <row r="215" spans="1:12" customHeight="1" ht="105" outlineLevel="4">
      <c r="A215" s="1"/>
      <c r="B215" s="1">
        <v>818692</v>
      </c>
      <c r="C215" s="1" t="s">
        <v>820</v>
      </c>
      <c r="D215" s="1" t="s">
        <v>821</v>
      </c>
      <c r="E215" s="2" t="s">
        <v>822</v>
      </c>
      <c r="F215" s="2" t="s">
        <v>823</v>
      </c>
      <c r="G215" s="2" t="s">
        <v>17</v>
      </c>
      <c r="H215" s="2" t="s">
        <v>54</v>
      </c>
      <c r="I215" s="1">
        <v>0</v>
      </c>
      <c r="J215" s="3" t="s">
        <v>271</v>
      </c>
      <c r="K215" s="2" t="str">
        <f>J215*29.00</f>
        <v>0</v>
      </c>
      <c r="L215" s="5"/>
    </row>
    <row r="216" spans="1:12" customHeight="1" ht="105" outlineLevel="4">
      <c r="A216" s="1"/>
      <c r="B216" s="1">
        <v>818693</v>
      </c>
      <c r="C216" s="1" t="s">
        <v>824</v>
      </c>
      <c r="D216" s="1" t="s">
        <v>825</v>
      </c>
      <c r="E216" s="2" t="s">
        <v>826</v>
      </c>
      <c r="F216" s="2" t="s">
        <v>827</v>
      </c>
      <c r="G216" s="2" t="s">
        <v>84</v>
      </c>
      <c r="H216" s="2" t="s">
        <v>17</v>
      </c>
      <c r="I216" s="1">
        <v>0</v>
      </c>
      <c r="J216" s="3" t="s">
        <v>271</v>
      </c>
      <c r="K216" s="2" t="str">
        <f>J216*42.00</f>
        <v>0</v>
      </c>
      <c r="L216" s="5"/>
    </row>
    <row r="217" spans="1:12" customHeight="1" ht="105" outlineLevel="4">
      <c r="A217" s="1"/>
      <c r="B217" s="1">
        <v>818694</v>
      </c>
      <c r="C217" s="1" t="s">
        <v>828</v>
      </c>
      <c r="D217" s="1" t="s">
        <v>829</v>
      </c>
      <c r="E217" s="2" t="s">
        <v>830</v>
      </c>
      <c r="F217" s="2" t="s">
        <v>396</v>
      </c>
      <c r="G217" s="2" t="s">
        <v>17</v>
      </c>
      <c r="H217" s="2" t="s">
        <v>17</v>
      </c>
      <c r="I217" s="1">
        <v>0</v>
      </c>
      <c r="J217" s="3" t="s">
        <v>271</v>
      </c>
      <c r="K217" s="2" t="str">
        <f>J217*44.00</f>
        <v>0</v>
      </c>
      <c r="L217" s="5"/>
    </row>
    <row r="218" spans="1:12" customHeight="1" ht="105" outlineLevel="4">
      <c r="A218" s="1"/>
      <c r="B218" s="1">
        <v>818695</v>
      </c>
      <c r="C218" s="1" t="s">
        <v>831</v>
      </c>
      <c r="D218" s="1" t="s">
        <v>832</v>
      </c>
      <c r="E218" s="2" t="s">
        <v>833</v>
      </c>
      <c r="F218" s="2" t="s">
        <v>834</v>
      </c>
      <c r="G218" s="2" t="s">
        <v>17</v>
      </c>
      <c r="H218" s="2" t="s">
        <v>54</v>
      </c>
      <c r="I218" s="1">
        <v>0</v>
      </c>
      <c r="J218" s="3" t="s">
        <v>271</v>
      </c>
      <c r="K218" s="2" t="str">
        <f>J218*48.00</f>
        <v>0</v>
      </c>
      <c r="L218" s="5"/>
    </row>
    <row r="219" spans="1:12" customHeight="1" ht="105" outlineLevel="4">
      <c r="A219" s="1"/>
      <c r="B219" s="1">
        <v>818696</v>
      </c>
      <c r="C219" s="1" t="s">
        <v>835</v>
      </c>
      <c r="D219" s="1" t="s">
        <v>836</v>
      </c>
      <c r="E219" s="2" t="s">
        <v>837</v>
      </c>
      <c r="F219" s="2" t="s">
        <v>838</v>
      </c>
      <c r="G219" s="2">
        <v>8</v>
      </c>
      <c r="H219" s="2" t="s">
        <v>17</v>
      </c>
      <c r="I219" s="1">
        <v>0</v>
      </c>
      <c r="J219" s="3" t="s">
        <v>271</v>
      </c>
      <c r="K219" s="2" t="str">
        <f>J219*55.00</f>
        <v>0</v>
      </c>
      <c r="L219" s="5"/>
    </row>
    <row r="220" spans="1:12" customHeight="1" ht="105" outlineLevel="4">
      <c r="A220" s="1"/>
      <c r="B220" s="1">
        <v>818697</v>
      </c>
      <c r="C220" s="1" t="s">
        <v>839</v>
      </c>
      <c r="D220" s="1" t="s">
        <v>840</v>
      </c>
      <c r="E220" s="2" t="s">
        <v>841</v>
      </c>
      <c r="F220" s="2" t="s">
        <v>834</v>
      </c>
      <c r="G220" s="2" t="s">
        <v>84</v>
      </c>
      <c r="H220" s="2" t="s">
        <v>17</v>
      </c>
      <c r="I220" s="1">
        <v>0</v>
      </c>
      <c r="J220" s="3" t="s">
        <v>271</v>
      </c>
      <c r="K220" s="2" t="str">
        <f>J220*48.00</f>
        <v>0</v>
      </c>
      <c r="L220" s="5"/>
    </row>
    <row r="221" spans="1:12" customHeight="1" ht="105" outlineLevel="4">
      <c r="A221" s="1"/>
      <c r="B221" s="1">
        <v>818698</v>
      </c>
      <c r="C221" s="1" t="s">
        <v>842</v>
      </c>
      <c r="D221" s="1" t="s">
        <v>843</v>
      </c>
      <c r="E221" s="2" t="s">
        <v>844</v>
      </c>
      <c r="F221" s="2" t="s">
        <v>466</v>
      </c>
      <c r="G221" s="2" t="s">
        <v>28</v>
      </c>
      <c r="H221" s="2" t="s">
        <v>18</v>
      </c>
      <c r="I221" s="1">
        <v>0</v>
      </c>
      <c r="J221" s="3" t="s">
        <v>271</v>
      </c>
      <c r="K221" s="2" t="str">
        <f>J221*49.00</f>
        <v>0</v>
      </c>
      <c r="L221" s="5"/>
    </row>
    <row r="222" spans="1:12" customHeight="1" ht="105" outlineLevel="4">
      <c r="A222" s="1"/>
      <c r="B222" s="1">
        <v>818699</v>
      </c>
      <c r="C222" s="1" t="s">
        <v>845</v>
      </c>
      <c r="D222" s="1" t="s">
        <v>846</v>
      </c>
      <c r="E222" s="2" t="s">
        <v>847</v>
      </c>
      <c r="F222" s="2" t="s">
        <v>477</v>
      </c>
      <c r="G222" s="2" t="s">
        <v>84</v>
      </c>
      <c r="H222" s="2" t="s">
        <v>18</v>
      </c>
      <c r="I222" s="1">
        <v>0</v>
      </c>
      <c r="J222" s="3" t="s">
        <v>271</v>
      </c>
      <c r="K222" s="2" t="str">
        <f>J222*86.00</f>
        <v>0</v>
      </c>
      <c r="L222" s="5"/>
    </row>
    <row r="223" spans="1:12" customHeight="1" ht="105" outlineLevel="4">
      <c r="A223" s="1"/>
      <c r="B223" s="1">
        <v>818700</v>
      </c>
      <c r="C223" s="1" t="s">
        <v>848</v>
      </c>
      <c r="D223" s="1" t="s">
        <v>849</v>
      </c>
      <c r="E223" s="2" t="s">
        <v>850</v>
      </c>
      <c r="F223" s="2" t="s">
        <v>851</v>
      </c>
      <c r="G223" s="2" t="s">
        <v>84</v>
      </c>
      <c r="H223" s="2" t="s">
        <v>18</v>
      </c>
      <c r="I223" s="1">
        <v>0</v>
      </c>
      <c r="J223" s="3" t="s">
        <v>271</v>
      </c>
      <c r="K223" s="2" t="str">
        <f>J223*90.00</f>
        <v>0</v>
      </c>
      <c r="L223" s="5"/>
    </row>
    <row r="224" spans="1:12" customHeight="1" ht="105" outlineLevel="4">
      <c r="A224" s="1"/>
      <c r="B224" s="1">
        <v>818701</v>
      </c>
      <c r="C224" s="1" t="s">
        <v>852</v>
      </c>
      <c r="D224" s="1" t="s">
        <v>853</v>
      </c>
      <c r="E224" s="2" t="s">
        <v>854</v>
      </c>
      <c r="F224" s="2" t="s">
        <v>855</v>
      </c>
      <c r="G224" s="2">
        <v>10</v>
      </c>
      <c r="H224" s="2" t="s">
        <v>37</v>
      </c>
      <c r="I224" s="1">
        <v>0</v>
      </c>
      <c r="J224" s="3" t="s">
        <v>271</v>
      </c>
      <c r="K224" s="2" t="str">
        <f>J224*105.00</f>
        <v>0</v>
      </c>
      <c r="L224" s="5"/>
    </row>
    <row r="225" spans="1:12" customHeight="1" ht="105" outlineLevel="4">
      <c r="A225" s="1"/>
      <c r="B225" s="1">
        <v>818702</v>
      </c>
      <c r="C225" s="1" t="s">
        <v>856</v>
      </c>
      <c r="D225" s="1" t="s">
        <v>857</v>
      </c>
      <c r="E225" s="2" t="s">
        <v>858</v>
      </c>
      <c r="F225" s="2" t="s">
        <v>859</v>
      </c>
      <c r="G225" s="2" t="s">
        <v>79</v>
      </c>
      <c r="H225" s="2" t="s">
        <v>17</v>
      </c>
      <c r="I225" s="1">
        <v>0</v>
      </c>
      <c r="J225" s="3" t="s">
        <v>271</v>
      </c>
      <c r="K225" s="2" t="str">
        <f>J225*132.00</f>
        <v>0</v>
      </c>
      <c r="L225" s="5"/>
    </row>
    <row r="226" spans="1:12" customHeight="1" ht="105" outlineLevel="4">
      <c r="A226" s="1"/>
      <c r="B226" s="1">
        <v>818703</v>
      </c>
      <c r="C226" s="1" t="s">
        <v>860</v>
      </c>
      <c r="D226" s="1" t="s">
        <v>861</v>
      </c>
      <c r="E226" s="2" t="s">
        <v>862</v>
      </c>
      <c r="F226" s="2" t="s">
        <v>863</v>
      </c>
      <c r="G226" s="2" t="s">
        <v>79</v>
      </c>
      <c r="H226" s="2" t="s">
        <v>37</v>
      </c>
      <c r="I226" s="1">
        <v>0</v>
      </c>
      <c r="J226" s="3" t="s">
        <v>271</v>
      </c>
      <c r="K226" s="2" t="str">
        <f>J226*150.00</f>
        <v>0</v>
      </c>
      <c r="L226" s="5"/>
    </row>
    <row r="227" spans="1:12" customHeight="1" ht="105" outlineLevel="4">
      <c r="A227" s="1"/>
      <c r="B227" s="1">
        <v>818704</v>
      </c>
      <c r="C227" s="1" t="s">
        <v>864</v>
      </c>
      <c r="D227" s="1" t="s">
        <v>865</v>
      </c>
      <c r="E227" s="2" t="s">
        <v>866</v>
      </c>
      <c r="F227" s="2" t="s">
        <v>867</v>
      </c>
      <c r="G227" s="2" t="s">
        <v>79</v>
      </c>
      <c r="H227" s="2" t="s">
        <v>37</v>
      </c>
      <c r="I227" s="1">
        <v>0</v>
      </c>
      <c r="J227" s="3" t="s">
        <v>271</v>
      </c>
      <c r="K227" s="2" t="str">
        <f>J227*174.00</f>
        <v>0</v>
      </c>
      <c r="L227" s="5"/>
    </row>
    <row r="228" spans="1:12" customHeight="1" ht="105" outlineLevel="4">
      <c r="A228" s="1"/>
      <c r="B228" s="1">
        <v>818705</v>
      </c>
      <c r="C228" s="1" t="s">
        <v>868</v>
      </c>
      <c r="D228" s="1" t="s">
        <v>869</v>
      </c>
      <c r="E228" s="2" t="s">
        <v>870</v>
      </c>
      <c r="F228" s="2" t="s">
        <v>769</v>
      </c>
      <c r="G228" s="2" t="s">
        <v>79</v>
      </c>
      <c r="H228" s="2" t="s">
        <v>17</v>
      </c>
      <c r="I228" s="1">
        <v>0</v>
      </c>
      <c r="J228" s="3" t="s">
        <v>271</v>
      </c>
      <c r="K228" s="2" t="str">
        <f>J228*214.00</f>
        <v>0</v>
      </c>
      <c r="L228" s="5"/>
    </row>
    <row r="229" spans="1:12" customHeight="1" ht="105" outlineLevel="4">
      <c r="A229" s="1"/>
      <c r="B229" s="1">
        <v>818706</v>
      </c>
      <c r="C229" s="1" t="s">
        <v>871</v>
      </c>
      <c r="D229" s="1" t="s">
        <v>872</v>
      </c>
      <c r="E229" s="2" t="s">
        <v>873</v>
      </c>
      <c r="F229" s="2" t="s">
        <v>874</v>
      </c>
      <c r="G229" s="2">
        <v>0</v>
      </c>
      <c r="H229" s="2" t="s">
        <v>17</v>
      </c>
      <c r="I229" s="1">
        <v>0</v>
      </c>
      <c r="J229" s="3" t="s">
        <v>271</v>
      </c>
      <c r="K229" s="2" t="str">
        <f>J229*258.00</f>
        <v>0</v>
      </c>
      <c r="L229" s="5"/>
    </row>
    <row r="230" spans="1:12" customHeight="1" ht="105" outlineLevel="4">
      <c r="A230" s="1"/>
      <c r="B230" s="1">
        <v>818707</v>
      </c>
      <c r="C230" s="1" t="s">
        <v>875</v>
      </c>
      <c r="D230" s="1" t="s">
        <v>876</v>
      </c>
      <c r="E230" s="2" t="s">
        <v>877</v>
      </c>
      <c r="F230" s="2" t="s">
        <v>878</v>
      </c>
      <c r="G230" s="2" t="s">
        <v>79</v>
      </c>
      <c r="H230" s="2" t="s">
        <v>17</v>
      </c>
      <c r="I230" s="1">
        <v>0</v>
      </c>
      <c r="J230" s="3" t="s">
        <v>271</v>
      </c>
      <c r="K230" s="2" t="str">
        <f>J230*276.00</f>
        <v>0</v>
      </c>
      <c r="L230" s="5"/>
    </row>
    <row r="231" spans="1:12" customHeight="1" ht="105" outlineLevel="4">
      <c r="A231" s="1"/>
      <c r="B231" s="1">
        <v>818708</v>
      </c>
      <c r="C231" s="1" t="s">
        <v>879</v>
      </c>
      <c r="D231" s="1" t="s">
        <v>880</v>
      </c>
      <c r="E231" s="2" t="s">
        <v>881</v>
      </c>
      <c r="F231" s="2" t="s">
        <v>812</v>
      </c>
      <c r="G231" s="2">
        <v>0</v>
      </c>
      <c r="H231" s="2" t="s">
        <v>17</v>
      </c>
      <c r="I231" s="1">
        <v>0</v>
      </c>
      <c r="J231" s="3" t="s">
        <v>271</v>
      </c>
      <c r="K231" s="2" t="str">
        <f>J231*289.00</f>
        <v>0</v>
      </c>
      <c r="L231" s="5"/>
    </row>
    <row r="232" spans="1:12" customHeight="1" ht="105" outlineLevel="4">
      <c r="A232" s="1"/>
      <c r="B232" s="1">
        <v>818709</v>
      </c>
      <c r="C232" s="1" t="s">
        <v>882</v>
      </c>
      <c r="D232" s="1" t="s">
        <v>883</v>
      </c>
      <c r="E232" s="2" t="s">
        <v>884</v>
      </c>
      <c r="F232" s="2" t="s">
        <v>885</v>
      </c>
      <c r="G232" s="2">
        <v>2</v>
      </c>
      <c r="H232" s="2" t="s">
        <v>17</v>
      </c>
      <c r="I232" s="1">
        <v>0</v>
      </c>
      <c r="J232" s="3" t="s">
        <v>271</v>
      </c>
      <c r="K232" s="2" t="str">
        <f>J232*271.00</f>
        <v>0</v>
      </c>
      <c r="L232" s="5"/>
    </row>
    <row r="233" spans="1:12" customHeight="1" ht="105" outlineLevel="4">
      <c r="A233" s="1"/>
      <c r="B233" s="1">
        <v>818710</v>
      </c>
      <c r="C233" s="1" t="s">
        <v>886</v>
      </c>
      <c r="D233" s="1" t="s">
        <v>887</v>
      </c>
      <c r="E233" s="2" t="s">
        <v>888</v>
      </c>
      <c r="F233" s="2" t="s">
        <v>889</v>
      </c>
      <c r="G233" s="2">
        <v>4</v>
      </c>
      <c r="H233" s="2" t="s">
        <v>28</v>
      </c>
      <c r="I233" s="1">
        <v>0</v>
      </c>
      <c r="J233" s="3" t="s">
        <v>271</v>
      </c>
      <c r="K233" s="2" t="str">
        <f>J233*369.00</f>
        <v>0</v>
      </c>
      <c r="L233" s="5"/>
    </row>
    <row r="234" spans="1:12" customHeight="1" ht="105" outlineLevel="4">
      <c r="A234" s="1"/>
      <c r="B234" s="1">
        <v>818711</v>
      </c>
      <c r="C234" s="1" t="s">
        <v>890</v>
      </c>
      <c r="D234" s="1" t="s">
        <v>891</v>
      </c>
      <c r="E234" s="2" t="s">
        <v>892</v>
      </c>
      <c r="F234" s="2" t="s">
        <v>893</v>
      </c>
      <c r="G234" s="2">
        <v>0</v>
      </c>
      <c r="H234" s="2" t="s">
        <v>17</v>
      </c>
      <c r="I234" s="1">
        <v>0</v>
      </c>
      <c r="J234" s="3" t="s">
        <v>271</v>
      </c>
      <c r="K234" s="2" t="str">
        <f>J234*503.00</f>
        <v>0</v>
      </c>
      <c r="L234" s="5"/>
    </row>
    <row r="235" spans="1:12" customHeight="1" ht="105" outlineLevel="4">
      <c r="A235" s="1"/>
      <c r="B235" s="1">
        <v>818712</v>
      </c>
      <c r="C235" s="1" t="s">
        <v>894</v>
      </c>
      <c r="D235" s="1" t="s">
        <v>895</v>
      </c>
      <c r="E235" s="2" t="s">
        <v>896</v>
      </c>
      <c r="F235" s="2" t="s">
        <v>897</v>
      </c>
      <c r="G235" s="2">
        <v>0</v>
      </c>
      <c r="H235" s="2" t="s">
        <v>28</v>
      </c>
      <c r="I235" s="1">
        <v>0</v>
      </c>
      <c r="J235" s="3" t="s">
        <v>271</v>
      </c>
      <c r="K235" s="2" t="str">
        <f>J235*564.00</f>
        <v>0</v>
      </c>
      <c r="L235" s="5"/>
    </row>
    <row r="236" spans="1:12" customHeight="1" ht="105" outlineLevel="4">
      <c r="A236" s="1"/>
      <c r="B236" s="1">
        <v>818713</v>
      </c>
      <c r="C236" s="1" t="s">
        <v>898</v>
      </c>
      <c r="D236" s="1" t="s">
        <v>899</v>
      </c>
      <c r="E236" s="2" t="s">
        <v>900</v>
      </c>
      <c r="F236" s="2" t="s">
        <v>901</v>
      </c>
      <c r="G236" s="2">
        <v>0</v>
      </c>
      <c r="H236" s="2" t="s">
        <v>84</v>
      </c>
      <c r="I236" s="1">
        <v>0</v>
      </c>
      <c r="J236" s="3" t="s">
        <v>271</v>
      </c>
      <c r="K236" s="2" t="str">
        <f>J236*665.00</f>
        <v>0</v>
      </c>
      <c r="L236" s="5"/>
    </row>
    <row r="237" spans="1:12" customHeight="1" ht="105" outlineLevel="4">
      <c r="A237" s="1"/>
      <c r="B237" s="1">
        <v>818714</v>
      </c>
      <c r="C237" s="1" t="s">
        <v>902</v>
      </c>
      <c r="D237" s="1" t="s">
        <v>903</v>
      </c>
      <c r="E237" s="2" t="s">
        <v>904</v>
      </c>
      <c r="F237" s="2" t="s">
        <v>905</v>
      </c>
      <c r="G237" s="2" t="s">
        <v>17</v>
      </c>
      <c r="H237" s="2" t="s">
        <v>54</v>
      </c>
      <c r="I237" s="1">
        <v>0</v>
      </c>
      <c r="J237" s="3" t="s">
        <v>271</v>
      </c>
      <c r="K237" s="2" t="str">
        <f>J237*26.00</f>
        <v>0</v>
      </c>
      <c r="L237" s="5"/>
    </row>
    <row r="238" spans="1:12" customHeight="1" ht="105" outlineLevel="4">
      <c r="A238" s="1"/>
      <c r="B238" s="1">
        <v>818715</v>
      </c>
      <c r="C238" s="1" t="s">
        <v>906</v>
      </c>
      <c r="D238" s="1" t="s">
        <v>907</v>
      </c>
      <c r="E238" s="2" t="s">
        <v>908</v>
      </c>
      <c r="F238" s="2" t="s">
        <v>909</v>
      </c>
      <c r="G238" s="2" t="s">
        <v>28</v>
      </c>
      <c r="H238" s="2" t="s">
        <v>18</v>
      </c>
      <c r="I238" s="1">
        <v>0</v>
      </c>
      <c r="J238" s="3" t="s">
        <v>271</v>
      </c>
      <c r="K238" s="2" t="str">
        <f>J238*39.00</f>
        <v>0</v>
      </c>
      <c r="L238" s="5"/>
    </row>
    <row r="239" spans="1:12" customHeight="1" ht="105" outlineLevel="4">
      <c r="A239" s="1"/>
      <c r="B239" s="1">
        <v>818716</v>
      </c>
      <c r="C239" s="1" t="s">
        <v>910</v>
      </c>
      <c r="D239" s="1" t="s">
        <v>911</v>
      </c>
      <c r="E239" s="2" t="s">
        <v>912</v>
      </c>
      <c r="F239" s="2" t="s">
        <v>470</v>
      </c>
      <c r="G239" s="2" t="s">
        <v>84</v>
      </c>
      <c r="H239" s="2" t="s">
        <v>18</v>
      </c>
      <c r="I239" s="1">
        <v>0</v>
      </c>
      <c r="J239" s="3" t="s">
        <v>271</v>
      </c>
      <c r="K239" s="2" t="str">
        <f>J239*60.00</f>
        <v>0</v>
      </c>
      <c r="L239" s="5"/>
    </row>
    <row r="240" spans="1:12" customHeight="1" ht="105" outlineLevel="4">
      <c r="A240" s="1"/>
      <c r="B240" s="1">
        <v>818717</v>
      </c>
      <c r="C240" s="1" t="s">
        <v>913</v>
      </c>
      <c r="D240" s="1" t="s">
        <v>914</v>
      </c>
      <c r="E240" s="2" t="s">
        <v>915</v>
      </c>
      <c r="F240" s="2" t="s">
        <v>455</v>
      </c>
      <c r="G240" s="2" t="s">
        <v>84</v>
      </c>
      <c r="H240" s="2" t="s">
        <v>37</v>
      </c>
      <c r="I240" s="1">
        <v>0</v>
      </c>
      <c r="J240" s="3" t="s">
        <v>271</v>
      </c>
      <c r="K240" s="2" t="str">
        <f>J240*32.00</f>
        <v>0</v>
      </c>
      <c r="L240" s="5"/>
    </row>
    <row r="241" spans="1:12" customHeight="1" ht="105" outlineLevel="4">
      <c r="A241" s="1"/>
      <c r="B241" s="1">
        <v>818718</v>
      </c>
      <c r="C241" s="1" t="s">
        <v>916</v>
      </c>
      <c r="D241" s="1" t="s">
        <v>917</v>
      </c>
      <c r="E241" s="2" t="s">
        <v>918</v>
      </c>
      <c r="F241" s="2" t="s">
        <v>734</v>
      </c>
      <c r="G241" s="2" t="s">
        <v>84</v>
      </c>
      <c r="H241" s="2" t="s">
        <v>37</v>
      </c>
      <c r="I241" s="1">
        <v>0</v>
      </c>
      <c r="J241" s="3" t="s">
        <v>271</v>
      </c>
      <c r="K241" s="2" t="str">
        <f>J241*47.00</f>
        <v>0</v>
      </c>
      <c r="L241" s="5"/>
    </row>
    <row r="242" spans="1:12" customHeight="1" ht="105" outlineLevel="4">
      <c r="A242" s="1"/>
      <c r="B242" s="1">
        <v>818719</v>
      </c>
      <c r="C242" s="1" t="s">
        <v>919</v>
      </c>
      <c r="D242" s="1" t="s">
        <v>920</v>
      </c>
      <c r="E242" s="2" t="s">
        <v>921</v>
      </c>
      <c r="F242" s="2" t="s">
        <v>922</v>
      </c>
      <c r="G242" s="2" t="s">
        <v>28</v>
      </c>
      <c r="H242" s="2" t="s">
        <v>17</v>
      </c>
      <c r="I242" s="1">
        <v>0</v>
      </c>
      <c r="J242" s="3" t="s">
        <v>271</v>
      </c>
      <c r="K242" s="2" t="str">
        <f>J242*82.00</f>
        <v>0</v>
      </c>
      <c r="L242" s="5"/>
    </row>
    <row r="243" spans="1:12" customHeight="1" ht="105" outlineLevel="4">
      <c r="A243" s="1"/>
      <c r="B243" s="1">
        <v>818720</v>
      </c>
      <c r="C243" s="1" t="s">
        <v>923</v>
      </c>
      <c r="D243" s="1" t="s">
        <v>924</v>
      </c>
      <c r="E243" s="2" t="s">
        <v>925</v>
      </c>
      <c r="F243" s="2" t="s">
        <v>926</v>
      </c>
      <c r="G243" s="2" t="s">
        <v>79</v>
      </c>
      <c r="H243" s="2" t="s">
        <v>17</v>
      </c>
      <c r="I243" s="1">
        <v>0</v>
      </c>
      <c r="J243" s="3" t="s">
        <v>271</v>
      </c>
      <c r="K243" s="2" t="str">
        <f>J243*153.00</f>
        <v>0</v>
      </c>
      <c r="L243" s="5"/>
    </row>
    <row r="244" spans="1:12" customHeight="1" ht="105" outlineLevel="4">
      <c r="A244" s="1"/>
      <c r="B244" s="1">
        <v>818721</v>
      </c>
      <c r="C244" s="1" t="s">
        <v>927</v>
      </c>
      <c r="D244" s="1" t="s">
        <v>928</v>
      </c>
      <c r="E244" s="2" t="s">
        <v>929</v>
      </c>
      <c r="F244" s="2" t="s">
        <v>930</v>
      </c>
      <c r="G244" s="2">
        <v>4</v>
      </c>
      <c r="H244" s="2" t="s">
        <v>28</v>
      </c>
      <c r="I244" s="1">
        <v>0</v>
      </c>
      <c r="J244" s="3" t="s">
        <v>271</v>
      </c>
      <c r="K244" s="2" t="str">
        <f>J244*259.00</f>
        <v>0</v>
      </c>
      <c r="L244" s="5"/>
    </row>
    <row r="245" spans="1:12" customHeight="1" ht="105" outlineLevel="4">
      <c r="A245" s="1"/>
      <c r="B245" s="1">
        <v>818722</v>
      </c>
      <c r="C245" s="1" t="s">
        <v>931</v>
      </c>
      <c r="D245" s="1" t="s">
        <v>932</v>
      </c>
      <c r="E245" s="2" t="s">
        <v>933</v>
      </c>
      <c r="F245" s="2" t="s">
        <v>934</v>
      </c>
      <c r="G245" s="2">
        <v>2</v>
      </c>
      <c r="H245" s="2" t="s">
        <v>17</v>
      </c>
      <c r="I245" s="1">
        <v>0</v>
      </c>
      <c r="J245" s="3" t="s">
        <v>271</v>
      </c>
      <c r="K245" s="2" t="str">
        <f>J245*723.00</f>
        <v>0</v>
      </c>
      <c r="L245" s="5"/>
    </row>
    <row r="246" spans="1:12" customHeight="1" ht="105" outlineLevel="4">
      <c r="A246" s="1"/>
      <c r="B246" s="1">
        <v>818723</v>
      </c>
      <c r="C246" s="1" t="s">
        <v>935</v>
      </c>
      <c r="D246" s="1" t="s">
        <v>936</v>
      </c>
      <c r="E246" s="2" t="s">
        <v>937</v>
      </c>
      <c r="F246" s="2" t="s">
        <v>938</v>
      </c>
      <c r="G246" s="2">
        <v>0</v>
      </c>
      <c r="H246" s="2" t="s">
        <v>17</v>
      </c>
      <c r="I246" s="1">
        <v>0</v>
      </c>
      <c r="J246" s="3" t="s">
        <v>271</v>
      </c>
      <c r="K246" s="2" t="str">
        <f>J246*1192.00</f>
        <v>0</v>
      </c>
      <c r="L246" s="5"/>
    </row>
    <row r="247" spans="1:12" customHeight="1" ht="105" outlineLevel="4">
      <c r="A247" s="1"/>
      <c r="B247" s="1">
        <v>818724</v>
      </c>
      <c r="C247" s="1" t="s">
        <v>939</v>
      </c>
      <c r="D247" s="1" t="s">
        <v>940</v>
      </c>
      <c r="E247" s="2" t="s">
        <v>941</v>
      </c>
      <c r="F247" s="2" t="s">
        <v>942</v>
      </c>
      <c r="G247" s="2">
        <v>1</v>
      </c>
      <c r="H247" s="2" t="s">
        <v>28</v>
      </c>
      <c r="I247" s="1">
        <v>0</v>
      </c>
      <c r="J247" s="3" t="s">
        <v>271</v>
      </c>
      <c r="K247" s="2" t="str">
        <f>J247*1771.00</f>
        <v>0</v>
      </c>
      <c r="L247" s="5"/>
    </row>
    <row r="248" spans="1:12" customHeight="1" ht="105" outlineLevel="4">
      <c r="A248" s="1"/>
      <c r="B248" s="1">
        <v>818725</v>
      </c>
      <c r="C248" s="1" t="s">
        <v>943</v>
      </c>
      <c r="D248" s="1" t="s">
        <v>944</v>
      </c>
      <c r="E248" s="2" t="s">
        <v>945</v>
      </c>
      <c r="F248" s="2" t="s">
        <v>946</v>
      </c>
      <c r="G248" s="2">
        <v>4</v>
      </c>
      <c r="H248" s="2" t="s">
        <v>17</v>
      </c>
      <c r="I248" s="1">
        <v>0</v>
      </c>
      <c r="J248" s="3" t="s">
        <v>271</v>
      </c>
      <c r="K248" s="2" t="str">
        <f>J248*2362.00</f>
        <v>0</v>
      </c>
      <c r="L248" s="5"/>
    </row>
    <row r="249" spans="1:12" customHeight="1" ht="105" outlineLevel="4">
      <c r="A249" s="1"/>
      <c r="B249" s="1">
        <v>818726</v>
      </c>
      <c r="C249" s="1" t="s">
        <v>947</v>
      </c>
      <c r="D249" s="1" t="s">
        <v>948</v>
      </c>
      <c r="E249" s="2" t="s">
        <v>949</v>
      </c>
      <c r="F249" s="2" t="s">
        <v>950</v>
      </c>
      <c r="G249" s="2" t="s">
        <v>17</v>
      </c>
      <c r="H249" s="2" t="s">
        <v>54</v>
      </c>
      <c r="I249" s="1">
        <v>0</v>
      </c>
      <c r="J249" s="3" t="s">
        <v>271</v>
      </c>
      <c r="K249" s="2" t="str">
        <f>J249*311.00</f>
        <v>0</v>
      </c>
      <c r="L249" s="5"/>
    </row>
    <row r="250" spans="1:12" customHeight="1" ht="105" outlineLevel="4">
      <c r="A250" s="1"/>
      <c r="B250" s="1">
        <v>818727</v>
      </c>
      <c r="C250" s="1" t="s">
        <v>951</v>
      </c>
      <c r="D250" s="1" t="s">
        <v>952</v>
      </c>
      <c r="E250" s="2" t="s">
        <v>953</v>
      </c>
      <c r="F250" s="2" t="s">
        <v>954</v>
      </c>
      <c r="G250" s="2" t="s">
        <v>17</v>
      </c>
      <c r="H250" s="2" t="s">
        <v>54</v>
      </c>
      <c r="I250" s="1">
        <v>0</v>
      </c>
      <c r="J250" s="3" t="s">
        <v>271</v>
      </c>
      <c r="K250" s="2" t="str">
        <f>J250*516.00</f>
        <v>0</v>
      </c>
      <c r="L250" s="5"/>
    </row>
    <row r="251" spans="1:12" customHeight="1" ht="105" outlineLevel="4">
      <c r="A251" s="1"/>
      <c r="B251" s="1">
        <v>818728</v>
      </c>
      <c r="C251" s="1" t="s">
        <v>955</v>
      </c>
      <c r="D251" s="1" t="s">
        <v>956</v>
      </c>
      <c r="E251" s="2" t="s">
        <v>957</v>
      </c>
      <c r="F251" s="2" t="s">
        <v>958</v>
      </c>
      <c r="G251" s="2" t="s">
        <v>28</v>
      </c>
      <c r="H251" s="2" t="s">
        <v>18</v>
      </c>
      <c r="I251" s="1">
        <v>0</v>
      </c>
      <c r="J251" s="3" t="s">
        <v>271</v>
      </c>
      <c r="K251" s="2" t="str">
        <f>J251*776.00</f>
        <v>0</v>
      </c>
      <c r="L251" s="5"/>
    </row>
    <row r="252" spans="1:12" customHeight="1" ht="105" outlineLevel="4">
      <c r="A252" s="1"/>
      <c r="B252" s="1">
        <v>818729</v>
      </c>
      <c r="C252" s="1" t="s">
        <v>959</v>
      </c>
      <c r="D252" s="1" t="s">
        <v>960</v>
      </c>
      <c r="E252" s="2" t="s">
        <v>961</v>
      </c>
      <c r="F252" s="2" t="s">
        <v>962</v>
      </c>
      <c r="G252" s="2" t="s">
        <v>79</v>
      </c>
      <c r="H252" s="2" t="s">
        <v>17</v>
      </c>
      <c r="I252" s="1">
        <v>0</v>
      </c>
      <c r="J252" s="3" t="s">
        <v>271</v>
      </c>
      <c r="K252" s="2" t="str">
        <f>J252*860.00</f>
        <v>0</v>
      </c>
      <c r="L252" s="5"/>
    </row>
    <row r="253" spans="1:12" customHeight="1" ht="105" outlineLevel="4">
      <c r="A253" s="1"/>
      <c r="B253" s="1">
        <v>818730</v>
      </c>
      <c r="C253" s="1" t="s">
        <v>963</v>
      </c>
      <c r="D253" s="1" t="s">
        <v>964</v>
      </c>
      <c r="E253" s="2" t="s">
        <v>965</v>
      </c>
      <c r="F253" s="2" t="s">
        <v>966</v>
      </c>
      <c r="G253" s="2">
        <v>10</v>
      </c>
      <c r="H253" s="2" t="s">
        <v>17</v>
      </c>
      <c r="I253" s="1">
        <v>0</v>
      </c>
      <c r="J253" s="3" t="s">
        <v>271</v>
      </c>
      <c r="K253" s="2" t="str">
        <f>J253*2179.00</f>
        <v>0</v>
      </c>
      <c r="L253" s="5"/>
    </row>
    <row r="254" spans="1:12" customHeight="1" ht="105" outlineLevel="4">
      <c r="A254" s="1"/>
      <c r="B254" s="1">
        <v>818731</v>
      </c>
      <c r="C254" s="1" t="s">
        <v>967</v>
      </c>
      <c r="D254" s="1" t="s">
        <v>968</v>
      </c>
      <c r="E254" s="2" t="s">
        <v>969</v>
      </c>
      <c r="F254" s="2" t="s">
        <v>970</v>
      </c>
      <c r="G254" s="2">
        <v>0</v>
      </c>
      <c r="H254" s="2" t="s">
        <v>17</v>
      </c>
      <c r="I254" s="1">
        <v>0</v>
      </c>
      <c r="J254" s="3" t="s">
        <v>271</v>
      </c>
      <c r="K254" s="2" t="str">
        <f>J254*3666.00</f>
        <v>0</v>
      </c>
      <c r="L254" s="5"/>
    </row>
    <row r="255" spans="1:12" customHeight="1" ht="105" outlineLevel="4">
      <c r="A255" s="1"/>
      <c r="B255" s="1">
        <v>818732</v>
      </c>
      <c r="C255" s="1" t="s">
        <v>971</v>
      </c>
      <c r="D255" s="1" t="s">
        <v>972</v>
      </c>
      <c r="E255" s="2" t="s">
        <v>973</v>
      </c>
      <c r="F255" s="2" t="s">
        <v>974</v>
      </c>
      <c r="G255" s="2">
        <v>0</v>
      </c>
      <c r="H255" s="2" t="s">
        <v>28</v>
      </c>
      <c r="I255" s="1">
        <v>0</v>
      </c>
      <c r="J255" s="3" t="s">
        <v>271</v>
      </c>
      <c r="K255" s="2" t="str">
        <f>J255*477.00</f>
        <v>0</v>
      </c>
      <c r="L255" s="5"/>
    </row>
    <row r="256" spans="1:12" customHeight="1" ht="105" outlineLevel="4">
      <c r="A256" s="1"/>
      <c r="B256" s="1">
        <v>818733</v>
      </c>
      <c r="C256" s="1" t="s">
        <v>975</v>
      </c>
      <c r="D256" s="1" t="s">
        <v>976</v>
      </c>
      <c r="E256" s="2" t="s">
        <v>977</v>
      </c>
      <c r="F256" s="2" t="s">
        <v>978</v>
      </c>
      <c r="G256" s="2">
        <v>0</v>
      </c>
      <c r="H256" s="2">
        <v>1</v>
      </c>
      <c r="I256" s="1">
        <v>0</v>
      </c>
      <c r="J256" s="3" t="s">
        <v>271</v>
      </c>
      <c r="K256" s="2" t="str">
        <f>J256*775.00</f>
        <v>0</v>
      </c>
      <c r="L256" s="5"/>
    </row>
    <row r="257" spans="1:12" customHeight="1" ht="105" outlineLevel="4">
      <c r="A257" s="1"/>
      <c r="B257" s="1">
        <v>818734</v>
      </c>
      <c r="C257" s="1" t="s">
        <v>979</v>
      </c>
      <c r="D257" s="1" t="s">
        <v>980</v>
      </c>
      <c r="E257" s="2" t="s">
        <v>981</v>
      </c>
      <c r="F257" s="2" t="s">
        <v>982</v>
      </c>
      <c r="G257" s="2">
        <v>5</v>
      </c>
      <c r="H257" s="2" t="s">
        <v>17</v>
      </c>
      <c r="I257" s="1">
        <v>0</v>
      </c>
      <c r="J257" s="3" t="s">
        <v>271</v>
      </c>
      <c r="K257" s="2" t="str">
        <f>J257*1073.00</f>
        <v>0</v>
      </c>
      <c r="L257" s="5"/>
    </row>
    <row r="258" spans="1:12" customHeight="1" ht="105" outlineLevel="4">
      <c r="A258" s="1"/>
      <c r="B258" s="1">
        <v>818735</v>
      </c>
      <c r="C258" s="1" t="s">
        <v>983</v>
      </c>
      <c r="D258" s="1" t="s">
        <v>984</v>
      </c>
      <c r="E258" s="2" t="s">
        <v>985</v>
      </c>
      <c r="F258" s="2" t="s">
        <v>986</v>
      </c>
      <c r="G258" s="2">
        <v>0</v>
      </c>
      <c r="H258" s="2">
        <v>0</v>
      </c>
      <c r="I258" s="1">
        <v>0</v>
      </c>
      <c r="J258" s="3" t="s">
        <v>271</v>
      </c>
      <c r="K258" s="2" t="str">
        <f>J258*778.00</f>
        <v>0</v>
      </c>
      <c r="L258" s="5"/>
    </row>
    <row r="259" spans="1:12" customHeight="1" ht="105" outlineLevel="4">
      <c r="A259" s="1"/>
      <c r="B259" s="1">
        <v>818736</v>
      </c>
      <c r="C259" s="1" t="s">
        <v>987</v>
      </c>
      <c r="D259" s="1" t="s">
        <v>988</v>
      </c>
      <c r="E259" s="2" t="s">
        <v>989</v>
      </c>
      <c r="F259" s="2" t="s">
        <v>990</v>
      </c>
      <c r="G259" s="2">
        <v>0</v>
      </c>
      <c r="H259" s="2">
        <v>0</v>
      </c>
      <c r="I259" s="1">
        <v>0</v>
      </c>
      <c r="J259" s="3" t="s">
        <v>271</v>
      </c>
      <c r="K259" s="2" t="str">
        <f>J259*1173.00</f>
        <v>0</v>
      </c>
      <c r="L259" s="5"/>
    </row>
    <row r="260" spans="1:12" customHeight="1" ht="105" outlineLevel="4">
      <c r="A260" s="1"/>
      <c r="B260" s="1">
        <v>818737</v>
      </c>
      <c r="C260" s="1" t="s">
        <v>991</v>
      </c>
      <c r="D260" s="1" t="s">
        <v>992</v>
      </c>
      <c r="E260" s="2" t="s">
        <v>993</v>
      </c>
      <c r="F260" s="2" t="s">
        <v>994</v>
      </c>
      <c r="G260" s="2">
        <v>0</v>
      </c>
      <c r="H260" s="2" t="s">
        <v>28</v>
      </c>
      <c r="I260" s="1">
        <v>0</v>
      </c>
      <c r="J260" s="3" t="s">
        <v>271</v>
      </c>
      <c r="K260" s="2" t="str">
        <f>J260*1866.00</f>
        <v>0</v>
      </c>
      <c r="L260" s="5"/>
    </row>
    <row r="261" spans="1:12" customHeight="1" ht="105" outlineLevel="4">
      <c r="A261" s="1"/>
      <c r="B261" s="1">
        <v>818738</v>
      </c>
      <c r="C261" s="1" t="s">
        <v>995</v>
      </c>
      <c r="D261" s="1" t="s">
        <v>996</v>
      </c>
      <c r="E261" s="2" t="s">
        <v>997</v>
      </c>
      <c r="F261" s="2" t="s">
        <v>336</v>
      </c>
      <c r="G261" s="2" t="s">
        <v>54</v>
      </c>
      <c r="H261" s="2" t="s">
        <v>54</v>
      </c>
      <c r="I261" s="1">
        <v>0</v>
      </c>
      <c r="J261" s="3" t="s">
        <v>271</v>
      </c>
      <c r="K261" s="2" t="str">
        <f>J261*15.00</f>
        <v>0</v>
      </c>
      <c r="L261" s="5"/>
    </row>
    <row r="262" spans="1:12" customHeight="1" ht="105" outlineLevel="4">
      <c r="A262" s="1"/>
      <c r="B262" s="1">
        <v>818739</v>
      </c>
      <c r="C262" s="1" t="s">
        <v>998</v>
      </c>
      <c r="D262" s="1" t="s">
        <v>999</v>
      </c>
      <c r="E262" s="2" t="s">
        <v>1000</v>
      </c>
      <c r="F262" s="2" t="s">
        <v>1001</v>
      </c>
      <c r="G262" s="2" t="s">
        <v>18</v>
      </c>
      <c r="H262" s="2" t="s">
        <v>54</v>
      </c>
      <c r="I262" s="1">
        <v>0</v>
      </c>
      <c r="J262" s="3" t="s">
        <v>271</v>
      </c>
      <c r="K262" s="2" t="str">
        <f>J262*22.00</f>
        <v>0</v>
      </c>
      <c r="L262" s="5"/>
    </row>
    <row r="263" spans="1:12" customHeight="1" ht="105" outlineLevel="4">
      <c r="A263" s="1"/>
      <c r="B263" s="1">
        <v>818740</v>
      </c>
      <c r="C263" s="1" t="s">
        <v>1002</v>
      </c>
      <c r="D263" s="1" t="s">
        <v>1003</v>
      </c>
      <c r="E263" s="2" t="s">
        <v>1004</v>
      </c>
      <c r="F263" s="2" t="s">
        <v>1005</v>
      </c>
      <c r="G263" s="2" t="s">
        <v>37</v>
      </c>
      <c r="H263" s="2" t="s">
        <v>54</v>
      </c>
      <c r="I263" s="1">
        <v>0</v>
      </c>
      <c r="J263" s="3" t="s">
        <v>271</v>
      </c>
      <c r="K263" s="2" t="str">
        <f>J263*38.00</f>
        <v>0</v>
      </c>
      <c r="L263" s="5"/>
    </row>
    <row r="264" spans="1:12" customHeight="1" ht="105" outlineLevel="4">
      <c r="A264" s="1"/>
      <c r="B264" s="1">
        <v>818741</v>
      </c>
      <c r="C264" s="1" t="s">
        <v>1006</v>
      </c>
      <c r="D264" s="1" t="s">
        <v>1007</v>
      </c>
      <c r="E264" s="2" t="s">
        <v>1008</v>
      </c>
      <c r="F264" s="2" t="s">
        <v>1009</v>
      </c>
      <c r="G264" s="2" t="s">
        <v>17</v>
      </c>
      <c r="H264" s="2" t="s">
        <v>54</v>
      </c>
      <c r="I264" s="1">
        <v>0</v>
      </c>
      <c r="J264" s="3" t="s">
        <v>271</v>
      </c>
      <c r="K264" s="2" t="str">
        <f>J264*74.00</f>
        <v>0</v>
      </c>
      <c r="L264" s="5"/>
    </row>
    <row r="265" spans="1:12" customHeight="1" ht="105" outlineLevel="4">
      <c r="A265" s="1"/>
      <c r="B265" s="1">
        <v>818742</v>
      </c>
      <c r="C265" s="1" t="s">
        <v>1010</v>
      </c>
      <c r="D265" s="1" t="s">
        <v>1011</v>
      </c>
      <c r="E265" s="2" t="s">
        <v>1012</v>
      </c>
      <c r="F265" s="2" t="s">
        <v>1013</v>
      </c>
      <c r="G265" s="2" t="s">
        <v>28</v>
      </c>
      <c r="H265" s="2" t="s">
        <v>18</v>
      </c>
      <c r="I265" s="1">
        <v>0</v>
      </c>
      <c r="J265" s="3" t="s">
        <v>271</v>
      </c>
      <c r="K265" s="2" t="str">
        <f>J265*126.00</f>
        <v>0</v>
      </c>
      <c r="L265" s="5"/>
    </row>
    <row r="266" spans="1:12" customHeight="1" ht="105" outlineLevel="4">
      <c r="A266" s="1"/>
      <c r="B266" s="1">
        <v>818743</v>
      </c>
      <c r="C266" s="1" t="s">
        <v>1014</v>
      </c>
      <c r="D266" s="1" t="s">
        <v>1015</v>
      </c>
      <c r="E266" s="2" t="s">
        <v>1016</v>
      </c>
      <c r="F266" s="2" t="s">
        <v>1017</v>
      </c>
      <c r="G266" s="2">
        <v>0</v>
      </c>
      <c r="H266" s="2" t="s">
        <v>18</v>
      </c>
      <c r="I266" s="1">
        <v>0</v>
      </c>
      <c r="J266" s="3" t="s">
        <v>271</v>
      </c>
      <c r="K266" s="2" t="str">
        <f>J266*306.00</f>
        <v>0</v>
      </c>
      <c r="L266" s="5"/>
    </row>
    <row r="267" spans="1:12" customHeight="1" ht="105" outlineLevel="4">
      <c r="A267" s="1"/>
      <c r="B267" s="1">
        <v>818744</v>
      </c>
      <c r="C267" s="1" t="s">
        <v>1018</v>
      </c>
      <c r="D267" s="1" t="s">
        <v>1019</v>
      </c>
      <c r="E267" s="2" t="s">
        <v>1020</v>
      </c>
      <c r="F267" s="2" t="s">
        <v>642</v>
      </c>
      <c r="G267" s="2">
        <v>-3</v>
      </c>
      <c r="H267" s="2" t="s">
        <v>17</v>
      </c>
      <c r="I267" s="1">
        <v>0</v>
      </c>
      <c r="J267" s="3" t="s">
        <v>271</v>
      </c>
      <c r="K267" s="2" t="str">
        <f>J267*547.00</f>
        <v>0</v>
      </c>
      <c r="L267" s="5"/>
    </row>
    <row r="268" spans="1:12" customHeight="1" ht="105" outlineLevel="4">
      <c r="A268" s="1"/>
      <c r="B268" s="1">
        <v>818745</v>
      </c>
      <c r="C268" s="1" t="s">
        <v>1021</v>
      </c>
      <c r="D268" s="1" t="s">
        <v>1022</v>
      </c>
      <c r="E268" s="2" t="s">
        <v>1023</v>
      </c>
      <c r="F268" s="2" t="s">
        <v>1024</v>
      </c>
      <c r="G268" s="2">
        <v>0</v>
      </c>
      <c r="H268" s="2" t="s">
        <v>17</v>
      </c>
      <c r="I268" s="1">
        <v>0</v>
      </c>
      <c r="J268" s="3" t="s">
        <v>271</v>
      </c>
      <c r="K268" s="2" t="str">
        <f>J268*1114.00</f>
        <v>0</v>
      </c>
      <c r="L268" s="5"/>
    </row>
    <row r="269" spans="1:12" customHeight="1" ht="105" outlineLevel="4">
      <c r="A269" s="1"/>
      <c r="B269" s="1">
        <v>818746</v>
      </c>
      <c r="C269" s="1" t="s">
        <v>1025</v>
      </c>
      <c r="D269" s="1" t="s">
        <v>1026</v>
      </c>
      <c r="E269" s="2" t="s">
        <v>1027</v>
      </c>
      <c r="F269" s="2" t="s">
        <v>352</v>
      </c>
      <c r="G269" s="2" t="s">
        <v>28</v>
      </c>
      <c r="H269" s="2" t="s">
        <v>18</v>
      </c>
      <c r="I269" s="1">
        <v>0</v>
      </c>
      <c r="J269" s="3" t="s">
        <v>271</v>
      </c>
      <c r="K269" s="2" t="str">
        <f>J269*140.00</f>
        <v>0</v>
      </c>
      <c r="L269" s="5"/>
    </row>
    <row r="270" spans="1:12" customHeight="1" ht="105" outlineLevel="4">
      <c r="A270" s="1"/>
      <c r="B270" s="1">
        <v>818747</v>
      </c>
      <c r="C270" s="1" t="s">
        <v>1028</v>
      </c>
      <c r="D270" s="1" t="s">
        <v>1029</v>
      </c>
      <c r="E270" s="2" t="s">
        <v>1030</v>
      </c>
      <c r="F270" s="2" t="s">
        <v>1031</v>
      </c>
      <c r="G270" s="2" t="s">
        <v>17</v>
      </c>
      <c r="H270" s="2" t="s">
        <v>17</v>
      </c>
      <c r="I270" s="1">
        <v>0</v>
      </c>
      <c r="J270" s="3" t="s">
        <v>271</v>
      </c>
      <c r="K270" s="2" t="str">
        <f>J270*184.00</f>
        <v>0</v>
      </c>
      <c r="L270" s="5"/>
    </row>
    <row r="271" spans="1:12" customHeight="1" ht="105" outlineLevel="4">
      <c r="A271" s="1"/>
      <c r="B271" s="1">
        <v>818748</v>
      </c>
      <c r="C271" s="1" t="s">
        <v>1032</v>
      </c>
      <c r="D271" s="1" t="s">
        <v>1033</v>
      </c>
      <c r="E271" s="2" t="s">
        <v>1034</v>
      </c>
      <c r="F271" s="2" t="s">
        <v>1035</v>
      </c>
      <c r="G271" s="2" t="s">
        <v>17</v>
      </c>
      <c r="H271" s="2" t="s">
        <v>37</v>
      </c>
      <c r="I271" s="1">
        <v>0</v>
      </c>
      <c r="J271" s="3" t="s">
        <v>271</v>
      </c>
      <c r="K271" s="2" t="str">
        <f>J271*149.00</f>
        <v>0</v>
      </c>
      <c r="L271" s="5"/>
    </row>
    <row r="272" spans="1:12" customHeight="1" ht="105" outlineLevel="4">
      <c r="A272" s="1"/>
      <c r="B272" s="1">
        <v>818749</v>
      </c>
      <c r="C272" s="1" t="s">
        <v>1036</v>
      </c>
      <c r="D272" s="1" t="s">
        <v>1037</v>
      </c>
      <c r="E272" s="2" t="s">
        <v>1038</v>
      </c>
      <c r="F272" s="2" t="s">
        <v>591</v>
      </c>
      <c r="G272" s="2" t="s">
        <v>84</v>
      </c>
      <c r="H272" s="2" t="s">
        <v>18</v>
      </c>
      <c r="I272" s="1">
        <v>0</v>
      </c>
      <c r="J272" s="3" t="s">
        <v>271</v>
      </c>
      <c r="K272" s="2" t="str">
        <f>J272*207.00</f>
        <v>0</v>
      </c>
      <c r="L272" s="5"/>
    </row>
    <row r="273" spans="1:12" customHeight="1" ht="105" outlineLevel="4">
      <c r="A273" s="1"/>
      <c r="B273" s="1">
        <v>818750</v>
      </c>
      <c r="C273" s="1" t="s">
        <v>1039</v>
      </c>
      <c r="D273" s="1" t="s">
        <v>1040</v>
      </c>
      <c r="E273" s="2" t="s">
        <v>1041</v>
      </c>
      <c r="F273" s="2" t="s">
        <v>1042</v>
      </c>
      <c r="G273" s="2">
        <v>8</v>
      </c>
      <c r="H273" s="2" t="s">
        <v>17</v>
      </c>
      <c r="I273" s="1">
        <v>0</v>
      </c>
      <c r="J273" s="3" t="s">
        <v>271</v>
      </c>
      <c r="K273" s="2" t="str">
        <f>J273*296.00</f>
        <v>0</v>
      </c>
      <c r="L273" s="5"/>
    </row>
    <row r="274" spans="1:12" customHeight="1" ht="105" outlineLevel="4">
      <c r="A274" s="1"/>
      <c r="B274" s="1">
        <v>818751</v>
      </c>
      <c r="C274" s="1" t="s">
        <v>1043</v>
      </c>
      <c r="D274" s="1" t="s">
        <v>1044</v>
      </c>
      <c r="E274" s="2" t="s">
        <v>1045</v>
      </c>
      <c r="F274" s="2" t="s">
        <v>1046</v>
      </c>
      <c r="G274" s="2" t="s">
        <v>84</v>
      </c>
      <c r="H274" s="2" t="s">
        <v>17</v>
      </c>
      <c r="I274" s="1">
        <v>0</v>
      </c>
      <c r="J274" s="3" t="s">
        <v>271</v>
      </c>
      <c r="K274" s="2" t="str">
        <f>J274*363.00</f>
        <v>0</v>
      </c>
      <c r="L274" s="5"/>
    </row>
    <row r="275" spans="1:12" customHeight="1" ht="105" outlineLevel="4">
      <c r="A275" s="1"/>
      <c r="B275" s="1">
        <v>818752</v>
      </c>
      <c r="C275" s="1" t="s">
        <v>1047</v>
      </c>
      <c r="D275" s="1" t="s">
        <v>1048</v>
      </c>
      <c r="E275" s="2" t="s">
        <v>1049</v>
      </c>
      <c r="F275" s="2" t="s">
        <v>693</v>
      </c>
      <c r="G275" s="2" t="s">
        <v>28</v>
      </c>
      <c r="H275" s="2" t="s">
        <v>54</v>
      </c>
      <c r="I275" s="1">
        <v>0</v>
      </c>
      <c r="J275" s="3" t="s">
        <v>271</v>
      </c>
      <c r="K275" s="2" t="str">
        <f>J275*178.00</f>
        <v>0</v>
      </c>
      <c r="L275" s="5"/>
    </row>
    <row r="276" spans="1:12" customHeight="1" ht="105" outlineLevel="4">
      <c r="A276" s="1"/>
      <c r="B276" s="1">
        <v>818753</v>
      </c>
      <c r="C276" s="1" t="s">
        <v>1050</v>
      </c>
      <c r="D276" s="1" t="s">
        <v>1051</v>
      </c>
      <c r="E276" s="2" t="s">
        <v>1052</v>
      </c>
      <c r="F276" s="2" t="s">
        <v>1053</v>
      </c>
      <c r="G276" s="2" t="s">
        <v>17</v>
      </c>
      <c r="H276" s="2" t="s">
        <v>37</v>
      </c>
      <c r="I276" s="1">
        <v>0</v>
      </c>
      <c r="J276" s="3" t="s">
        <v>271</v>
      </c>
      <c r="K276" s="2" t="str">
        <f>J276*251.00</f>
        <v>0</v>
      </c>
      <c r="L276" s="5"/>
    </row>
    <row r="277" spans="1:12" customHeight="1" ht="105" outlineLevel="4">
      <c r="A277" s="1"/>
      <c r="B277" s="1">
        <v>818754</v>
      </c>
      <c r="C277" s="1" t="s">
        <v>1054</v>
      </c>
      <c r="D277" s="1" t="s">
        <v>1055</v>
      </c>
      <c r="E277" s="2" t="s">
        <v>1056</v>
      </c>
      <c r="F277" s="2" t="s">
        <v>1057</v>
      </c>
      <c r="G277" s="2" t="s">
        <v>84</v>
      </c>
      <c r="H277" s="2" t="s">
        <v>18</v>
      </c>
      <c r="I277" s="1">
        <v>0</v>
      </c>
      <c r="J277" s="3" t="s">
        <v>271</v>
      </c>
      <c r="K277" s="2" t="str">
        <f>J277*205.00</f>
        <v>0</v>
      </c>
      <c r="L277" s="5"/>
    </row>
    <row r="278" spans="1:12" customHeight="1" ht="105" outlineLevel="4">
      <c r="A278" s="1"/>
      <c r="B278" s="1">
        <v>818755</v>
      </c>
      <c r="C278" s="1" t="s">
        <v>1058</v>
      </c>
      <c r="D278" s="1" t="s">
        <v>1059</v>
      </c>
      <c r="E278" s="2" t="s">
        <v>1060</v>
      </c>
      <c r="F278" s="2" t="s">
        <v>299</v>
      </c>
      <c r="G278" s="2" t="s">
        <v>79</v>
      </c>
      <c r="H278" s="2" t="s">
        <v>18</v>
      </c>
      <c r="I278" s="1">
        <v>0</v>
      </c>
      <c r="J278" s="3" t="s">
        <v>271</v>
      </c>
      <c r="K278" s="2" t="str">
        <f>J278*262.00</f>
        <v>0</v>
      </c>
      <c r="L278" s="5"/>
    </row>
    <row r="279" spans="1:12" customHeight="1" ht="105" outlineLevel="4">
      <c r="A279" s="1"/>
      <c r="B279" s="1">
        <v>818756</v>
      </c>
      <c r="C279" s="1" t="s">
        <v>1061</v>
      </c>
      <c r="D279" s="1" t="s">
        <v>1062</v>
      </c>
      <c r="E279" s="2" t="s">
        <v>1063</v>
      </c>
      <c r="F279" s="2" t="s">
        <v>1064</v>
      </c>
      <c r="G279" s="2" t="s">
        <v>79</v>
      </c>
      <c r="H279" s="2" t="s">
        <v>17</v>
      </c>
      <c r="I279" s="1">
        <v>0</v>
      </c>
      <c r="J279" s="3" t="s">
        <v>271</v>
      </c>
      <c r="K279" s="2" t="str">
        <f>J279*351.00</f>
        <v>0</v>
      </c>
      <c r="L279" s="5"/>
    </row>
    <row r="280" spans="1:12" customHeight="1" ht="105" outlineLevel="4">
      <c r="A280" s="1"/>
      <c r="B280" s="1">
        <v>818757</v>
      </c>
      <c r="C280" s="1" t="s">
        <v>1065</v>
      </c>
      <c r="D280" s="1" t="s">
        <v>1066</v>
      </c>
      <c r="E280" s="2" t="s">
        <v>1067</v>
      </c>
      <c r="F280" s="2" t="s">
        <v>1068</v>
      </c>
      <c r="G280" s="2" t="s">
        <v>84</v>
      </c>
      <c r="H280" s="2" t="s">
        <v>17</v>
      </c>
      <c r="I280" s="1">
        <v>0</v>
      </c>
      <c r="J280" s="3" t="s">
        <v>271</v>
      </c>
      <c r="K280" s="2" t="str">
        <f>J280*441.00</f>
        <v>0</v>
      </c>
      <c r="L280" s="5"/>
    </row>
    <row r="281" spans="1:12" customHeight="1" ht="105" outlineLevel="4">
      <c r="A281" s="1"/>
      <c r="B281" s="1">
        <v>818758</v>
      </c>
      <c r="C281" s="1" t="s">
        <v>1069</v>
      </c>
      <c r="D281" s="1" t="s">
        <v>1070</v>
      </c>
      <c r="E281" s="2" t="s">
        <v>1071</v>
      </c>
      <c r="F281" s="2" t="s">
        <v>757</v>
      </c>
      <c r="G281" s="2" t="s">
        <v>17</v>
      </c>
      <c r="H281" s="2" t="s">
        <v>54</v>
      </c>
      <c r="I281" s="1">
        <v>0</v>
      </c>
      <c r="J281" s="3" t="s">
        <v>271</v>
      </c>
      <c r="K281" s="2" t="str">
        <f>J281*157.00</f>
        <v>0</v>
      </c>
      <c r="L281" s="5"/>
    </row>
    <row r="282" spans="1:12" customHeight="1" ht="105" outlineLevel="4">
      <c r="A282" s="1"/>
      <c r="B282" s="1">
        <v>818759</v>
      </c>
      <c r="C282" s="1" t="s">
        <v>1072</v>
      </c>
      <c r="D282" s="1" t="s">
        <v>1073</v>
      </c>
      <c r="E282" s="2" t="s">
        <v>1074</v>
      </c>
      <c r="F282" s="2" t="s">
        <v>1075</v>
      </c>
      <c r="G282" s="2" t="s">
        <v>84</v>
      </c>
      <c r="H282" s="2" t="s">
        <v>37</v>
      </c>
      <c r="I282" s="1">
        <v>0</v>
      </c>
      <c r="J282" s="3" t="s">
        <v>271</v>
      </c>
      <c r="K282" s="2" t="str">
        <f>J282*190.00</f>
        <v>0</v>
      </c>
      <c r="L282" s="5"/>
    </row>
    <row r="283" spans="1:12" customHeight="1" ht="105" outlineLevel="4">
      <c r="A283" s="1"/>
      <c r="B283" s="1">
        <v>818760</v>
      </c>
      <c r="C283" s="1" t="s">
        <v>1076</v>
      </c>
      <c r="D283" s="1" t="s">
        <v>1077</v>
      </c>
      <c r="E283" s="2" t="s">
        <v>1078</v>
      </c>
      <c r="F283" s="2" t="s">
        <v>507</v>
      </c>
      <c r="G283" s="2" t="s">
        <v>84</v>
      </c>
      <c r="H283" s="2" t="s">
        <v>18</v>
      </c>
      <c r="I283" s="1">
        <v>0</v>
      </c>
      <c r="J283" s="3" t="s">
        <v>271</v>
      </c>
      <c r="K283" s="2" t="str">
        <f>J283*199.00</f>
        <v>0</v>
      </c>
      <c r="L283" s="5"/>
    </row>
    <row r="284" spans="1:12" customHeight="1" ht="105" outlineLevel="4">
      <c r="A284" s="1"/>
      <c r="B284" s="1">
        <v>818761</v>
      </c>
      <c r="C284" s="1" t="s">
        <v>1079</v>
      </c>
      <c r="D284" s="1" t="s">
        <v>1080</v>
      </c>
      <c r="E284" s="2" t="s">
        <v>1081</v>
      </c>
      <c r="F284" s="2" t="s">
        <v>1082</v>
      </c>
      <c r="G284" s="2" t="s">
        <v>79</v>
      </c>
      <c r="H284" s="2" t="s">
        <v>17</v>
      </c>
      <c r="I284" s="1">
        <v>0</v>
      </c>
      <c r="J284" s="3" t="s">
        <v>271</v>
      </c>
      <c r="K284" s="2" t="str">
        <f>J284*242.00</f>
        <v>0</v>
      </c>
      <c r="L284" s="5"/>
    </row>
    <row r="285" spans="1:12" customHeight="1" ht="105" outlineLevel="4">
      <c r="A285" s="1"/>
      <c r="B285" s="1">
        <v>818762</v>
      </c>
      <c r="C285" s="1" t="s">
        <v>1083</v>
      </c>
      <c r="D285" s="1" t="s">
        <v>1084</v>
      </c>
      <c r="E285" s="2" t="s">
        <v>1085</v>
      </c>
      <c r="F285" s="2" t="s">
        <v>761</v>
      </c>
      <c r="G285" s="2" t="s">
        <v>79</v>
      </c>
      <c r="H285" s="2" t="s">
        <v>18</v>
      </c>
      <c r="I285" s="1">
        <v>0</v>
      </c>
      <c r="J285" s="3" t="s">
        <v>271</v>
      </c>
      <c r="K285" s="2" t="str">
        <f>J285*194.00</f>
        <v>0</v>
      </c>
      <c r="L285" s="5"/>
    </row>
    <row r="286" spans="1:12" customHeight="1" ht="105" outlineLevel="4">
      <c r="A286" s="1"/>
      <c r="B286" s="1">
        <v>818763</v>
      </c>
      <c r="C286" s="1" t="s">
        <v>1086</v>
      </c>
      <c r="D286" s="1" t="s">
        <v>1087</v>
      </c>
      <c r="E286" s="2" t="s">
        <v>1088</v>
      </c>
      <c r="F286" s="2" t="s">
        <v>1089</v>
      </c>
      <c r="G286" s="2" t="s">
        <v>79</v>
      </c>
      <c r="H286" s="2" t="s">
        <v>17</v>
      </c>
      <c r="I286" s="1">
        <v>0</v>
      </c>
      <c r="J286" s="3" t="s">
        <v>271</v>
      </c>
      <c r="K286" s="2" t="str">
        <f>J286*265.00</f>
        <v>0</v>
      </c>
      <c r="L286" s="5"/>
    </row>
    <row r="287" spans="1:12" customHeight="1" ht="105" outlineLevel="4">
      <c r="A287" s="1"/>
      <c r="B287" s="1">
        <v>818764</v>
      </c>
      <c r="C287" s="1" t="s">
        <v>1090</v>
      </c>
      <c r="D287" s="1" t="s">
        <v>1091</v>
      </c>
      <c r="E287" s="2" t="s">
        <v>1092</v>
      </c>
      <c r="F287" s="2" t="s">
        <v>1093</v>
      </c>
      <c r="G287" s="2">
        <v>4</v>
      </c>
      <c r="H287" s="2" t="s">
        <v>17</v>
      </c>
      <c r="I287" s="1">
        <v>0</v>
      </c>
      <c r="J287" s="3" t="s">
        <v>271</v>
      </c>
      <c r="K287" s="2" t="str">
        <f>J287*255.00</f>
        <v>0</v>
      </c>
      <c r="L287" s="5"/>
    </row>
    <row r="288" spans="1:12" customHeight="1" ht="105" outlineLevel="4">
      <c r="A288" s="1"/>
      <c r="B288" s="1">
        <v>818765</v>
      </c>
      <c r="C288" s="1" t="s">
        <v>1094</v>
      </c>
      <c r="D288" s="1" t="s">
        <v>1095</v>
      </c>
      <c r="E288" s="2" t="s">
        <v>1096</v>
      </c>
      <c r="F288" s="2" t="s">
        <v>1097</v>
      </c>
      <c r="G288" s="2">
        <v>10</v>
      </c>
      <c r="H288" s="2" t="s">
        <v>17</v>
      </c>
      <c r="I288" s="1">
        <v>0</v>
      </c>
      <c r="J288" s="3" t="s">
        <v>271</v>
      </c>
      <c r="K288" s="2" t="str">
        <f>J288*448.00</f>
        <v>0</v>
      </c>
      <c r="L288" s="5"/>
    </row>
    <row r="289" spans="1:12" customHeight="1" ht="105" outlineLevel="4">
      <c r="A289" s="1"/>
      <c r="B289" s="1">
        <v>818766</v>
      </c>
      <c r="C289" s="1" t="s">
        <v>1098</v>
      </c>
      <c r="D289" s="1" t="s">
        <v>1099</v>
      </c>
      <c r="E289" s="2" t="s">
        <v>1100</v>
      </c>
      <c r="F289" s="2" t="s">
        <v>336</v>
      </c>
      <c r="G289" s="2" t="s">
        <v>18</v>
      </c>
      <c r="H289" s="2" t="s">
        <v>54</v>
      </c>
      <c r="I289" s="1">
        <v>0</v>
      </c>
      <c r="J289" s="3" t="s">
        <v>271</v>
      </c>
      <c r="K289" s="2" t="str">
        <f>J289*15.00</f>
        <v>0</v>
      </c>
      <c r="L289" s="5"/>
    </row>
    <row r="290" spans="1:12" customHeight="1" ht="105" outlineLevel="4">
      <c r="A290" s="1"/>
      <c r="B290" s="1">
        <v>818767</v>
      </c>
      <c r="C290" s="1" t="s">
        <v>1101</v>
      </c>
      <c r="D290" s="1" t="s">
        <v>1102</v>
      </c>
      <c r="E290" s="2" t="s">
        <v>1103</v>
      </c>
      <c r="F290" s="2" t="s">
        <v>447</v>
      </c>
      <c r="G290" s="2" t="s">
        <v>37</v>
      </c>
      <c r="H290" s="2" t="s">
        <v>54</v>
      </c>
      <c r="I290" s="1">
        <v>0</v>
      </c>
      <c r="J290" s="3" t="s">
        <v>271</v>
      </c>
      <c r="K290" s="2" t="str">
        <f>J290*21.00</f>
        <v>0</v>
      </c>
      <c r="L290" s="5"/>
    </row>
    <row r="291" spans="1:12" customHeight="1" ht="105" outlineLevel="4">
      <c r="A291" s="1"/>
      <c r="B291" s="1">
        <v>818768</v>
      </c>
      <c r="C291" s="1" t="s">
        <v>1104</v>
      </c>
      <c r="D291" s="1" t="s">
        <v>1105</v>
      </c>
      <c r="E291" s="2" t="s">
        <v>1106</v>
      </c>
      <c r="F291" s="2" t="s">
        <v>1107</v>
      </c>
      <c r="G291" s="2" t="s">
        <v>17</v>
      </c>
      <c r="H291" s="2" t="s">
        <v>54</v>
      </c>
      <c r="I291" s="1">
        <v>0</v>
      </c>
      <c r="J291" s="3" t="s">
        <v>271</v>
      </c>
      <c r="K291" s="2" t="str">
        <f>J291*34.00</f>
        <v>0</v>
      </c>
      <c r="L291" s="5"/>
    </row>
    <row r="292" spans="1:12" customHeight="1" ht="105" outlineLevel="4">
      <c r="A292" s="1"/>
      <c r="B292" s="1">
        <v>818769</v>
      </c>
      <c r="C292" s="1" t="s">
        <v>1108</v>
      </c>
      <c r="D292" s="1" t="s">
        <v>1109</v>
      </c>
      <c r="E292" s="2" t="s">
        <v>1110</v>
      </c>
      <c r="F292" s="2" t="s">
        <v>1009</v>
      </c>
      <c r="G292" s="2" t="s">
        <v>84</v>
      </c>
      <c r="H292" s="2" t="s">
        <v>18</v>
      </c>
      <c r="I292" s="1">
        <v>0</v>
      </c>
      <c r="J292" s="3" t="s">
        <v>271</v>
      </c>
      <c r="K292" s="2" t="str">
        <f>J292*74.00</f>
        <v>0</v>
      </c>
      <c r="L292" s="5"/>
    </row>
    <row r="293" spans="1:12" customHeight="1" ht="105" outlineLevel="4">
      <c r="A293" s="1"/>
      <c r="B293" s="1">
        <v>818770</v>
      </c>
      <c r="C293" s="1" t="s">
        <v>1111</v>
      </c>
      <c r="D293" s="1" t="s">
        <v>1112</v>
      </c>
      <c r="E293" s="2" t="s">
        <v>1113</v>
      </c>
      <c r="F293" s="2" t="s">
        <v>1114</v>
      </c>
      <c r="G293" s="2" t="s">
        <v>79</v>
      </c>
      <c r="H293" s="2" t="s">
        <v>37</v>
      </c>
      <c r="I293" s="1">
        <v>0</v>
      </c>
      <c r="J293" s="3" t="s">
        <v>271</v>
      </c>
      <c r="K293" s="2" t="str">
        <f>J293*138.00</f>
        <v>0</v>
      </c>
      <c r="L293" s="5"/>
    </row>
    <row r="294" spans="1:12" customHeight="1" ht="105" outlineLevel="4">
      <c r="A294" s="1"/>
      <c r="B294" s="1">
        <v>818771</v>
      </c>
      <c r="C294" s="1" t="s">
        <v>1115</v>
      </c>
      <c r="D294" s="1" t="s">
        <v>1116</v>
      </c>
      <c r="E294" s="2" t="s">
        <v>1117</v>
      </c>
      <c r="F294" s="2" t="s">
        <v>1118</v>
      </c>
      <c r="G294" s="2">
        <v>1</v>
      </c>
      <c r="H294" s="2" t="s">
        <v>17</v>
      </c>
      <c r="I294" s="1">
        <v>0</v>
      </c>
      <c r="J294" s="3" t="s">
        <v>271</v>
      </c>
      <c r="K294" s="2" t="str">
        <f>J294*250.00</f>
        <v>0</v>
      </c>
      <c r="L294" s="5"/>
    </row>
    <row r="295" spans="1:12" customHeight="1" ht="105" outlineLevel="4">
      <c r="A295" s="1"/>
      <c r="B295" s="1">
        <v>818772</v>
      </c>
      <c r="C295" s="1" t="s">
        <v>1119</v>
      </c>
      <c r="D295" s="1" t="s">
        <v>1120</v>
      </c>
      <c r="E295" s="2" t="s">
        <v>1121</v>
      </c>
      <c r="F295" s="2" t="s">
        <v>1122</v>
      </c>
      <c r="G295" s="2" t="s">
        <v>17</v>
      </c>
      <c r="H295" s="2" t="s">
        <v>18</v>
      </c>
      <c r="I295" s="1">
        <v>0</v>
      </c>
      <c r="J295" s="3" t="s">
        <v>271</v>
      </c>
      <c r="K295" s="2" t="str">
        <f>J295*279.00</f>
        <v>0</v>
      </c>
      <c r="L295" s="5"/>
    </row>
    <row r="296" spans="1:12" customHeight="1" ht="105" outlineLevel="4">
      <c r="A296" s="1"/>
      <c r="B296" s="1">
        <v>818773</v>
      </c>
      <c r="C296" s="1" t="s">
        <v>1123</v>
      </c>
      <c r="D296" s="1" t="s">
        <v>1124</v>
      </c>
      <c r="E296" s="2" t="s">
        <v>1125</v>
      </c>
      <c r="F296" s="2" t="s">
        <v>1126</v>
      </c>
      <c r="G296" s="2" t="s">
        <v>84</v>
      </c>
      <c r="H296" s="2" t="s">
        <v>37</v>
      </c>
      <c r="I296" s="1">
        <v>0</v>
      </c>
      <c r="J296" s="3" t="s">
        <v>271</v>
      </c>
      <c r="K296" s="2" t="str">
        <f>J296*348.00</f>
        <v>0</v>
      </c>
      <c r="L296" s="5"/>
    </row>
    <row r="297" spans="1:12" customHeight="1" ht="105" outlineLevel="4">
      <c r="A297" s="1"/>
      <c r="B297" s="1">
        <v>818774</v>
      </c>
      <c r="C297" s="1" t="s">
        <v>1127</v>
      </c>
      <c r="D297" s="1" t="s">
        <v>1128</v>
      </c>
      <c r="E297" s="2" t="s">
        <v>1129</v>
      </c>
      <c r="F297" s="2" t="s">
        <v>62</v>
      </c>
      <c r="G297" s="2" t="s">
        <v>17</v>
      </c>
      <c r="H297" s="2" t="s">
        <v>17</v>
      </c>
      <c r="I297" s="1">
        <v>0</v>
      </c>
      <c r="J297" s="3" t="s">
        <v>271</v>
      </c>
      <c r="K297" s="2" t="str">
        <f>J297*419.00</f>
        <v>0</v>
      </c>
      <c r="L297" s="5"/>
    </row>
    <row r="298" spans="1:12" customHeight="1" ht="105" outlineLevel="4">
      <c r="A298" s="1"/>
      <c r="B298" s="1">
        <v>818775</v>
      </c>
      <c r="C298" s="1" t="s">
        <v>1130</v>
      </c>
      <c r="D298" s="1" t="s">
        <v>1131</v>
      </c>
      <c r="E298" s="2" t="s">
        <v>1132</v>
      </c>
      <c r="F298" s="2" t="s">
        <v>132</v>
      </c>
      <c r="G298" s="2" t="s">
        <v>17</v>
      </c>
      <c r="H298" s="2" t="s">
        <v>18</v>
      </c>
      <c r="I298" s="1">
        <v>0</v>
      </c>
      <c r="J298" s="3" t="s">
        <v>271</v>
      </c>
      <c r="K298" s="2" t="str">
        <f>J298*522.00</f>
        <v>0</v>
      </c>
      <c r="L298" s="5"/>
    </row>
    <row r="299" spans="1:12" customHeight="1" ht="105" outlineLevel="4">
      <c r="A299" s="1"/>
      <c r="B299" s="1">
        <v>818776</v>
      </c>
      <c r="C299" s="1" t="s">
        <v>1133</v>
      </c>
      <c r="D299" s="1" t="s">
        <v>1134</v>
      </c>
      <c r="E299" s="2" t="s">
        <v>1135</v>
      </c>
      <c r="F299" s="2" t="s">
        <v>1136</v>
      </c>
      <c r="G299" s="2" t="s">
        <v>84</v>
      </c>
      <c r="H299" s="2" t="s">
        <v>37</v>
      </c>
      <c r="I299" s="1">
        <v>0</v>
      </c>
      <c r="J299" s="3" t="s">
        <v>271</v>
      </c>
      <c r="K299" s="2" t="str">
        <f>J299*566.00</f>
        <v>0</v>
      </c>
      <c r="L299" s="5"/>
    </row>
    <row r="300" spans="1:12" customHeight="1" ht="105" outlineLevel="4">
      <c r="A300" s="1"/>
      <c r="B300" s="1">
        <v>818777</v>
      </c>
      <c r="C300" s="1" t="s">
        <v>1137</v>
      </c>
      <c r="D300" s="1" t="s">
        <v>1138</v>
      </c>
      <c r="E300" s="2" t="s">
        <v>1139</v>
      </c>
      <c r="F300" s="2" t="s">
        <v>1140</v>
      </c>
      <c r="G300" s="2" t="s">
        <v>28</v>
      </c>
      <c r="H300" s="2" t="s">
        <v>18</v>
      </c>
      <c r="I300" s="1">
        <v>0</v>
      </c>
      <c r="J300" s="3" t="s">
        <v>271</v>
      </c>
      <c r="K300" s="2" t="str">
        <f>J300*705.00</f>
        <v>0</v>
      </c>
      <c r="L300" s="5"/>
    </row>
    <row r="301" spans="1:12" customHeight="1" ht="105" outlineLevel="4">
      <c r="A301" s="1"/>
      <c r="B301" s="1">
        <v>818778</v>
      </c>
      <c r="C301" s="1" t="s">
        <v>1141</v>
      </c>
      <c r="D301" s="1" t="s">
        <v>1142</v>
      </c>
      <c r="E301" s="2" t="s">
        <v>1143</v>
      </c>
      <c r="F301" s="2" t="s">
        <v>1144</v>
      </c>
      <c r="G301" s="2" t="s">
        <v>79</v>
      </c>
      <c r="H301" s="2" t="s">
        <v>37</v>
      </c>
      <c r="I301" s="1">
        <v>0</v>
      </c>
      <c r="J301" s="3" t="s">
        <v>271</v>
      </c>
      <c r="K301" s="2" t="str">
        <f>J301*1196.00</f>
        <v>0</v>
      </c>
      <c r="L301" s="5"/>
    </row>
    <row r="302" spans="1:12" customHeight="1" ht="105" outlineLevel="4">
      <c r="A302" s="1"/>
      <c r="B302" s="1">
        <v>818779</v>
      </c>
      <c r="C302" s="1" t="s">
        <v>1145</v>
      </c>
      <c r="D302" s="1" t="s">
        <v>1146</v>
      </c>
      <c r="E302" s="2" t="s">
        <v>1147</v>
      </c>
      <c r="F302" s="2" t="s">
        <v>1148</v>
      </c>
      <c r="G302" s="2" t="s">
        <v>79</v>
      </c>
      <c r="H302" s="2" t="s">
        <v>17</v>
      </c>
      <c r="I302" s="1">
        <v>0</v>
      </c>
      <c r="J302" s="3" t="s">
        <v>271</v>
      </c>
      <c r="K302" s="2" t="str">
        <f>J302*2012.00</f>
        <v>0</v>
      </c>
      <c r="L302" s="5"/>
    </row>
    <row r="303" spans="1:12" customHeight="1" ht="105" outlineLevel="4">
      <c r="A303" s="1"/>
      <c r="B303" s="1">
        <v>818780</v>
      </c>
      <c r="C303" s="1" t="s">
        <v>1149</v>
      </c>
      <c r="D303" s="1" t="s">
        <v>1150</v>
      </c>
      <c r="E303" s="2" t="s">
        <v>1151</v>
      </c>
      <c r="F303" s="2" t="s">
        <v>1152</v>
      </c>
      <c r="G303" s="2">
        <v>1</v>
      </c>
      <c r="H303" s="2" t="s">
        <v>17</v>
      </c>
      <c r="I303" s="1">
        <v>0</v>
      </c>
      <c r="J303" s="3" t="s">
        <v>271</v>
      </c>
      <c r="K303" s="2" t="str">
        <f>J303*5280.00</f>
        <v>0</v>
      </c>
      <c r="L303" s="5"/>
    </row>
    <row r="304" spans="1:12" customHeight="1" ht="105" outlineLevel="4">
      <c r="A304" s="1"/>
      <c r="B304" s="1">
        <v>818781</v>
      </c>
      <c r="C304" s="1" t="s">
        <v>1153</v>
      </c>
      <c r="D304" s="1" t="s">
        <v>1154</v>
      </c>
      <c r="E304" s="2" t="s">
        <v>1155</v>
      </c>
      <c r="F304" s="2" t="s">
        <v>1156</v>
      </c>
      <c r="G304" s="2" t="s">
        <v>17</v>
      </c>
      <c r="H304" s="2" t="s">
        <v>54</v>
      </c>
      <c r="I304" s="1">
        <v>0</v>
      </c>
      <c r="J304" s="3" t="s">
        <v>271</v>
      </c>
      <c r="K304" s="2" t="str">
        <f>J304*290.00</f>
        <v>0</v>
      </c>
      <c r="L304" s="5"/>
    </row>
    <row r="305" spans="1:12" customHeight="1" ht="105" outlineLevel="4">
      <c r="A305" s="1"/>
      <c r="B305" s="1">
        <v>818782</v>
      </c>
      <c r="C305" s="1" t="s">
        <v>1157</v>
      </c>
      <c r="D305" s="1" t="s">
        <v>1158</v>
      </c>
      <c r="E305" s="2" t="s">
        <v>1159</v>
      </c>
      <c r="F305" s="2" t="s">
        <v>1160</v>
      </c>
      <c r="G305" s="2" t="s">
        <v>28</v>
      </c>
      <c r="H305" s="2" t="s">
        <v>17</v>
      </c>
      <c r="I305" s="1">
        <v>0</v>
      </c>
      <c r="J305" s="3" t="s">
        <v>271</v>
      </c>
      <c r="K305" s="2" t="str">
        <f>J305*374.00</f>
        <v>0</v>
      </c>
      <c r="L305" s="5"/>
    </row>
    <row r="306" spans="1:12" customHeight="1" ht="105" outlineLevel="4">
      <c r="A306" s="1"/>
      <c r="B306" s="1">
        <v>818783</v>
      </c>
      <c r="C306" s="1" t="s">
        <v>1161</v>
      </c>
      <c r="D306" s="1" t="s">
        <v>1162</v>
      </c>
      <c r="E306" s="2" t="s">
        <v>1163</v>
      </c>
      <c r="F306" s="2" t="s">
        <v>1164</v>
      </c>
      <c r="G306" s="2" t="s">
        <v>28</v>
      </c>
      <c r="H306" s="2" t="s">
        <v>18</v>
      </c>
      <c r="I306" s="1">
        <v>0</v>
      </c>
      <c r="J306" s="3" t="s">
        <v>271</v>
      </c>
      <c r="K306" s="2" t="str">
        <f>J306*412.00</f>
        <v>0</v>
      </c>
      <c r="L306" s="5"/>
    </row>
    <row r="307" spans="1:12" customHeight="1" ht="105" outlineLevel="4">
      <c r="A307" s="1"/>
      <c r="B307" s="1">
        <v>818784</v>
      </c>
      <c r="C307" s="1" t="s">
        <v>1165</v>
      </c>
      <c r="D307" s="1" t="s">
        <v>1166</v>
      </c>
      <c r="E307" s="2" t="s">
        <v>1167</v>
      </c>
      <c r="F307" s="2" t="s">
        <v>808</v>
      </c>
      <c r="G307" s="2" t="s">
        <v>28</v>
      </c>
      <c r="H307" s="2" t="s">
        <v>18</v>
      </c>
      <c r="I307" s="1">
        <v>0</v>
      </c>
      <c r="J307" s="3" t="s">
        <v>271</v>
      </c>
      <c r="K307" s="2" t="str">
        <f>J307*454.00</f>
        <v>0</v>
      </c>
      <c r="L307" s="5"/>
    </row>
    <row r="308" spans="1:12" customHeight="1" ht="105" outlineLevel="4">
      <c r="A308" s="1"/>
      <c r="B308" s="1">
        <v>818785</v>
      </c>
      <c r="C308" s="1" t="s">
        <v>1168</v>
      </c>
      <c r="D308" s="1" t="s">
        <v>1169</v>
      </c>
      <c r="E308" s="2" t="s">
        <v>1170</v>
      </c>
      <c r="F308" s="2" t="s">
        <v>1171</v>
      </c>
      <c r="G308" s="2" t="s">
        <v>84</v>
      </c>
      <c r="H308" s="2" t="s">
        <v>37</v>
      </c>
      <c r="I308" s="1">
        <v>0</v>
      </c>
      <c r="J308" s="3" t="s">
        <v>271</v>
      </c>
      <c r="K308" s="2" t="str">
        <f>J308*455.00</f>
        <v>0</v>
      </c>
      <c r="L308" s="5"/>
    </row>
    <row r="309" spans="1:12" customHeight="1" ht="105" outlineLevel="4">
      <c r="A309" s="1"/>
      <c r="B309" s="1">
        <v>818786</v>
      </c>
      <c r="C309" s="1" t="s">
        <v>1172</v>
      </c>
      <c r="D309" s="1" t="s">
        <v>1173</v>
      </c>
      <c r="E309" s="2" t="s">
        <v>1174</v>
      </c>
      <c r="F309" s="2" t="s">
        <v>1175</v>
      </c>
      <c r="G309" s="2" t="s">
        <v>28</v>
      </c>
      <c r="H309" s="2" t="s">
        <v>18</v>
      </c>
      <c r="I309" s="1">
        <v>0</v>
      </c>
      <c r="J309" s="3" t="s">
        <v>271</v>
      </c>
      <c r="K309" s="2" t="str">
        <f>J309*580.00</f>
        <v>0</v>
      </c>
      <c r="L309" s="5"/>
    </row>
    <row r="310" spans="1:12" customHeight="1" ht="105" outlineLevel="4">
      <c r="A310" s="1"/>
      <c r="B310" s="1">
        <v>818787</v>
      </c>
      <c r="C310" s="1" t="s">
        <v>1176</v>
      </c>
      <c r="D310" s="1" t="s">
        <v>1177</v>
      </c>
      <c r="E310" s="2" t="s">
        <v>1178</v>
      </c>
      <c r="F310" s="2" t="s">
        <v>1179</v>
      </c>
      <c r="G310" s="2" t="s">
        <v>79</v>
      </c>
      <c r="H310" s="2" t="s">
        <v>37</v>
      </c>
      <c r="I310" s="1">
        <v>0</v>
      </c>
      <c r="J310" s="3" t="s">
        <v>271</v>
      </c>
      <c r="K310" s="2" t="str">
        <f>J310*962.00</f>
        <v>0</v>
      </c>
      <c r="L310" s="5"/>
    </row>
    <row r="311" spans="1:12" customHeight="1" ht="105" outlineLevel="4">
      <c r="A311" s="1"/>
      <c r="B311" s="1">
        <v>818788</v>
      </c>
      <c r="C311" s="1" t="s">
        <v>1180</v>
      </c>
      <c r="D311" s="1" t="s">
        <v>1181</v>
      </c>
      <c r="E311" s="2" t="s">
        <v>1182</v>
      </c>
      <c r="F311" s="2" t="s">
        <v>1183</v>
      </c>
      <c r="G311" s="2">
        <v>8</v>
      </c>
      <c r="H311" s="2" t="s">
        <v>28</v>
      </c>
      <c r="I311" s="1">
        <v>0</v>
      </c>
      <c r="J311" s="3" t="s">
        <v>271</v>
      </c>
      <c r="K311" s="2" t="str">
        <f>J311*1093.00</f>
        <v>0</v>
      </c>
      <c r="L311" s="5"/>
    </row>
    <row r="312" spans="1:12" customHeight="1" ht="105" outlineLevel="4">
      <c r="A312" s="1"/>
      <c r="B312" s="1">
        <v>818789</v>
      </c>
      <c r="C312" s="1" t="s">
        <v>1184</v>
      </c>
      <c r="D312" s="1" t="s">
        <v>1185</v>
      </c>
      <c r="E312" s="2" t="s">
        <v>1186</v>
      </c>
      <c r="F312" s="2" t="s">
        <v>1187</v>
      </c>
      <c r="G312" s="2">
        <v>8</v>
      </c>
      <c r="H312" s="2" t="s">
        <v>17</v>
      </c>
      <c r="I312" s="1">
        <v>0</v>
      </c>
      <c r="J312" s="3" t="s">
        <v>271</v>
      </c>
      <c r="K312" s="2" t="str">
        <f>J312*2103.00</f>
        <v>0</v>
      </c>
      <c r="L312" s="5"/>
    </row>
    <row r="313" spans="1:12" customHeight="1" ht="105" outlineLevel="4">
      <c r="A313" s="1"/>
      <c r="B313" s="1">
        <v>818790</v>
      </c>
      <c r="C313" s="1" t="s">
        <v>1188</v>
      </c>
      <c r="D313" s="1" t="s">
        <v>1189</v>
      </c>
      <c r="E313" s="2" t="s">
        <v>1190</v>
      </c>
      <c r="F313" s="2" t="s">
        <v>1191</v>
      </c>
      <c r="G313" s="2">
        <v>0</v>
      </c>
      <c r="H313" s="2" t="s">
        <v>17</v>
      </c>
      <c r="I313" s="1">
        <v>0</v>
      </c>
      <c r="J313" s="3" t="s">
        <v>271</v>
      </c>
      <c r="K313" s="2" t="str">
        <f>J313*4789.00</f>
        <v>0</v>
      </c>
      <c r="L313" s="5"/>
    </row>
    <row r="314" spans="1:12" customHeight="1" ht="105" outlineLevel="4">
      <c r="A314" s="1"/>
      <c r="B314" s="1">
        <v>818791</v>
      </c>
      <c r="C314" s="1" t="s">
        <v>1192</v>
      </c>
      <c r="D314" s="1" t="s">
        <v>1193</v>
      </c>
      <c r="E314" s="2" t="s">
        <v>1194</v>
      </c>
      <c r="F314" s="2" t="s">
        <v>1195</v>
      </c>
      <c r="G314" s="2" t="s">
        <v>84</v>
      </c>
      <c r="H314" s="2" t="s">
        <v>37</v>
      </c>
      <c r="I314" s="1">
        <v>0</v>
      </c>
      <c r="J314" s="3" t="s">
        <v>271</v>
      </c>
      <c r="K314" s="2" t="str">
        <f>J314*284.00</f>
        <v>0</v>
      </c>
      <c r="L314" s="5"/>
    </row>
    <row r="315" spans="1:12" customHeight="1" ht="105" outlineLevel="4">
      <c r="A315" s="1"/>
      <c r="B315" s="1">
        <v>818792</v>
      </c>
      <c r="C315" s="1" t="s">
        <v>1196</v>
      </c>
      <c r="D315" s="1" t="s">
        <v>1197</v>
      </c>
      <c r="E315" s="2" t="s">
        <v>1198</v>
      </c>
      <c r="F315" s="2" t="s">
        <v>1199</v>
      </c>
      <c r="G315" s="2" t="s">
        <v>84</v>
      </c>
      <c r="H315" s="2" t="s">
        <v>37</v>
      </c>
      <c r="I315" s="1">
        <v>0</v>
      </c>
      <c r="J315" s="3" t="s">
        <v>271</v>
      </c>
      <c r="K315" s="2" t="str">
        <f>J315*506.00</f>
        <v>0</v>
      </c>
      <c r="L315" s="5"/>
    </row>
    <row r="316" spans="1:12" customHeight="1" ht="105" outlineLevel="4">
      <c r="A316" s="1"/>
      <c r="B316" s="1">
        <v>818793</v>
      </c>
      <c r="C316" s="1" t="s">
        <v>1200</v>
      </c>
      <c r="D316" s="1" t="s">
        <v>1201</v>
      </c>
      <c r="E316" s="2" t="s">
        <v>1202</v>
      </c>
      <c r="F316" s="2" t="s">
        <v>1203</v>
      </c>
      <c r="G316" s="2" t="s">
        <v>79</v>
      </c>
      <c r="H316" s="2" t="s">
        <v>17</v>
      </c>
      <c r="I316" s="1">
        <v>0</v>
      </c>
      <c r="J316" s="3" t="s">
        <v>271</v>
      </c>
      <c r="K316" s="2" t="str">
        <f>J316*660.00</f>
        <v>0</v>
      </c>
      <c r="L316" s="5"/>
    </row>
    <row r="317" spans="1:12" customHeight="1" ht="105" outlineLevel="4">
      <c r="A317" s="1"/>
      <c r="B317" s="1">
        <v>818794</v>
      </c>
      <c r="C317" s="1" t="s">
        <v>1204</v>
      </c>
      <c r="D317" s="1" t="s">
        <v>1205</v>
      </c>
      <c r="E317" s="2" t="s">
        <v>1206</v>
      </c>
      <c r="F317" s="2" t="s">
        <v>1207</v>
      </c>
      <c r="G317" s="2" t="s">
        <v>79</v>
      </c>
      <c r="H317" s="2" t="s">
        <v>28</v>
      </c>
      <c r="I317" s="1">
        <v>0</v>
      </c>
      <c r="J317" s="3" t="s">
        <v>271</v>
      </c>
      <c r="K317" s="2" t="str">
        <f>J317*1256.00</f>
        <v>0</v>
      </c>
      <c r="L317" s="5"/>
    </row>
    <row r="318" spans="1:12" customHeight="1" ht="105" outlineLevel="4">
      <c r="A318" s="1"/>
      <c r="B318" s="1">
        <v>818795</v>
      </c>
      <c r="C318" s="1" t="s">
        <v>1208</v>
      </c>
      <c r="D318" s="1" t="s">
        <v>1209</v>
      </c>
      <c r="E318" s="2" t="s">
        <v>1210</v>
      </c>
      <c r="F318" s="2" t="s">
        <v>1211</v>
      </c>
      <c r="G318" s="2">
        <v>4</v>
      </c>
      <c r="H318" s="2" t="s">
        <v>28</v>
      </c>
      <c r="I318" s="1">
        <v>0</v>
      </c>
      <c r="J318" s="3" t="s">
        <v>271</v>
      </c>
      <c r="K318" s="2" t="str">
        <f>J318*2223.00</f>
        <v>0</v>
      </c>
      <c r="L318" s="5"/>
    </row>
    <row r="319" spans="1:12" customHeight="1" ht="105" outlineLevel="4">
      <c r="A319" s="1"/>
      <c r="B319" s="1">
        <v>818796</v>
      </c>
      <c r="C319" s="1" t="s">
        <v>1212</v>
      </c>
      <c r="D319" s="1" t="s">
        <v>1213</v>
      </c>
      <c r="E319" s="2" t="s">
        <v>1214</v>
      </c>
      <c r="F319" s="2" t="s">
        <v>1215</v>
      </c>
      <c r="G319" s="2">
        <v>0</v>
      </c>
      <c r="H319" s="2" t="s">
        <v>79</v>
      </c>
      <c r="I319" s="1">
        <v>0</v>
      </c>
      <c r="J319" s="3" t="s">
        <v>271</v>
      </c>
      <c r="K319" s="2" t="str">
        <f>J319*4486.00</f>
        <v>0</v>
      </c>
      <c r="L319" s="5"/>
    </row>
    <row r="320" spans="1:12" customHeight="1" ht="105" outlineLevel="4">
      <c r="A320" s="1"/>
      <c r="B320" s="1">
        <v>818797</v>
      </c>
      <c r="C320" s="1" t="s">
        <v>1216</v>
      </c>
      <c r="D320" s="1" t="s">
        <v>1217</v>
      </c>
      <c r="E320" s="2" t="s">
        <v>1218</v>
      </c>
      <c r="F320" s="2" t="s">
        <v>1219</v>
      </c>
      <c r="G320" s="2">
        <v>0</v>
      </c>
      <c r="H320" s="2" t="s">
        <v>79</v>
      </c>
      <c r="I320" s="1">
        <v>0</v>
      </c>
      <c r="J320" s="3" t="s">
        <v>271</v>
      </c>
      <c r="K320" s="2" t="str">
        <f>J320*8001.00</f>
        <v>0</v>
      </c>
      <c r="L320" s="5"/>
    </row>
    <row r="321" spans="1:12" customHeight="1" ht="105" outlineLevel="4">
      <c r="A321" s="1"/>
      <c r="B321" s="1">
        <v>818798</v>
      </c>
      <c r="C321" s="1" t="s">
        <v>1220</v>
      </c>
      <c r="D321" s="1" t="s">
        <v>1221</v>
      </c>
      <c r="E321" s="2" t="s">
        <v>1222</v>
      </c>
      <c r="F321" s="2" t="s">
        <v>1223</v>
      </c>
      <c r="G321" s="2" t="s">
        <v>28</v>
      </c>
      <c r="H321" s="2" t="s">
        <v>17</v>
      </c>
      <c r="I321" s="1">
        <v>0</v>
      </c>
      <c r="J321" s="3" t="s">
        <v>271</v>
      </c>
      <c r="K321" s="2" t="str">
        <f>J321*88.00</f>
        <v>0</v>
      </c>
      <c r="L321" s="5"/>
    </row>
    <row r="322" spans="1:12" customHeight="1" ht="105" outlineLevel="4">
      <c r="A322" s="1"/>
      <c r="B322" s="1">
        <v>818799</v>
      </c>
      <c r="C322" s="1" t="s">
        <v>1224</v>
      </c>
      <c r="D322" s="1" t="s">
        <v>1225</v>
      </c>
      <c r="E322" s="2" t="s">
        <v>1226</v>
      </c>
      <c r="F322" s="2" t="s">
        <v>466</v>
      </c>
      <c r="G322" s="2" t="s">
        <v>79</v>
      </c>
      <c r="H322" s="2" t="s">
        <v>18</v>
      </c>
      <c r="I322" s="1">
        <v>0</v>
      </c>
      <c r="J322" s="3" t="s">
        <v>271</v>
      </c>
      <c r="K322" s="2" t="str">
        <f>J322*49.00</f>
        <v>0</v>
      </c>
      <c r="L322" s="5"/>
    </row>
    <row r="323" spans="1:12" customHeight="1" ht="105" outlineLevel="4">
      <c r="A323" s="1"/>
      <c r="B323" s="1">
        <v>818800</v>
      </c>
      <c r="C323" s="1" t="s">
        <v>1227</v>
      </c>
      <c r="D323" s="1" t="s">
        <v>1228</v>
      </c>
      <c r="E323" s="2" t="s">
        <v>1229</v>
      </c>
      <c r="F323" s="2" t="s">
        <v>1230</v>
      </c>
      <c r="G323" s="2" t="s">
        <v>79</v>
      </c>
      <c r="H323" s="2" t="s">
        <v>17</v>
      </c>
      <c r="I323" s="1">
        <v>0</v>
      </c>
      <c r="J323" s="3" t="s">
        <v>271</v>
      </c>
      <c r="K323" s="2" t="str">
        <f>J323*93.00</f>
        <v>0</v>
      </c>
      <c r="L323" s="5"/>
    </row>
    <row r="324" spans="1:12" customHeight="1" ht="105" outlineLevel="4">
      <c r="A324" s="1"/>
      <c r="B324" s="1">
        <v>818801</v>
      </c>
      <c r="C324" s="1" t="s">
        <v>1231</v>
      </c>
      <c r="D324" s="1" t="s">
        <v>1232</v>
      </c>
      <c r="E324" s="2" t="s">
        <v>1233</v>
      </c>
      <c r="F324" s="2" t="s">
        <v>1234</v>
      </c>
      <c r="G324" s="2" t="s">
        <v>17</v>
      </c>
      <c r="H324" s="2" t="s">
        <v>54</v>
      </c>
      <c r="I324" s="1">
        <v>0</v>
      </c>
      <c r="J324" s="3" t="s">
        <v>271</v>
      </c>
      <c r="K324" s="2" t="str">
        <f>J324*30.00</f>
        <v>0</v>
      </c>
      <c r="L324" s="5"/>
    </row>
    <row r="325" spans="1:12" customHeight="1" ht="105" outlineLevel="4">
      <c r="A325" s="1"/>
      <c r="B325" s="1">
        <v>818802</v>
      </c>
      <c r="C325" s="1" t="s">
        <v>1235</v>
      </c>
      <c r="D325" s="1" t="s">
        <v>1236</v>
      </c>
      <c r="E325" s="2" t="s">
        <v>1237</v>
      </c>
      <c r="F325" s="2" t="s">
        <v>838</v>
      </c>
      <c r="G325" s="2" t="s">
        <v>28</v>
      </c>
      <c r="H325" s="2" t="s">
        <v>18</v>
      </c>
      <c r="I325" s="1">
        <v>0</v>
      </c>
      <c r="J325" s="3" t="s">
        <v>271</v>
      </c>
      <c r="K325" s="2" t="str">
        <f>J325*55.00</f>
        <v>0</v>
      </c>
      <c r="L325" s="5"/>
    </row>
    <row r="326" spans="1:12" customHeight="1" ht="105" outlineLevel="4">
      <c r="A326" s="1"/>
      <c r="B326" s="1">
        <v>818803</v>
      </c>
      <c r="C326" s="1" t="s">
        <v>1238</v>
      </c>
      <c r="D326" s="1" t="s">
        <v>1239</v>
      </c>
      <c r="E326" s="2" t="s">
        <v>1240</v>
      </c>
      <c r="F326" s="2" t="s">
        <v>388</v>
      </c>
      <c r="G326" s="2" t="s">
        <v>17</v>
      </c>
      <c r="H326" s="2" t="s">
        <v>18</v>
      </c>
      <c r="I326" s="1">
        <v>0</v>
      </c>
      <c r="J326" s="3" t="s">
        <v>271</v>
      </c>
      <c r="K326" s="2" t="str">
        <f>J326*35.00</f>
        <v>0</v>
      </c>
      <c r="L326" s="5"/>
    </row>
    <row r="327" spans="1:12" customHeight="1" ht="105" outlineLevel="4">
      <c r="A327" s="1"/>
      <c r="B327" s="1">
        <v>818804</v>
      </c>
      <c r="C327" s="1" t="s">
        <v>1241</v>
      </c>
      <c r="D327" s="1" t="s">
        <v>1242</v>
      </c>
      <c r="E327" s="2" t="s">
        <v>1243</v>
      </c>
      <c r="F327" s="2" t="s">
        <v>400</v>
      </c>
      <c r="G327" s="2" t="s">
        <v>28</v>
      </c>
      <c r="H327" s="2" t="s">
        <v>37</v>
      </c>
      <c r="I327" s="1">
        <v>0</v>
      </c>
      <c r="J327" s="3" t="s">
        <v>271</v>
      </c>
      <c r="K327" s="2" t="str">
        <f>J327*53.00</f>
        <v>0</v>
      </c>
      <c r="L327" s="5"/>
    </row>
    <row r="328" spans="1:12" customHeight="1" ht="105" outlineLevel="4">
      <c r="A328" s="1"/>
      <c r="B328" s="1">
        <v>818805</v>
      </c>
      <c r="C328" s="1" t="s">
        <v>1244</v>
      </c>
      <c r="D328" s="1" t="s">
        <v>1245</v>
      </c>
      <c r="E328" s="2" t="s">
        <v>1246</v>
      </c>
      <c r="F328" s="2" t="s">
        <v>1247</v>
      </c>
      <c r="G328" s="2" t="s">
        <v>79</v>
      </c>
      <c r="H328" s="2" t="s">
        <v>37</v>
      </c>
      <c r="I328" s="1">
        <v>0</v>
      </c>
      <c r="J328" s="3" t="s">
        <v>271</v>
      </c>
      <c r="K328" s="2" t="str">
        <f>J328*69.00</f>
        <v>0</v>
      </c>
      <c r="L328" s="5"/>
    </row>
    <row r="329" spans="1:12" customHeight="1" ht="105" outlineLevel="4">
      <c r="A329" s="1"/>
      <c r="B329" s="1">
        <v>818811</v>
      </c>
      <c r="C329" s="1" t="s">
        <v>1248</v>
      </c>
      <c r="D329" s="1" t="s">
        <v>1249</v>
      </c>
      <c r="E329" s="2" t="s">
        <v>1250</v>
      </c>
      <c r="F329" s="2" t="s">
        <v>1251</v>
      </c>
      <c r="G329" s="2" t="s">
        <v>79</v>
      </c>
      <c r="H329" s="2" t="s">
        <v>17</v>
      </c>
      <c r="I329" s="1">
        <v>0</v>
      </c>
      <c r="J329" s="3" t="s">
        <v>271</v>
      </c>
      <c r="K329" s="2" t="str">
        <f>J329*611.00</f>
        <v>0</v>
      </c>
      <c r="L329" s="5"/>
    </row>
    <row r="330" spans="1:12" customHeight="1" ht="105" outlineLevel="4">
      <c r="A330" s="1"/>
      <c r="B330" s="1">
        <v>818812</v>
      </c>
      <c r="C330" s="1" t="s">
        <v>1252</v>
      </c>
      <c r="D330" s="1" t="s">
        <v>1253</v>
      </c>
      <c r="E330" s="2" t="s">
        <v>1254</v>
      </c>
      <c r="F330" s="2" t="s">
        <v>1255</v>
      </c>
      <c r="G330" s="2">
        <v>10</v>
      </c>
      <c r="H330" s="2" t="s">
        <v>28</v>
      </c>
      <c r="I330" s="1">
        <v>0</v>
      </c>
      <c r="J330" s="3" t="s">
        <v>271</v>
      </c>
      <c r="K330" s="2" t="str">
        <f>J330*680.00</f>
        <v>0</v>
      </c>
      <c r="L330" s="5"/>
    </row>
    <row r="331" spans="1:12" customHeight="1" ht="105" outlineLevel="4">
      <c r="A331" s="1"/>
      <c r="B331" s="1">
        <v>818813</v>
      </c>
      <c r="C331" s="1" t="s">
        <v>1256</v>
      </c>
      <c r="D331" s="1" t="s">
        <v>1257</v>
      </c>
      <c r="E331" s="2" t="s">
        <v>1258</v>
      </c>
      <c r="F331" s="2" t="s">
        <v>1259</v>
      </c>
      <c r="G331" s="2" t="s">
        <v>79</v>
      </c>
      <c r="H331" s="2" t="s">
        <v>17</v>
      </c>
      <c r="I331" s="1">
        <v>0</v>
      </c>
      <c r="J331" s="3" t="s">
        <v>271</v>
      </c>
      <c r="K331" s="2" t="str">
        <f>J331*233.00</f>
        <v>0</v>
      </c>
      <c r="L331" s="5"/>
    </row>
    <row r="332" spans="1:12" customHeight="1" ht="105" outlineLevel="4">
      <c r="A332" s="1"/>
      <c r="B332" s="1">
        <v>818814</v>
      </c>
      <c r="C332" s="1" t="s">
        <v>1260</v>
      </c>
      <c r="D332" s="1" t="s">
        <v>1261</v>
      </c>
      <c r="E332" s="2" t="s">
        <v>1262</v>
      </c>
      <c r="F332" s="2" t="s">
        <v>1263</v>
      </c>
      <c r="G332" s="2" t="s">
        <v>84</v>
      </c>
      <c r="H332" s="2" t="s">
        <v>17</v>
      </c>
      <c r="I332" s="1">
        <v>0</v>
      </c>
      <c r="J332" s="3" t="s">
        <v>271</v>
      </c>
      <c r="K332" s="2" t="str">
        <f>J332*293.00</f>
        <v>0</v>
      </c>
      <c r="L332" s="5"/>
    </row>
    <row r="333" spans="1:12" customHeight="1" ht="105" outlineLevel="4">
      <c r="A333" s="1"/>
      <c r="B333" s="1">
        <v>818815</v>
      </c>
      <c r="C333" s="1" t="s">
        <v>1264</v>
      </c>
      <c r="D333" s="1" t="s">
        <v>1265</v>
      </c>
      <c r="E333" s="2" t="s">
        <v>1266</v>
      </c>
      <c r="F333" s="2" t="s">
        <v>1267</v>
      </c>
      <c r="G333" s="2">
        <v>7</v>
      </c>
      <c r="H333" s="2" t="s">
        <v>17</v>
      </c>
      <c r="I333" s="1">
        <v>0</v>
      </c>
      <c r="J333" s="3" t="s">
        <v>271</v>
      </c>
      <c r="K333" s="2" t="str">
        <f>J333*520.00</f>
        <v>0</v>
      </c>
      <c r="L333" s="5"/>
    </row>
    <row r="334" spans="1:12" customHeight="1" ht="105" outlineLevel="4">
      <c r="A334" s="1"/>
      <c r="B334" s="1">
        <v>818816</v>
      </c>
      <c r="C334" s="1" t="s">
        <v>1268</v>
      </c>
      <c r="D334" s="1" t="s">
        <v>1269</v>
      </c>
      <c r="E334" s="2" t="s">
        <v>1270</v>
      </c>
      <c r="F334" s="2" t="s">
        <v>1259</v>
      </c>
      <c r="G334" s="2">
        <v>10</v>
      </c>
      <c r="H334" s="2" t="s">
        <v>37</v>
      </c>
      <c r="I334" s="1">
        <v>0</v>
      </c>
      <c r="J334" s="3" t="s">
        <v>271</v>
      </c>
      <c r="K334" s="2" t="str">
        <f>J334*233.00</f>
        <v>0</v>
      </c>
      <c r="L334" s="5"/>
    </row>
    <row r="335" spans="1:12" customHeight="1" ht="105" outlineLevel="4">
      <c r="A335" s="1"/>
      <c r="B335" s="1">
        <v>818817</v>
      </c>
      <c r="C335" s="1" t="s">
        <v>1271</v>
      </c>
      <c r="D335" s="1" t="s">
        <v>1272</v>
      </c>
      <c r="E335" s="2" t="s">
        <v>1273</v>
      </c>
      <c r="F335" s="2" t="s">
        <v>356</v>
      </c>
      <c r="G335" s="2" t="s">
        <v>79</v>
      </c>
      <c r="H335" s="2" t="s">
        <v>28</v>
      </c>
      <c r="I335" s="1">
        <v>0</v>
      </c>
      <c r="J335" s="3" t="s">
        <v>271</v>
      </c>
      <c r="K335" s="2" t="str">
        <f>J335*274.00</f>
        <v>0</v>
      </c>
      <c r="L335" s="5"/>
    </row>
    <row r="336" spans="1:12" customHeight="1" ht="105" outlineLevel="4">
      <c r="A336" s="1"/>
      <c r="B336" s="1">
        <v>818818</v>
      </c>
      <c r="C336" s="1" t="s">
        <v>1274</v>
      </c>
      <c r="D336" s="1" t="s">
        <v>1275</v>
      </c>
      <c r="E336" s="2" t="s">
        <v>1276</v>
      </c>
      <c r="F336" s="2" t="s">
        <v>623</v>
      </c>
      <c r="G336" s="2">
        <v>5</v>
      </c>
      <c r="H336" s="2" t="s">
        <v>17</v>
      </c>
      <c r="I336" s="1">
        <v>0</v>
      </c>
      <c r="J336" s="3" t="s">
        <v>271</v>
      </c>
      <c r="K336" s="2" t="str">
        <f>J336*483.00</f>
        <v>0</v>
      </c>
      <c r="L336" s="5"/>
    </row>
    <row r="337" spans="1:12" customHeight="1" ht="105" outlineLevel="4">
      <c r="A337" s="1"/>
      <c r="B337" s="1">
        <v>818819</v>
      </c>
      <c r="C337" s="1" t="s">
        <v>1277</v>
      </c>
      <c r="D337" s="1" t="s">
        <v>1278</v>
      </c>
      <c r="E337" s="2" t="s">
        <v>1279</v>
      </c>
      <c r="F337" s="2" t="s">
        <v>1280</v>
      </c>
      <c r="G337" s="2">
        <v>0</v>
      </c>
      <c r="H337" s="2" t="s">
        <v>18</v>
      </c>
      <c r="I337" s="1">
        <v>0</v>
      </c>
      <c r="J337" s="3" t="s">
        <v>271</v>
      </c>
      <c r="K337" s="2" t="str">
        <f>J337*92.00</f>
        <v>0</v>
      </c>
      <c r="L337" s="5"/>
    </row>
    <row r="338" spans="1:12" customHeight="1" ht="105" outlineLevel="4">
      <c r="A338" s="1"/>
      <c r="B338" s="1">
        <v>818820</v>
      </c>
      <c r="C338" s="1" t="s">
        <v>1281</v>
      </c>
      <c r="D338" s="1" t="s">
        <v>1282</v>
      </c>
      <c r="E338" s="2" t="s">
        <v>1283</v>
      </c>
      <c r="F338" s="2" t="s">
        <v>1284</v>
      </c>
      <c r="G338" s="2">
        <v>1</v>
      </c>
      <c r="H338" s="2">
        <v>0</v>
      </c>
      <c r="I338" s="1">
        <v>0</v>
      </c>
      <c r="J338" s="3" t="s">
        <v>271</v>
      </c>
      <c r="K338" s="2" t="str">
        <f>J338*118.00</f>
        <v>0</v>
      </c>
      <c r="L338" s="5"/>
    </row>
    <row r="339" spans="1:12" customHeight="1" ht="105" outlineLevel="4">
      <c r="A339" s="1"/>
      <c r="B339" s="1">
        <v>818821</v>
      </c>
      <c r="C339" s="1" t="s">
        <v>1285</v>
      </c>
      <c r="D339" s="1" t="s">
        <v>1286</v>
      </c>
      <c r="E339" s="2" t="s">
        <v>1287</v>
      </c>
      <c r="F339" s="2" t="s">
        <v>1288</v>
      </c>
      <c r="G339" s="2" t="s">
        <v>79</v>
      </c>
      <c r="H339" s="2" t="s">
        <v>17</v>
      </c>
      <c r="I339" s="1">
        <v>0</v>
      </c>
      <c r="J339" s="3" t="s">
        <v>271</v>
      </c>
      <c r="K339" s="2" t="str">
        <f>J339*107.00</f>
        <v>0</v>
      </c>
      <c r="L339" s="5"/>
    </row>
    <row r="340" spans="1:12" customHeight="1" ht="105" outlineLevel="4">
      <c r="A340" s="1"/>
      <c r="B340" s="1">
        <v>818822</v>
      </c>
      <c r="C340" s="1" t="s">
        <v>1289</v>
      </c>
      <c r="D340" s="1" t="s">
        <v>1290</v>
      </c>
      <c r="E340" s="2" t="s">
        <v>1291</v>
      </c>
      <c r="F340" s="2" t="s">
        <v>1292</v>
      </c>
      <c r="G340" s="2" t="s">
        <v>17</v>
      </c>
      <c r="H340" s="2" t="s">
        <v>54</v>
      </c>
      <c r="I340" s="1">
        <v>0</v>
      </c>
      <c r="J340" s="3" t="s">
        <v>271</v>
      </c>
      <c r="K340" s="2" t="str">
        <f>J340*11.00</f>
        <v>0</v>
      </c>
      <c r="L340" s="5"/>
    </row>
    <row r="341" spans="1:12" customHeight="1" ht="105" outlineLevel="4">
      <c r="A341" s="1"/>
      <c r="B341" s="1">
        <v>818823</v>
      </c>
      <c r="C341" s="1" t="s">
        <v>1293</v>
      </c>
      <c r="D341" s="1" t="s">
        <v>1294</v>
      </c>
      <c r="E341" s="2" t="s">
        <v>1295</v>
      </c>
      <c r="F341" s="2" t="s">
        <v>336</v>
      </c>
      <c r="G341" s="2" t="s">
        <v>28</v>
      </c>
      <c r="H341" s="2" t="s">
        <v>18</v>
      </c>
      <c r="I341" s="1">
        <v>0</v>
      </c>
      <c r="J341" s="3" t="s">
        <v>271</v>
      </c>
      <c r="K341" s="2" t="str">
        <f>J341*15.00</f>
        <v>0</v>
      </c>
      <c r="L341" s="5"/>
    </row>
    <row r="342" spans="1:12" customHeight="1" ht="105" outlineLevel="4">
      <c r="A342" s="1"/>
      <c r="B342" s="1">
        <v>818824</v>
      </c>
      <c r="C342" s="1" t="s">
        <v>1296</v>
      </c>
      <c r="D342" s="1" t="s">
        <v>1297</v>
      </c>
      <c r="E342" s="2" t="s">
        <v>1298</v>
      </c>
      <c r="F342" s="2" t="s">
        <v>1299</v>
      </c>
      <c r="G342" s="2" t="s">
        <v>79</v>
      </c>
      <c r="H342" s="2" t="s">
        <v>18</v>
      </c>
      <c r="I342" s="1">
        <v>0</v>
      </c>
      <c r="J342" s="3" t="s">
        <v>271</v>
      </c>
      <c r="K342" s="2" t="str">
        <f>J342*27.00</f>
        <v>0</v>
      </c>
      <c r="L342" s="5"/>
    </row>
    <row r="343" spans="1:12" customHeight="1" ht="105" outlineLevel="4">
      <c r="A343" s="1"/>
      <c r="B343" s="1">
        <v>818825</v>
      </c>
      <c r="C343" s="1" t="s">
        <v>1300</v>
      </c>
      <c r="D343" s="1" t="s">
        <v>1301</v>
      </c>
      <c r="E343" s="2" t="s">
        <v>1302</v>
      </c>
      <c r="F343" s="2" t="s">
        <v>392</v>
      </c>
      <c r="G343" s="2" t="s">
        <v>84</v>
      </c>
      <c r="H343" s="2" t="s">
        <v>37</v>
      </c>
      <c r="I343" s="1">
        <v>0</v>
      </c>
      <c r="J343" s="3" t="s">
        <v>271</v>
      </c>
      <c r="K343" s="2" t="str">
        <f>J343*40.00</f>
        <v>0</v>
      </c>
      <c r="L343" s="5"/>
    </row>
    <row r="344" spans="1:12" customHeight="1" ht="105" outlineLevel="4">
      <c r="A344" s="1"/>
      <c r="B344" s="1">
        <v>818826</v>
      </c>
      <c r="C344" s="1" t="s">
        <v>1303</v>
      </c>
      <c r="D344" s="1" t="s">
        <v>1304</v>
      </c>
      <c r="E344" s="2" t="s">
        <v>1305</v>
      </c>
      <c r="F344" s="2" t="s">
        <v>348</v>
      </c>
      <c r="G344" s="2" t="s">
        <v>79</v>
      </c>
      <c r="H344" s="2">
        <v>0</v>
      </c>
      <c r="I344" s="1">
        <v>0</v>
      </c>
      <c r="J344" s="3" t="s">
        <v>271</v>
      </c>
      <c r="K344" s="2" t="str">
        <f>J344*71.00</f>
        <v>0</v>
      </c>
      <c r="L344" s="5"/>
    </row>
    <row r="345" spans="1:12" customHeight="1" ht="105" outlineLevel="4">
      <c r="A345" s="1"/>
      <c r="B345" s="1">
        <v>818827</v>
      </c>
      <c r="C345" s="1" t="s">
        <v>1306</v>
      </c>
      <c r="D345" s="1" t="s">
        <v>1307</v>
      </c>
      <c r="E345" s="2" t="s">
        <v>1308</v>
      </c>
      <c r="F345" s="2" t="s">
        <v>1309</v>
      </c>
      <c r="G345" s="2">
        <v>0</v>
      </c>
      <c r="H345" s="2" t="s">
        <v>84</v>
      </c>
      <c r="I345" s="1">
        <v>0</v>
      </c>
      <c r="J345" s="3" t="s">
        <v>271</v>
      </c>
      <c r="K345" s="2" t="str">
        <f>J345*136.00</f>
        <v>0</v>
      </c>
      <c r="L345" s="5"/>
    </row>
    <row r="346" spans="1:12" customHeight="1" ht="105" outlineLevel="4">
      <c r="A346" s="1"/>
      <c r="B346" s="1">
        <v>818828</v>
      </c>
      <c r="C346" s="1" t="s">
        <v>1310</v>
      </c>
      <c r="D346" s="1" t="s">
        <v>1311</v>
      </c>
      <c r="E346" s="2" t="s">
        <v>1312</v>
      </c>
      <c r="F346" s="2" t="s">
        <v>1313</v>
      </c>
      <c r="G346" s="2">
        <v>0</v>
      </c>
      <c r="H346" s="2">
        <v>0</v>
      </c>
      <c r="I346" s="1">
        <v>0</v>
      </c>
      <c r="J346" s="3" t="s">
        <v>271</v>
      </c>
      <c r="K346" s="2" t="str">
        <f>J346*428.00</f>
        <v>0</v>
      </c>
      <c r="L346" s="5"/>
    </row>
    <row r="347" spans="1:12" customHeight="1" ht="105" outlineLevel="4">
      <c r="A347" s="1"/>
      <c r="B347" s="1">
        <v>818829</v>
      </c>
      <c r="C347" s="1" t="s">
        <v>1314</v>
      </c>
      <c r="D347" s="1" t="s">
        <v>1315</v>
      </c>
      <c r="E347" s="2" t="s">
        <v>1316</v>
      </c>
      <c r="F347" s="2" t="s">
        <v>332</v>
      </c>
      <c r="G347" s="2" t="s">
        <v>28</v>
      </c>
      <c r="H347" s="2" t="s">
        <v>54</v>
      </c>
      <c r="I347" s="1">
        <v>0</v>
      </c>
      <c r="J347" s="3" t="s">
        <v>271</v>
      </c>
      <c r="K347" s="2" t="str">
        <f>J347*12.00</f>
        <v>0</v>
      </c>
      <c r="L347" s="5"/>
    </row>
    <row r="348" spans="1:12" customHeight="1" ht="105" outlineLevel="4">
      <c r="A348" s="1"/>
      <c r="B348" s="1">
        <v>818830</v>
      </c>
      <c r="C348" s="1" t="s">
        <v>1317</v>
      </c>
      <c r="D348" s="1" t="s">
        <v>1318</v>
      </c>
      <c r="E348" s="2" t="s">
        <v>1319</v>
      </c>
      <c r="F348" s="2" t="s">
        <v>372</v>
      </c>
      <c r="G348" s="2" t="s">
        <v>28</v>
      </c>
      <c r="H348" s="2" t="s">
        <v>18</v>
      </c>
      <c r="I348" s="1">
        <v>0</v>
      </c>
      <c r="J348" s="3" t="s">
        <v>271</v>
      </c>
      <c r="K348" s="2" t="str">
        <f>J348*17.00</f>
        <v>0</v>
      </c>
      <c r="L348" s="5"/>
    </row>
    <row r="349" spans="1:12" customHeight="1" ht="105" outlineLevel="4">
      <c r="A349" s="1"/>
      <c r="B349" s="1">
        <v>818831</v>
      </c>
      <c r="C349" s="1" t="s">
        <v>1320</v>
      </c>
      <c r="D349" s="1" t="s">
        <v>1321</v>
      </c>
      <c r="E349" s="2" t="s">
        <v>1322</v>
      </c>
      <c r="F349" s="2" t="s">
        <v>1323</v>
      </c>
      <c r="G349" s="2" t="s">
        <v>84</v>
      </c>
      <c r="H349" s="2" t="s">
        <v>17</v>
      </c>
      <c r="I349" s="1">
        <v>0</v>
      </c>
      <c r="J349" s="3" t="s">
        <v>271</v>
      </c>
      <c r="K349" s="2" t="str">
        <f>J349*37.00</f>
        <v>0</v>
      </c>
      <c r="L349" s="5"/>
    </row>
    <row r="350" spans="1:12" customHeight="1" ht="105" outlineLevel="4">
      <c r="A350" s="1"/>
      <c r="B350" s="1">
        <v>818832</v>
      </c>
      <c r="C350" s="1" t="s">
        <v>1324</v>
      </c>
      <c r="D350" s="1" t="s">
        <v>1325</v>
      </c>
      <c r="E350" s="2" t="s">
        <v>1326</v>
      </c>
      <c r="F350" s="2" t="s">
        <v>462</v>
      </c>
      <c r="G350" s="2" t="s">
        <v>17</v>
      </c>
      <c r="H350" s="2">
        <v>0</v>
      </c>
      <c r="I350" s="1">
        <v>0</v>
      </c>
      <c r="J350" s="3" t="s">
        <v>1327</v>
      </c>
      <c r="K350" s="2" t="str">
        <f>J350*52.00</f>
        <v>0</v>
      </c>
      <c r="L350" s="5"/>
    </row>
    <row r="351" spans="1:12" customHeight="1" ht="105" outlineLevel="4">
      <c r="A351" s="1"/>
      <c r="B351" s="1">
        <v>818833</v>
      </c>
      <c r="C351" s="1" t="s">
        <v>1328</v>
      </c>
      <c r="D351" s="1" t="s">
        <v>1329</v>
      </c>
      <c r="E351" s="2" t="s">
        <v>1330</v>
      </c>
      <c r="F351" s="2" t="s">
        <v>1005</v>
      </c>
      <c r="G351" s="2" t="s">
        <v>79</v>
      </c>
      <c r="H351" s="2" t="s">
        <v>18</v>
      </c>
      <c r="I351" s="1">
        <v>0</v>
      </c>
      <c r="J351" s="3" t="s">
        <v>271</v>
      </c>
      <c r="K351" s="2" t="str">
        <f>J351*38.00</f>
        <v>0</v>
      </c>
      <c r="L351" s="5"/>
    </row>
    <row r="352" spans="1:12" customHeight="1" ht="105" outlineLevel="4">
      <c r="A352" s="1"/>
      <c r="B352" s="1">
        <v>818834</v>
      </c>
      <c r="C352" s="1" t="s">
        <v>1331</v>
      </c>
      <c r="D352" s="1" t="s">
        <v>1332</v>
      </c>
      <c r="E352" s="2" t="s">
        <v>1333</v>
      </c>
      <c r="F352" s="2" t="s">
        <v>1334</v>
      </c>
      <c r="G352" s="2" t="s">
        <v>79</v>
      </c>
      <c r="H352" s="2" t="s">
        <v>37</v>
      </c>
      <c r="I352" s="1">
        <v>0</v>
      </c>
      <c r="J352" s="3" t="s">
        <v>271</v>
      </c>
      <c r="K352" s="2" t="str">
        <f>J352*62.00</f>
        <v>0</v>
      </c>
      <c r="L352" s="5"/>
    </row>
    <row r="353" spans="1:12" customHeight="1" ht="105" outlineLevel="4">
      <c r="A353" s="1"/>
      <c r="B353" s="1">
        <v>818835</v>
      </c>
      <c r="C353" s="1" t="s">
        <v>1335</v>
      </c>
      <c r="D353" s="1" t="s">
        <v>1336</v>
      </c>
      <c r="E353" s="2" t="s">
        <v>1337</v>
      </c>
      <c r="F353" s="2" t="s">
        <v>1035</v>
      </c>
      <c r="G353" s="2">
        <v>10</v>
      </c>
      <c r="H353" s="2" t="s">
        <v>17</v>
      </c>
      <c r="I353" s="1">
        <v>0</v>
      </c>
      <c r="J353" s="3" t="s">
        <v>271</v>
      </c>
      <c r="K353" s="2" t="str">
        <f>J353*149.00</f>
        <v>0</v>
      </c>
      <c r="L353" s="5"/>
    </row>
    <row r="354" spans="1:12" customHeight="1" ht="105" outlineLevel="4">
      <c r="A354" s="1"/>
      <c r="B354" s="1">
        <v>818836</v>
      </c>
      <c r="C354" s="1" t="s">
        <v>1338</v>
      </c>
      <c r="D354" s="1" t="s">
        <v>1339</v>
      </c>
      <c r="E354" s="2" t="s">
        <v>1340</v>
      </c>
      <c r="F354" s="2" t="s">
        <v>1341</v>
      </c>
      <c r="G354" s="2" t="s">
        <v>79</v>
      </c>
      <c r="H354" s="2" t="s">
        <v>84</v>
      </c>
      <c r="I354" s="1">
        <v>0</v>
      </c>
      <c r="J354" s="3" t="s">
        <v>271</v>
      </c>
      <c r="K354" s="2" t="str">
        <f>J354*286.00</f>
        <v>0</v>
      </c>
      <c r="L354" s="5"/>
    </row>
    <row r="355" spans="1:12" customHeight="1" ht="105" outlineLevel="4">
      <c r="A355" s="1"/>
      <c r="B355" s="1">
        <v>818837</v>
      </c>
      <c r="C355" s="1" t="s">
        <v>1342</v>
      </c>
      <c r="D355" s="1" t="s">
        <v>1343</v>
      </c>
      <c r="E355" s="2" t="s">
        <v>1344</v>
      </c>
      <c r="F355" s="2" t="s">
        <v>1013</v>
      </c>
      <c r="G355" s="2">
        <v>0</v>
      </c>
      <c r="H355" s="2" t="s">
        <v>84</v>
      </c>
      <c r="I355" s="1">
        <v>0</v>
      </c>
      <c r="J355" s="3" t="s">
        <v>271</v>
      </c>
      <c r="K355" s="2" t="str">
        <f>J355*126.00</f>
        <v>0</v>
      </c>
      <c r="L355" s="5"/>
    </row>
    <row r="356" spans="1:12" customHeight="1" ht="105" outlineLevel="4">
      <c r="A356" s="1"/>
      <c r="B356" s="1">
        <v>818838</v>
      </c>
      <c r="C356" s="1" t="s">
        <v>1345</v>
      </c>
      <c r="D356" s="1" t="s">
        <v>1346</v>
      </c>
      <c r="E356" s="2" t="s">
        <v>1347</v>
      </c>
      <c r="F356" s="2" t="s">
        <v>1348</v>
      </c>
      <c r="G356" s="2">
        <v>0</v>
      </c>
      <c r="H356" s="2" t="s">
        <v>17</v>
      </c>
      <c r="I356" s="1">
        <v>0</v>
      </c>
      <c r="J356" s="3" t="s">
        <v>271</v>
      </c>
      <c r="K356" s="2" t="str">
        <f>J356*189.00</f>
        <v>0</v>
      </c>
      <c r="L356" s="5"/>
    </row>
    <row r="357" spans="1:12" customHeight="1" ht="105" outlineLevel="4">
      <c r="A357" s="1"/>
      <c r="B357" s="1">
        <v>818839</v>
      </c>
      <c r="C357" s="1" t="s">
        <v>1349</v>
      </c>
      <c r="D357" s="1" t="s">
        <v>1350</v>
      </c>
      <c r="E357" s="2" t="s">
        <v>1351</v>
      </c>
      <c r="F357" s="2" t="s">
        <v>1352</v>
      </c>
      <c r="G357" s="2">
        <v>0</v>
      </c>
      <c r="H357" s="2" t="s">
        <v>17</v>
      </c>
      <c r="I357" s="1">
        <v>0</v>
      </c>
      <c r="J357" s="3" t="s">
        <v>271</v>
      </c>
      <c r="K357" s="2" t="str">
        <f>J357*408.00</f>
        <v>0</v>
      </c>
      <c r="L357" s="5"/>
    </row>
    <row r="358" spans="1:12" customHeight="1" ht="105" outlineLevel="4">
      <c r="A358" s="1"/>
      <c r="B358" s="1">
        <v>818840</v>
      </c>
      <c r="C358" s="1" t="s">
        <v>1353</v>
      </c>
      <c r="D358" s="1" t="s">
        <v>1354</v>
      </c>
      <c r="E358" s="2" t="s">
        <v>1355</v>
      </c>
      <c r="F358" s="2" t="s">
        <v>1356</v>
      </c>
      <c r="G358" s="2">
        <v>1</v>
      </c>
      <c r="H358" s="2" t="s">
        <v>28</v>
      </c>
      <c r="I358" s="1">
        <v>0</v>
      </c>
      <c r="J358" s="3" t="s">
        <v>271</v>
      </c>
      <c r="K358" s="2" t="str">
        <f>J358*621.00</f>
        <v>0</v>
      </c>
      <c r="L358" s="5"/>
    </row>
    <row r="359" spans="1:12" customHeight="1" ht="105" outlineLevel="4">
      <c r="A359" s="1"/>
      <c r="B359" s="1">
        <v>836286</v>
      </c>
      <c r="C359" s="1" t="s">
        <v>1357</v>
      </c>
      <c r="D359" s="1" t="s">
        <v>1358</v>
      </c>
      <c r="E359" s="2" t="s">
        <v>1359</v>
      </c>
      <c r="F359" s="2" t="s">
        <v>749</v>
      </c>
      <c r="G359" s="2">
        <v>0</v>
      </c>
      <c r="H359" s="2">
        <v>0</v>
      </c>
      <c r="I359" s="1">
        <v>0</v>
      </c>
      <c r="J359" s="3" t="s">
        <v>271</v>
      </c>
      <c r="K359" s="2" t="str">
        <f>J359*557.00</f>
        <v>0</v>
      </c>
      <c r="L359" s="5"/>
    </row>
    <row r="360" spans="1:12" customHeight="1" ht="105" outlineLevel="4">
      <c r="A360" s="1"/>
      <c r="B360" s="1">
        <v>836287</v>
      </c>
      <c r="C360" s="1" t="s">
        <v>1360</v>
      </c>
      <c r="D360" s="1" t="s">
        <v>1361</v>
      </c>
      <c r="E360" s="2" t="s">
        <v>1362</v>
      </c>
      <c r="F360" s="2" t="s">
        <v>950</v>
      </c>
      <c r="G360" s="2">
        <v>0</v>
      </c>
      <c r="H360" s="2">
        <v>0</v>
      </c>
      <c r="I360" s="1">
        <v>0</v>
      </c>
      <c r="J360" s="3" t="s">
        <v>271</v>
      </c>
      <c r="K360" s="2" t="str">
        <f>J360*311.00</f>
        <v>0</v>
      </c>
      <c r="L360" s="5"/>
    </row>
    <row r="361" spans="1:12" customHeight="1" ht="105" outlineLevel="4">
      <c r="A361" s="1"/>
      <c r="B361" s="1">
        <v>836288</v>
      </c>
      <c r="C361" s="1" t="s">
        <v>1363</v>
      </c>
      <c r="D361" s="1" t="s">
        <v>1364</v>
      </c>
      <c r="E361" s="2" t="s">
        <v>1365</v>
      </c>
      <c r="F361" s="2" t="s">
        <v>1366</v>
      </c>
      <c r="G361" s="2">
        <v>0</v>
      </c>
      <c r="H361" s="2" t="s">
        <v>79</v>
      </c>
      <c r="I361" s="1">
        <v>0</v>
      </c>
      <c r="J361" s="3" t="s">
        <v>271</v>
      </c>
      <c r="K361" s="2" t="str">
        <f>J361*1600.00</f>
        <v>0</v>
      </c>
      <c r="L361" s="5"/>
    </row>
    <row r="362" spans="1:12" customHeight="1" ht="105" outlineLevel="4">
      <c r="A362" s="1"/>
      <c r="B362" s="1">
        <v>836289</v>
      </c>
      <c r="C362" s="1" t="s">
        <v>1367</v>
      </c>
      <c r="D362" s="1" t="s">
        <v>1368</v>
      </c>
      <c r="E362" s="2" t="s">
        <v>1369</v>
      </c>
      <c r="F362" s="2" t="s">
        <v>1370</v>
      </c>
      <c r="G362" s="2">
        <v>0</v>
      </c>
      <c r="H362" s="2">
        <v>0</v>
      </c>
      <c r="I362" s="1">
        <v>0</v>
      </c>
      <c r="J362" s="3" t="s">
        <v>271</v>
      </c>
      <c r="K362" s="2" t="str">
        <f>J362*701.00</f>
        <v>0</v>
      </c>
      <c r="L362" s="5"/>
    </row>
    <row r="363" spans="1:12" customHeight="1" ht="105" outlineLevel="4">
      <c r="A363" s="1"/>
      <c r="B363" s="1">
        <v>836290</v>
      </c>
      <c r="C363" s="1" t="s">
        <v>1371</v>
      </c>
      <c r="D363" s="1" t="s">
        <v>1372</v>
      </c>
      <c r="E363" s="2" t="s">
        <v>1373</v>
      </c>
      <c r="F363" s="2" t="s">
        <v>1374</v>
      </c>
      <c r="G363" s="2">
        <v>0</v>
      </c>
      <c r="H363" s="2" t="s">
        <v>79</v>
      </c>
      <c r="I363" s="1">
        <v>0</v>
      </c>
      <c r="J363" s="3" t="s">
        <v>271</v>
      </c>
      <c r="K363" s="2" t="str">
        <f>J363*463.00</f>
        <v>0</v>
      </c>
      <c r="L363" s="5"/>
    </row>
    <row r="364" spans="1:12" customHeight="1" ht="105" outlineLevel="4">
      <c r="A364" s="1"/>
      <c r="B364" s="1">
        <v>834774</v>
      </c>
      <c r="C364" s="1" t="s">
        <v>1375</v>
      </c>
      <c r="D364" s="1" t="s">
        <v>1376</v>
      </c>
      <c r="E364" s="2" t="s">
        <v>1377</v>
      </c>
      <c r="F364" s="2" t="s">
        <v>1378</v>
      </c>
      <c r="G364" s="2">
        <v>0</v>
      </c>
      <c r="H364" s="2">
        <v>0</v>
      </c>
      <c r="I364" s="1">
        <v>0</v>
      </c>
      <c r="J364" s="3" t="s">
        <v>271</v>
      </c>
      <c r="K364" s="2" t="str">
        <f>J364*434.00</f>
        <v>0</v>
      </c>
      <c r="L364" s="5"/>
    </row>
    <row r="365" spans="1:12" customHeight="1" ht="105" outlineLevel="4">
      <c r="A365" s="1"/>
      <c r="B365" s="1">
        <v>834775</v>
      </c>
      <c r="C365" s="1" t="s">
        <v>1379</v>
      </c>
      <c r="D365" s="1" t="s">
        <v>1380</v>
      </c>
      <c r="E365" s="2" t="s">
        <v>1381</v>
      </c>
      <c r="F365" s="2" t="s">
        <v>1382</v>
      </c>
      <c r="G365" s="2">
        <v>0</v>
      </c>
      <c r="H365" s="2" t="s">
        <v>28</v>
      </c>
      <c r="I365" s="1">
        <v>0</v>
      </c>
      <c r="J365" s="3" t="s">
        <v>271</v>
      </c>
      <c r="K365" s="2" t="str">
        <f>J365*515.00</f>
        <v>0</v>
      </c>
      <c r="L365" s="5"/>
    </row>
    <row r="366" spans="1:12" customHeight="1" ht="105" outlineLevel="4">
      <c r="A366" s="1"/>
      <c r="B366" s="1">
        <v>834776</v>
      </c>
      <c r="C366" s="1" t="s">
        <v>1383</v>
      </c>
      <c r="D366" s="1" t="s">
        <v>1384</v>
      </c>
      <c r="E366" s="2" t="s">
        <v>1385</v>
      </c>
      <c r="F366" s="2" t="s">
        <v>1386</v>
      </c>
      <c r="G366" s="2">
        <v>0</v>
      </c>
      <c r="H366" s="2" t="s">
        <v>28</v>
      </c>
      <c r="I366" s="1">
        <v>0</v>
      </c>
      <c r="J366" s="3" t="s">
        <v>271</v>
      </c>
      <c r="K366" s="2" t="str">
        <f>J366*368.00</f>
        <v>0</v>
      </c>
      <c r="L366" s="5"/>
    </row>
    <row r="367" spans="1:12" customHeight="1" ht="105" outlineLevel="4">
      <c r="A367" s="1"/>
      <c r="B367" s="1">
        <v>834777</v>
      </c>
      <c r="C367" s="1" t="s">
        <v>1387</v>
      </c>
      <c r="D367" s="1" t="s">
        <v>1388</v>
      </c>
      <c r="E367" s="2" t="s">
        <v>1389</v>
      </c>
      <c r="F367" s="2" t="s">
        <v>1390</v>
      </c>
      <c r="G367" s="2">
        <v>0</v>
      </c>
      <c r="H367" s="2" t="s">
        <v>17</v>
      </c>
      <c r="I367" s="1">
        <v>0</v>
      </c>
      <c r="J367" s="3" t="s">
        <v>271</v>
      </c>
      <c r="K367" s="2" t="str">
        <f>J367*469.00</f>
        <v>0</v>
      </c>
      <c r="L367" s="5"/>
    </row>
    <row r="368" spans="1:12" outlineLevel="2">
      <c r="A368" s="8" t="s">
        <v>1391</v>
      </c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5"/>
    </row>
    <row r="369" spans="1:12" customHeight="1" ht="105" outlineLevel="4">
      <c r="A369" s="1"/>
      <c r="B369" s="1">
        <v>811273</v>
      </c>
      <c r="C369" s="1" t="s">
        <v>1392</v>
      </c>
      <c r="D369" s="1" t="s">
        <v>1393</v>
      </c>
      <c r="E369" s="2" t="s">
        <v>1394</v>
      </c>
      <c r="F369" s="2" t="s">
        <v>1395</v>
      </c>
      <c r="G369" s="2" t="s">
        <v>28</v>
      </c>
      <c r="H369" s="2">
        <v>0</v>
      </c>
      <c r="I369" s="1">
        <v>0</v>
      </c>
      <c r="J369" s="3" t="s">
        <v>271</v>
      </c>
      <c r="K369" s="2" t="str">
        <f>J369*62.48</f>
        <v>0</v>
      </c>
      <c r="L369" s="5"/>
    </row>
    <row r="370" spans="1:12" customHeight="1" ht="105" outlineLevel="4">
      <c r="A370" s="1"/>
      <c r="B370" s="1">
        <v>811274</v>
      </c>
      <c r="C370" s="1" t="s">
        <v>1396</v>
      </c>
      <c r="D370" s="1" t="s">
        <v>1397</v>
      </c>
      <c r="E370" s="2" t="s">
        <v>1398</v>
      </c>
      <c r="F370" s="2" t="s">
        <v>1399</v>
      </c>
      <c r="G370" s="2">
        <v>0</v>
      </c>
      <c r="H370" s="2">
        <v>0</v>
      </c>
      <c r="I370" s="1">
        <v>0</v>
      </c>
      <c r="J370" s="3" t="s">
        <v>271</v>
      </c>
      <c r="K370" s="2" t="str">
        <f>J370*89.25</f>
        <v>0</v>
      </c>
      <c r="L370" s="5"/>
    </row>
    <row r="371" spans="1:12" customHeight="1" ht="105" outlineLevel="4">
      <c r="A371" s="1"/>
      <c r="B371" s="1">
        <v>811275</v>
      </c>
      <c r="C371" s="1" t="s">
        <v>1400</v>
      </c>
      <c r="D371" s="1" t="s">
        <v>1401</v>
      </c>
      <c r="E371" s="2" t="s">
        <v>1402</v>
      </c>
      <c r="F371" s="2" t="s">
        <v>1403</v>
      </c>
      <c r="G371" s="2" t="s">
        <v>84</v>
      </c>
      <c r="H371" s="2">
        <v>0</v>
      </c>
      <c r="I371" s="1">
        <v>0</v>
      </c>
      <c r="J371" s="3" t="s">
        <v>271</v>
      </c>
      <c r="K371" s="2" t="str">
        <f>J371*113.05</f>
        <v>0</v>
      </c>
      <c r="L371" s="5"/>
    </row>
    <row r="372" spans="1:12" customHeight="1" ht="105" outlineLevel="4">
      <c r="A372" s="1"/>
      <c r="B372" s="1">
        <v>811276</v>
      </c>
      <c r="C372" s="1" t="s">
        <v>1404</v>
      </c>
      <c r="D372" s="1" t="s">
        <v>1405</v>
      </c>
      <c r="E372" s="2" t="s">
        <v>1406</v>
      </c>
      <c r="F372" s="2" t="s">
        <v>1407</v>
      </c>
      <c r="G372" s="2" t="s">
        <v>84</v>
      </c>
      <c r="H372" s="2">
        <v>0</v>
      </c>
      <c r="I372" s="1">
        <v>0</v>
      </c>
      <c r="J372" s="3" t="s">
        <v>271</v>
      </c>
      <c r="K372" s="2" t="str">
        <f>J372*261.80</f>
        <v>0</v>
      </c>
      <c r="L372" s="5"/>
    </row>
    <row r="373" spans="1:12" customHeight="1" ht="105" outlineLevel="4">
      <c r="A373" s="1"/>
      <c r="B373" s="1">
        <v>811277</v>
      </c>
      <c r="C373" s="1" t="s">
        <v>1408</v>
      </c>
      <c r="D373" s="1" t="s">
        <v>1409</v>
      </c>
      <c r="E373" s="2" t="s">
        <v>1410</v>
      </c>
      <c r="F373" s="2" t="s">
        <v>1411</v>
      </c>
      <c r="G373" s="2" t="s">
        <v>79</v>
      </c>
      <c r="H373" s="2">
        <v>0</v>
      </c>
      <c r="I373" s="1">
        <v>0</v>
      </c>
      <c r="J373" s="3" t="s">
        <v>271</v>
      </c>
      <c r="K373" s="2" t="str">
        <f>J373*346.59</f>
        <v>0</v>
      </c>
      <c r="L373" s="5"/>
    </row>
    <row r="374" spans="1:12" customHeight="1" ht="105" outlineLevel="4">
      <c r="A374" s="1"/>
      <c r="B374" s="1">
        <v>811278</v>
      </c>
      <c r="C374" s="1" t="s">
        <v>1412</v>
      </c>
      <c r="D374" s="1" t="s">
        <v>1413</v>
      </c>
      <c r="E374" s="2" t="s">
        <v>1414</v>
      </c>
      <c r="F374" s="2" t="s">
        <v>1415</v>
      </c>
      <c r="G374" s="2" t="s">
        <v>79</v>
      </c>
      <c r="H374" s="2">
        <v>0</v>
      </c>
      <c r="I374" s="1">
        <v>0</v>
      </c>
      <c r="J374" s="3" t="s">
        <v>271</v>
      </c>
      <c r="K374" s="2" t="str">
        <f>J374*606.90</f>
        <v>0</v>
      </c>
      <c r="L374" s="5"/>
    </row>
    <row r="375" spans="1:12" customHeight="1" ht="105" outlineLevel="4">
      <c r="A375" s="1"/>
      <c r="B375" s="1">
        <v>811285</v>
      </c>
      <c r="C375" s="1" t="s">
        <v>1416</v>
      </c>
      <c r="D375" s="1" t="s">
        <v>1417</v>
      </c>
      <c r="E375" s="2" t="s">
        <v>1418</v>
      </c>
      <c r="F375" s="2" t="s">
        <v>1419</v>
      </c>
      <c r="G375" s="2" t="s">
        <v>84</v>
      </c>
      <c r="H375" s="2">
        <v>0</v>
      </c>
      <c r="I375" s="1">
        <v>0</v>
      </c>
      <c r="J375" s="3" t="s">
        <v>271</v>
      </c>
      <c r="K375" s="2" t="str">
        <f>J375*203.79</f>
        <v>0</v>
      </c>
      <c r="L375" s="5"/>
    </row>
    <row r="376" spans="1:12" customHeight="1" ht="105" outlineLevel="4">
      <c r="A376" s="1"/>
      <c r="B376" s="1">
        <v>811286</v>
      </c>
      <c r="C376" s="1" t="s">
        <v>1420</v>
      </c>
      <c r="D376" s="1" t="s">
        <v>1421</v>
      </c>
      <c r="E376" s="2" t="s">
        <v>1422</v>
      </c>
      <c r="F376" s="2" t="s">
        <v>1423</v>
      </c>
      <c r="G376" s="2" t="s">
        <v>84</v>
      </c>
      <c r="H376" s="2">
        <v>0</v>
      </c>
      <c r="I376" s="1">
        <v>0</v>
      </c>
      <c r="J376" s="3" t="s">
        <v>271</v>
      </c>
      <c r="K376" s="2" t="str">
        <f>J376*243.95</f>
        <v>0</v>
      </c>
      <c r="L376" s="5"/>
    </row>
    <row r="377" spans="1:12" customHeight="1" ht="105" outlineLevel="4">
      <c r="A377" s="1"/>
      <c r="B377" s="1">
        <v>811287</v>
      </c>
      <c r="C377" s="1" t="s">
        <v>1424</v>
      </c>
      <c r="D377" s="1" t="s">
        <v>1425</v>
      </c>
      <c r="E377" s="2" t="s">
        <v>1426</v>
      </c>
      <c r="F377" s="2" t="s">
        <v>1419</v>
      </c>
      <c r="G377" s="2" t="s">
        <v>28</v>
      </c>
      <c r="H377" s="2">
        <v>0</v>
      </c>
      <c r="I377" s="1">
        <v>0</v>
      </c>
      <c r="J377" s="3" t="s">
        <v>271</v>
      </c>
      <c r="K377" s="2" t="str">
        <f>J377*203.79</f>
        <v>0</v>
      </c>
      <c r="L377" s="5"/>
    </row>
    <row r="378" spans="1:12" customHeight="1" ht="105" outlineLevel="4">
      <c r="A378" s="1"/>
      <c r="B378" s="1">
        <v>811288</v>
      </c>
      <c r="C378" s="1" t="s">
        <v>1427</v>
      </c>
      <c r="D378" s="1" t="s">
        <v>1428</v>
      </c>
      <c r="E378" s="2" t="s">
        <v>1429</v>
      </c>
      <c r="F378" s="2" t="s">
        <v>1423</v>
      </c>
      <c r="G378" s="2">
        <v>0</v>
      </c>
      <c r="H378" s="2">
        <v>0</v>
      </c>
      <c r="I378" s="1">
        <v>0</v>
      </c>
      <c r="J378" s="3" t="s">
        <v>271</v>
      </c>
      <c r="K378" s="2" t="str">
        <f>J378*243.95</f>
        <v>0</v>
      </c>
      <c r="L378" s="5"/>
    </row>
    <row r="379" spans="1:12" customHeight="1" ht="105" outlineLevel="4">
      <c r="A379" s="1"/>
      <c r="B379" s="1">
        <v>832786</v>
      </c>
      <c r="C379" s="1" t="s">
        <v>1430</v>
      </c>
      <c r="D379" s="1" t="s">
        <v>1431</v>
      </c>
      <c r="E379" s="2" t="s">
        <v>1432</v>
      </c>
      <c r="F379" s="2" t="s">
        <v>1433</v>
      </c>
      <c r="G379" s="2" t="s">
        <v>17</v>
      </c>
      <c r="H379" s="2">
        <v>0</v>
      </c>
      <c r="I379" s="1">
        <v>0</v>
      </c>
      <c r="J379" s="3" t="s">
        <v>271</v>
      </c>
      <c r="K379" s="2" t="str">
        <f>J379*123.46</f>
        <v>0</v>
      </c>
      <c r="L379" s="5"/>
    </row>
    <row r="380" spans="1:12" customHeight="1" ht="105" outlineLevel="4">
      <c r="A380" s="1"/>
      <c r="B380" s="1">
        <v>832787</v>
      </c>
      <c r="C380" s="1" t="s">
        <v>1434</v>
      </c>
      <c r="D380" s="1" t="s">
        <v>1435</v>
      </c>
      <c r="E380" s="2" t="s">
        <v>1436</v>
      </c>
      <c r="F380" s="2" t="s">
        <v>1437</v>
      </c>
      <c r="G380" s="2" t="s">
        <v>84</v>
      </c>
      <c r="H380" s="2">
        <v>0</v>
      </c>
      <c r="I380" s="1">
        <v>0</v>
      </c>
      <c r="J380" s="3" t="s">
        <v>271</v>
      </c>
      <c r="K380" s="2" t="str">
        <f>J380*168.09</f>
        <v>0</v>
      </c>
      <c r="L380" s="5"/>
    </row>
    <row r="381" spans="1:12" customHeight="1" ht="105" outlineLevel="4">
      <c r="A381" s="1"/>
      <c r="B381" s="1">
        <v>832788</v>
      </c>
      <c r="C381" s="1" t="s">
        <v>1438</v>
      </c>
      <c r="D381" s="1" t="s">
        <v>1439</v>
      </c>
      <c r="E381" s="2" t="s">
        <v>1440</v>
      </c>
      <c r="F381" s="2" t="s">
        <v>1441</v>
      </c>
      <c r="G381" s="2" t="s">
        <v>28</v>
      </c>
      <c r="H381" s="2">
        <v>0</v>
      </c>
      <c r="I381" s="1">
        <v>0</v>
      </c>
      <c r="J381" s="3" t="s">
        <v>271</v>
      </c>
      <c r="K381" s="2" t="str">
        <f>J381*229.08</f>
        <v>0</v>
      </c>
      <c r="L381" s="5"/>
    </row>
    <row r="382" spans="1:12" customHeight="1" ht="105" outlineLevel="4">
      <c r="A382" s="1"/>
      <c r="B382" s="1">
        <v>832789</v>
      </c>
      <c r="C382" s="1" t="s">
        <v>1442</v>
      </c>
      <c r="D382" s="1" t="s">
        <v>1443</v>
      </c>
      <c r="E382" s="2" t="s">
        <v>1444</v>
      </c>
      <c r="F382" s="2" t="s">
        <v>1445</v>
      </c>
      <c r="G382" s="2" t="s">
        <v>17</v>
      </c>
      <c r="H382" s="2">
        <v>0</v>
      </c>
      <c r="I382" s="1">
        <v>0</v>
      </c>
      <c r="J382" s="3" t="s">
        <v>271</v>
      </c>
      <c r="K382" s="2" t="str">
        <f>J382*169.58</f>
        <v>0</v>
      </c>
      <c r="L382" s="5"/>
    </row>
    <row r="383" spans="1:12" customHeight="1" ht="105" outlineLevel="4">
      <c r="A383" s="1"/>
      <c r="B383" s="1">
        <v>889291</v>
      </c>
      <c r="C383" s="1" t="s">
        <v>1446</v>
      </c>
      <c r="D383" s="1" t="s">
        <v>1447</v>
      </c>
      <c r="E383" s="2" t="s">
        <v>1448</v>
      </c>
      <c r="F383" s="2" t="s">
        <v>1441</v>
      </c>
      <c r="G383" s="2" t="s">
        <v>84</v>
      </c>
      <c r="H383" s="2">
        <v>0</v>
      </c>
      <c r="I383" s="1">
        <v>0</v>
      </c>
      <c r="J383" s="3" t="s">
        <v>271</v>
      </c>
      <c r="K383" s="2" t="str">
        <f>J383*229.08</f>
        <v>0</v>
      </c>
      <c r="L383" s="5"/>
    </row>
    <row r="384" spans="1:12" customHeight="1" ht="105" outlineLevel="4">
      <c r="A384" s="1"/>
      <c r="B384" s="1">
        <v>832791</v>
      </c>
      <c r="C384" s="1" t="s">
        <v>1449</v>
      </c>
      <c r="D384" s="1" t="s">
        <v>1450</v>
      </c>
      <c r="E384" s="2" t="s">
        <v>1451</v>
      </c>
      <c r="F384" s="2" t="s">
        <v>1452</v>
      </c>
      <c r="G384" s="2" t="s">
        <v>84</v>
      </c>
      <c r="H384" s="2">
        <v>0</v>
      </c>
      <c r="I384" s="1">
        <v>0</v>
      </c>
      <c r="J384" s="3" t="s">
        <v>271</v>
      </c>
      <c r="K384" s="2" t="str">
        <f>J384*255.85</f>
        <v>0</v>
      </c>
      <c r="L384" s="5"/>
    </row>
    <row r="385" spans="1:12" customHeight="1" ht="105" outlineLevel="4">
      <c r="A385" s="1"/>
      <c r="B385" s="1">
        <v>889292</v>
      </c>
      <c r="C385" s="1" t="s">
        <v>1453</v>
      </c>
      <c r="D385" s="1" t="s">
        <v>1454</v>
      </c>
      <c r="E385" s="2" t="s">
        <v>1455</v>
      </c>
      <c r="F385" s="2" t="s">
        <v>1407</v>
      </c>
      <c r="G385" s="2" t="s">
        <v>84</v>
      </c>
      <c r="H385" s="2">
        <v>0</v>
      </c>
      <c r="I385" s="1">
        <v>0</v>
      </c>
      <c r="J385" s="3" t="s">
        <v>271</v>
      </c>
      <c r="K385" s="2" t="str">
        <f>J385*261.80</f>
        <v>0</v>
      </c>
      <c r="L385" s="5"/>
    </row>
    <row r="386" spans="1:12" customHeight="1" ht="105" outlineLevel="4">
      <c r="A386" s="1"/>
      <c r="B386" s="1">
        <v>832793</v>
      </c>
      <c r="C386" s="1" t="s">
        <v>1456</v>
      </c>
      <c r="D386" s="1" t="s">
        <v>1457</v>
      </c>
      <c r="E386" s="2" t="s">
        <v>1458</v>
      </c>
      <c r="F386" s="2" t="s">
        <v>1459</v>
      </c>
      <c r="G386" s="2" t="s">
        <v>28</v>
      </c>
      <c r="H386" s="2">
        <v>0</v>
      </c>
      <c r="I386" s="1">
        <v>0</v>
      </c>
      <c r="J386" s="3" t="s">
        <v>271</v>
      </c>
      <c r="K386" s="2" t="str">
        <f>J386*258.83</f>
        <v>0</v>
      </c>
      <c r="L386" s="5"/>
    </row>
    <row r="387" spans="1:12" customHeight="1" ht="105" outlineLevel="4">
      <c r="A387" s="1"/>
      <c r="B387" s="1">
        <v>832794</v>
      </c>
      <c r="C387" s="1" t="s">
        <v>1460</v>
      </c>
      <c r="D387" s="1" t="s">
        <v>1461</v>
      </c>
      <c r="E387" s="2" t="s">
        <v>1462</v>
      </c>
      <c r="F387" s="2" t="s">
        <v>1463</v>
      </c>
      <c r="G387" s="2" t="s">
        <v>79</v>
      </c>
      <c r="H387" s="2">
        <v>0</v>
      </c>
      <c r="I387" s="1">
        <v>0</v>
      </c>
      <c r="J387" s="3" t="s">
        <v>271</v>
      </c>
      <c r="K387" s="2" t="str">
        <f>J387*291.55</f>
        <v>0</v>
      </c>
      <c r="L387" s="5"/>
    </row>
    <row r="388" spans="1:12" customHeight="1" ht="105" outlineLevel="4">
      <c r="A388" s="1"/>
      <c r="B388" s="1">
        <v>889293</v>
      </c>
      <c r="C388" s="1" t="s">
        <v>1464</v>
      </c>
      <c r="D388" s="1" t="s">
        <v>1465</v>
      </c>
      <c r="E388" s="2" t="s">
        <v>1466</v>
      </c>
      <c r="F388" s="2" t="s">
        <v>1467</v>
      </c>
      <c r="G388" s="2" t="s">
        <v>79</v>
      </c>
      <c r="H388" s="2">
        <v>0</v>
      </c>
      <c r="I388" s="1">
        <v>0</v>
      </c>
      <c r="J388" s="3" t="s">
        <v>271</v>
      </c>
      <c r="K388" s="2" t="str">
        <f>J388*422.45</f>
        <v>0</v>
      </c>
      <c r="L388" s="5"/>
    </row>
    <row r="389" spans="1:12" customHeight="1" ht="105" outlineLevel="4">
      <c r="A389" s="1"/>
      <c r="B389" s="1">
        <v>889294</v>
      </c>
      <c r="C389" s="1" t="s">
        <v>1468</v>
      </c>
      <c r="D389" s="1" t="s">
        <v>1469</v>
      </c>
      <c r="E389" s="2" t="s">
        <v>1470</v>
      </c>
      <c r="F389" s="2" t="s">
        <v>1471</v>
      </c>
      <c r="G389" s="2">
        <v>10</v>
      </c>
      <c r="H389" s="2">
        <v>0</v>
      </c>
      <c r="I389" s="1">
        <v>0</v>
      </c>
      <c r="J389" s="3" t="s">
        <v>271</v>
      </c>
      <c r="K389" s="2" t="str">
        <f>J389*486.41</f>
        <v>0</v>
      </c>
      <c r="L389" s="5"/>
    </row>
    <row r="390" spans="1:12" customHeight="1" ht="105" outlineLevel="4">
      <c r="A390" s="1"/>
      <c r="B390" s="1">
        <v>889295</v>
      </c>
      <c r="C390" s="1" t="s">
        <v>1472</v>
      </c>
      <c r="D390" s="1" t="s">
        <v>1473</v>
      </c>
      <c r="E390" s="2" t="s">
        <v>1474</v>
      </c>
      <c r="F390" s="2" t="s">
        <v>1475</v>
      </c>
      <c r="G390" s="2">
        <v>2</v>
      </c>
      <c r="H390" s="2">
        <v>0</v>
      </c>
      <c r="I390" s="1">
        <v>0</v>
      </c>
      <c r="J390" s="3" t="s">
        <v>271</v>
      </c>
      <c r="K390" s="2" t="str">
        <f>J390*657.48</f>
        <v>0</v>
      </c>
      <c r="L390" s="5"/>
    </row>
    <row r="391" spans="1:12" customHeight="1" ht="105" outlineLevel="4">
      <c r="A391" s="1"/>
      <c r="B391" s="1">
        <v>889296</v>
      </c>
      <c r="C391" s="1" t="s">
        <v>1476</v>
      </c>
      <c r="D391" s="1" t="s">
        <v>1477</v>
      </c>
      <c r="E391" s="2" t="s">
        <v>1478</v>
      </c>
      <c r="F391" s="2" t="s">
        <v>1479</v>
      </c>
      <c r="G391" s="2" t="s">
        <v>84</v>
      </c>
      <c r="H391" s="2">
        <v>0</v>
      </c>
      <c r="I391" s="1">
        <v>0</v>
      </c>
      <c r="J391" s="3" t="s">
        <v>271</v>
      </c>
      <c r="K391" s="2" t="str">
        <f>J391*1008.53</f>
        <v>0</v>
      </c>
      <c r="L391" s="5"/>
    </row>
    <row r="392" spans="1:12" customHeight="1" ht="105" outlineLevel="4">
      <c r="A392" s="1"/>
      <c r="B392" s="1">
        <v>832799</v>
      </c>
      <c r="C392" s="1" t="s">
        <v>1480</v>
      </c>
      <c r="D392" s="1" t="s">
        <v>1481</v>
      </c>
      <c r="E392" s="2" t="s">
        <v>1482</v>
      </c>
      <c r="F392" s="2" t="s">
        <v>1483</v>
      </c>
      <c r="G392" s="2" t="s">
        <v>17</v>
      </c>
      <c r="H392" s="2">
        <v>0</v>
      </c>
      <c r="I392" s="1">
        <v>0</v>
      </c>
      <c r="J392" s="3" t="s">
        <v>271</v>
      </c>
      <c r="K392" s="2" t="str">
        <f>J392*133.88</f>
        <v>0</v>
      </c>
      <c r="L392" s="5"/>
    </row>
    <row r="393" spans="1:12" customHeight="1" ht="105" outlineLevel="4">
      <c r="A393" s="1"/>
      <c r="B393" s="1">
        <v>832800</v>
      </c>
      <c r="C393" s="1" t="s">
        <v>1484</v>
      </c>
      <c r="D393" s="1" t="s">
        <v>1485</v>
      </c>
      <c r="E393" s="2" t="s">
        <v>1486</v>
      </c>
      <c r="F393" s="2" t="s">
        <v>1487</v>
      </c>
      <c r="G393" s="2" t="s">
        <v>84</v>
      </c>
      <c r="H393" s="2">
        <v>0</v>
      </c>
      <c r="I393" s="1">
        <v>0</v>
      </c>
      <c r="J393" s="3" t="s">
        <v>271</v>
      </c>
      <c r="K393" s="2" t="str">
        <f>J393*185.94</f>
        <v>0</v>
      </c>
      <c r="L393" s="5"/>
    </row>
    <row r="394" spans="1:12" customHeight="1" ht="105" outlineLevel="4">
      <c r="A394" s="1"/>
      <c r="B394" s="1">
        <v>832801</v>
      </c>
      <c r="C394" s="1" t="s">
        <v>1488</v>
      </c>
      <c r="D394" s="1" t="s">
        <v>1489</v>
      </c>
      <c r="E394" s="2" t="s">
        <v>1490</v>
      </c>
      <c r="F394" s="2" t="s">
        <v>1491</v>
      </c>
      <c r="G394" s="2" t="s">
        <v>28</v>
      </c>
      <c r="H394" s="2">
        <v>0</v>
      </c>
      <c r="I394" s="1">
        <v>0</v>
      </c>
      <c r="J394" s="3" t="s">
        <v>271</v>
      </c>
      <c r="K394" s="2" t="str">
        <f>J394*233.54</f>
        <v>0</v>
      </c>
      <c r="L394" s="5"/>
    </row>
    <row r="395" spans="1:12" customHeight="1" ht="105" outlineLevel="4">
      <c r="A395" s="1"/>
      <c r="B395" s="1">
        <v>832802</v>
      </c>
      <c r="C395" s="1" t="s">
        <v>1492</v>
      </c>
      <c r="D395" s="1" t="s">
        <v>1493</v>
      </c>
      <c r="E395" s="2" t="s">
        <v>1494</v>
      </c>
      <c r="F395" s="2" t="s">
        <v>1495</v>
      </c>
      <c r="G395" s="2" t="s">
        <v>28</v>
      </c>
      <c r="H395" s="2">
        <v>0</v>
      </c>
      <c r="I395" s="1">
        <v>0</v>
      </c>
      <c r="J395" s="3" t="s">
        <v>271</v>
      </c>
      <c r="K395" s="2" t="str">
        <f>J395*177.01</f>
        <v>0</v>
      </c>
      <c r="L395" s="5"/>
    </row>
    <row r="396" spans="1:12" customHeight="1" ht="105" outlineLevel="4">
      <c r="A396" s="1"/>
      <c r="B396" s="1">
        <v>832803</v>
      </c>
      <c r="C396" s="1" t="s">
        <v>1496</v>
      </c>
      <c r="D396" s="1" t="s">
        <v>1497</v>
      </c>
      <c r="E396" s="2" t="s">
        <v>1498</v>
      </c>
      <c r="F396" s="2" t="s">
        <v>214</v>
      </c>
      <c r="G396" s="2" t="s">
        <v>28</v>
      </c>
      <c r="H396" s="2">
        <v>0</v>
      </c>
      <c r="I396" s="1">
        <v>0</v>
      </c>
      <c r="J396" s="3" t="s">
        <v>271</v>
      </c>
      <c r="K396" s="2" t="str">
        <f>J396*249.90</f>
        <v>0</v>
      </c>
      <c r="L396" s="5"/>
    </row>
    <row r="397" spans="1:12" customHeight="1" ht="105" outlineLevel="4">
      <c r="A397" s="1"/>
      <c r="B397" s="1">
        <v>832804</v>
      </c>
      <c r="C397" s="1" t="s">
        <v>1499</v>
      </c>
      <c r="D397" s="1" t="s">
        <v>1500</v>
      </c>
      <c r="E397" s="2" t="s">
        <v>1501</v>
      </c>
      <c r="F397" s="2" t="s">
        <v>1502</v>
      </c>
      <c r="G397" s="2" t="s">
        <v>84</v>
      </c>
      <c r="H397" s="2">
        <v>0</v>
      </c>
      <c r="I397" s="1">
        <v>0</v>
      </c>
      <c r="J397" s="3" t="s">
        <v>271</v>
      </c>
      <c r="K397" s="2" t="str">
        <f>J397*264.78</f>
        <v>0</v>
      </c>
      <c r="L397" s="5"/>
    </row>
    <row r="398" spans="1:12" customHeight="1" ht="105" outlineLevel="4">
      <c r="A398" s="1"/>
      <c r="B398" s="1">
        <v>889297</v>
      </c>
      <c r="C398" s="1" t="s">
        <v>1503</v>
      </c>
      <c r="D398" s="1" t="s">
        <v>1504</v>
      </c>
      <c r="E398" s="2" t="s">
        <v>1505</v>
      </c>
      <c r="F398" s="2" t="s">
        <v>1506</v>
      </c>
      <c r="G398" s="2" t="s">
        <v>79</v>
      </c>
      <c r="H398" s="2">
        <v>0</v>
      </c>
      <c r="I398" s="1">
        <v>0</v>
      </c>
      <c r="J398" s="3" t="s">
        <v>271</v>
      </c>
      <c r="K398" s="2" t="str">
        <f>J398*300.48</f>
        <v>0</v>
      </c>
      <c r="L398" s="5"/>
    </row>
    <row r="399" spans="1:12" customHeight="1" ht="105" outlineLevel="4">
      <c r="A399" s="1"/>
      <c r="B399" s="1">
        <v>832806</v>
      </c>
      <c r="C399" s="1" t="s">
        <v>1507</v>
      </c>
      <c r="D399" s="1" t="s">
        <v>1508</v>
      </c>
      <c r="E399" s="2" t="s">
        <v>1509</v>
      </c>
      <c r="F399" s="2" t="s">
        <v>1502</v>
      </c>
      <c r="G399" s="2" t="s">
        <v>28</v>
      </c>
      <c r="H399" s="2">
        <v>0</v>
      </c>
      <c r="I399" s="1">
        <v>0</v>
      </c>
      <c r="J399" s="3" t="s">
        <v>271</v>
      </c>
      <c r="K399" s="2" t="str">
        <f>J399*264.78</f>
        <v>0</v>
      </c>
      <c r="L399" s="5"/>
    </row>
    <row r="400" spans="1:12" customHeight="1" ht="105" outlineLevel="4">
      <c r="A400" s="1"/>
      <c r="B400" s="1">
        <v>889298</v>
      </c>
      <c r="C400" s="1" t="s">
        <v>1510</v>
      </c>
      <c r="D400" s="1" t="s">
        <v>1511</v>
      </c>
      <c r="E400" s="2" t="s">
        <v>1512</v>
      </c>
      <c r="F400" s="2" t="s">
        <v>1513</v>
      </c>
      <c r="G400" s="2" t="s">
        <v>79</v>
      </c>
      <c r="H400" s="2">
        <v>0</v>
      </c>
      <c r="I400" s="1">
        <v>0</v>
      </c>
      <c r="J400" s="3" t="s">
        <v>271</v>
      </c>
      <c r="K400" s="2" t="str">
        <f>J400*401.63</f>
        <v>0</v>
      </c>
      <c r="L400" s="5"/>
    </row>
    <row r="401" spans="1:12" customHeight="1" ht="105" outlineLevel="4">
      <c r="A401" s="1"/>
      <c r="B401" s="1">
        <v>889299</v>
      </c>
      <c r="C401" s="1" t="s">
        <v>1514</v>
      </c>
      <c r="D401" s="1" t="s">
        <v>1515</v>
      </c>
      <c r="E401" s="2" t="s">
        <v>1516</v>
      </c>
      <c r="F401" s="2" t="s">
        <v>1517</v>
      </c>
      <c r="G401" s="2" t="s">
        <v>79</v>
      </c>
      <c r="H401" s="2">
        <v>0</v>
      </c>
      <c r="I401" s="1">
        <v>0</v>
      </c>
      <c r="J401" s="3" t="s">
        <v>271</v>
      </c>
      <c r="K401" s="2" t="str">
        <f>J401*458.15</f>
        <v>0</v>
      </c>
      <c r="L401" s="5"/>
    </row>
    <row r="402" spans="1:12" customHeight="1" ht="105" outlineLevel="4">
      <c r="A402" s="1"/>
      <c r="B402" s="1">
        <v>889300</v>
      </c>
      <c r="C402" s="1" t="s">
        <v>1518</v>
      </c>
      <c r="D402" s="1" t="s">
        <v>1519</v>
      </c>
      <c r="E402" s="2" t="s">
        <v>1520</v>
      </c>
      <c r="F402" s="2" t="s">
        <v>1521</v>
      </c>
      <c r="G402" s="2">
        <v>10</v>
      </c>
      <c r="H402" s="2">
        <v>0</v>
      </c>
      <c r="I402" s="1">
        <v>0</v>
      </c>
      <c r="J402" s="3" t="s">
        <v>271</v>
      </c>
      <c r="K402" s="2" t="str">
        <f>J402*467.08</f>
        <v>0</v>
      </c>
      <c r="L402" s="5"/>
    </row>
    <row r="403" spans="1:12" customHeight="1" ht="105" outlineLevel="4">
      <c r="A403" s="1"/>
      <c r="B403" s="1">
        <v>889301</v>
      </c>
      <c r="C403" s="1" t="s">
        <v>1522</v>
      </c>
      <c r="D403" s="1" t="s">
        <v>1523</v>
      </c>
      <c r="E403" s="2" t="s">
        <v>1524</v>
      </c>
      <c r="F403" s="2" t="s">
        <v>1525</v>
      </c>
      <c r="G403" s="2" t="s">
        <v>79</v>
      </c>
      <c r="H403" s="2">
        <v>0</v>
      </c>
      <c r="I403" s="1">
        <v>0</v>
      </c>
      <c r="J403" s="3" t="s">
        <v>271</v>
      </c>
      <c r="K403" s="2" t="str">
        <f>J403*749.70</f>
        <v>0</v>
      </c>
      <c r="L403" s="5"/>
    </row>
    <row r="404" spans="1:12" customHeight="1" ht="105" outlineLevel="4">
      <c r="A404" s="1"/>
      <c r="B404" s="1">
        <v>889302</v>
      </c>
      <c r="C404" s="1" t="s">
        <v>1526</v>
      </c>
      <c r="D404" s="1" t="s">
        <v>1527</v>
      </c>
      <c r="E404" s="2" t="s">
        <v>1528</v>
      </c>
      <c r="F404" s="2" t="s">
        <v>1529</v>
      </c>
      <c r="G404" s="2" t="s">
        <v>84</v>
      </c>
      <c r="H404" s="2">
        <v>0</v>
      </c>
      <c r="I404" s="1">
        <v>0</v>
      </c>
      <c r="J404" s="3" t="s">
        <v>271</v>
      </c>
      <c r="K404" s="2" t="str">
        <f>J404*1127.53</f>
        <v>0</v>
      </c>
      <c r="L404" s="5"/>
    </row>
    <row r="405" spans="1:12" customHeight="1" ht="105" outlineLevel="4">
      <c r="A405" s="1"/>
      <c r="B405" s="1">
        <v>832812</v>
      </c>
      <c r="C405" s="1" t="s">
        <v>1530</v>
      </c>
      <c r="D405" s="1" t="s">
        <v>1531</v>
      </c>
      <c r="E405" s="2" t="s">
        <v>1532</v>
      </c>
      <c r="F405" s="2" t="s">
        <v>1533</v>
      </c>
      <c r="G405" s="2" t="s">
        <v>84</v>
      </c>
      <c r="H405" s="2">
        <v>0</v>
      </c>
      <c r="I405" s="1">
        <v>0</v>
      </c>
      <c r="J405" s="3" t="s">
        <v>271</v>
      </c>
      <c r="K405" s="2" t="str">
        <f>J405*142.80</f>
        <v>0</v>
      </c>
      <c r="L405" s="5"/>
    </row>
    <row r="406" spans="1:12" customHeight="1" ht="105" outlineLevel="4">
      <c r="A406" s="1"/>
      <c r="B406" s="1">
        <v>882170</v>
      </c>
      <c r="C406" s="1" t="s">
        <v>1534</v>
      </c>
      <c r="D406" s="1" t="s">
        <v>1535</v>
      </c>
      <c r="E406" s="2" t="s">
        <v>1536</v>
      </c>
      <c r="F406" s="2" t="s">
        <v>1537</v>
      </c>
      <c r="G406" s="2" t="s">
        <v>79</v>
      </c>
      <c r="H406" s="2">
        <v>0</v>
      </c>
      <c r="I406" s="1">
        <v>0</v>
      </c>
      <c r="J406" s="3" t="s">
        <v>271</v>
      </c>
      <c r="K406" s="2" t="str">
        <f>J406*209.74</f>
        <v>0</v>
      </c>
      <c r="L406" s="5"/>
    </row>
    <row r="407" spans="1:12" customHeight="1" ht="105" outlineLevel="4">
      <c r="A407" s="1"/>
      <c r="B407" s="1">
        <v>832814</v>
      </c>
      <c r="C407" s="1" t="s">
        <v>1538</v>
      </c>
      <c r="D407" s="1" t="s">
        <v>1539</v>
      </c>
      <c r="E407" s="2" t="s">
        <v>1540</v>
      </c>
      <c r="F407" s="2" t="s">
        <v>195</v>
      </c>
      <c r="G407" s="2">
        <v>0</v>
      </c>
      <c r="H407" s="2">
        <v>0</v>
      </c>
      <c r="I407" s="1">
        <v>0</v>
      </c>
      <c r="J407" s="3" t="s">
        <v>271</v>
      </c>
      <c r="K407" s="2" t="str">
        <f>J407*316.84</f>
        <v>0</v>
      </c>
      <c r="L407" s="5"/>
    </row>
    <row r="408" spans="1:12" customHeight="1" ht="105" outlineLevel="4">
      <c r="A408" s="1"/>
      <c r="B408" s="1">
        <v>832815</v>
      </c>
      <c r="C408" s="1" t="s">
        <v>1541</v>
      </c>
      <c r="D408" s="1" t="s">
        <v>1542</v>
      </c>
      <c r="E408" s="2" t="s">
        <v>1543</v>
      </c>
      <c r="F408" s="2" t="s">
        <v>1544</v>
      </c>
      <c r="G408" s="2" t="s">
        <v>28</v>
      </c>
      <c r="H408" s="2">
        <v>0</v>
      </c>
      <c r="I408" s="1">
        <v>0</v>
      </c>
      <c r="J408" s="3" t="s">
        <v>271</v>
      </c>
      <c r="K408" s="2" t="str">
        <f>J408*77.35</f>
        <v>0</v>
      </c>
      <c r="L408" s="5"/>
    </row>
    <row r="409" spans="1:12" customHeight="1" ht="105" outlineLevel="4">
      <c r="A409" s="1"/>
      <c r="B409" s="1">
        <v>832816</v>
      </c>
      <c r="C409" s="1" t="s">
        <v>1545</v>
      </c>
      <c r="D409" s="1" t="s">
        <v>1546</v>
      </c>
      <c r="E409" s="2" t="s">
        <v>1547</v>
      </c>
      <c r="F409" s="2" t="s">
        <v>230</v>
      </c>
      <c r="G409" s="2">
        <v>10</v>
      </c>
      <c r="H409" s="2">
        <v>0</v>
      </c>
      <c r="I409" s="1">
        <v>0</v>
      </c>
      <c r="J409" s="3" t="s">
        <v>271</v>
      </c>
      <c r="K409" s="2" t="str">
        <f>J409*92.23</f>
        <v>0</v>
      </c>
      <c r="L409" s="5"/>
    </row>
    <row r="410" spans="1:12" customHeight="1" ht="105" outlineLevel="4">
      <c r="A410" s="1"/>
      <c r="B410" s="1">
        <v>832817</v>
      </c>
      <c r="C410" s="1" t="s">
        <v>1548</v>
      </c>
      <c r="D410" s="1" t="s">
        <v>1549</v>
      </c>
      <c r="E410" s="2" t="s">
        <v>1550</v>
      </c>
      <c r="F410" s="2" t="s">
        <v>1544</v>
      </c>
      <c r="G410" s="2" t="s">
        <v>79</v>
      </c>
      <c r="H410" s="2">
        <v>0</v>
      </c>
      <c r="I410" s="1">
        <v>0</v>
      </c>
      <c r="J410" s="3" t="s">
        <v>271</v>
      </c>
      <c r="K410" s="2" t="str">
        <f>J410*77.35</f>
        <v>0</v>
      </c>
      <c r="L410" s="5"/>
    </row>
    <row r="411" spans="1:12" customHeight="1" ht="105" outlineLevel="4">
      <c r="A411" s="1"/>
      <c r="B411" s="1">
        <v>832818</v>
      </c>
      <c r="C411" s="1" t="s">
        <v>1551</v>
      </c>
      <c r="D411" s="1" t="s">
        <v>1552</v>
      </c>
      <c r="E411" s="2" t="s">
        <v>1553</v>
      </c>
      <c r="F411" s="2" t="s">
        <v>1554</v>
      </c>
      <c r="G411" s="2">
        <v>0</v>
      </c>
      <c r="H411" s="2">
        <v>0</v>
      </c>
      <c r="I411" s="1">
        <v>0</v>
      </c>
      <c r="J411" s="3" t="s">
        <v>271</v>
      </c>
      <c r="K411" s="2" t="str">
        <f>J411*96.69</f>
        <v>0</v>
      </c>
      <c r="L411" s="5"/>
    </row>
    <row r="412" spans="1:12" customHeight="1" ht="105" outlineLevel="4">
      <c r="A412" s="1"/>
      <c r="B412" s="1">
        <v>832819</v>
      </c>
      <c r="C412" s="1" t="s">
        <v>1555</v>
      </c>
      <c r="D412" s="1" t="s">
        <v>1556</v>
      </c>
      <c r="E412" s="2" t="s">
        <v>1557</v>
      </c>
      <c r="F412" s="2" t="s">
        <v>1558</v>
      </c>
      <c r="G412" s="2">
        <v>10</v>
      </c>
      <c r="H412" s="2">
        <v>0</v>
      </c>
      <c r="I412" s="1">
        <v>0</v>
      </c>
      <c r="J412" s="3" t="s">
        <v>271</v>
      </c>
      <c r="K412" s="2" t="str">
        <f>J412*208.25</f>
        <v>0</v>
      </c>
      <c r="L412" s="5"/>
    </row>
    <row r="413" spans="1:12" customHeight="1" ht="105" outlineLevel="4">
      <c r="A413" s="1"/>
      <c r="B413" s="1">
        <v>832820</v>
      </c>
      <c r="C413" s="1" t="s">
        <v>1559</v>
      </c>
      <c r="D413" s="1" t="s">
        <v>1560</v>
      </c>
      <c r="E413" s="2" t="s">
        <v>1561</v>
      </c>
      <c r="F413" s="2" t="s">
        <v>1562</v>
      </c>
      <c r="G413" s="2" t="s">
        <v>28</v>
      </c>
      <c r="H413" s="2">
        <v>0</v>
      </c>
      <c r="I413" s="1">
        <v>0</v>
      </c>
      <c r="J413" s="3" t="s">
        <v>271</v>
      </c>
      <c r="K413" s="2" t="str">
        <f>J413*80.33</f>
        <v>0</v>
      </c>
      <c r="L413" s="5"/>
    </row>
    <row r="414" spans="1:12" customHeight="1" ht="105" outlineLevel="4">
      <c r="A414" s="1"/>
      <c r="B414" s="1">
        <v>832821</v>
      </c>
      <c r="C414" s="1" t="s">
        <v>1563</v>
      </c>
      <c r="D414" s="1" t="s">
        <v>1564</v>
      </c>
      <c r="E414" s="2" t="s">
        <v>1565</v>
      </c>
      <c r="F414" s="2" t="s">
        <v>1554</v>
      </c>
      <c r="G414" s="2" t="s">
        <v>84</v>
      </c>
      <c r="H414" s="2">
        <v>0</v>
      </c>
      <c r="I414" s="1">
        <v>0</v>
      </c>
      <c r="J414" s="3" t="s">
        <v>271</v>
      </c>
      <c r="K414" s="2" t="str">
        <f>J414*96.69</f>
        <v>0</v>
      </c>
      <c r="L414" s="5"/>
    </row>
    <row r="415" spans="1:12" customHeight="1" ht="105" outlineLevel="4">
      <c r="A415" s="1"/>
      <c r="B415" s="1">
        <v>832822</v>
      </c>
      <c r="C415" s="1" t="s">
        <v>1566</v>
      </c>
      <c r="D415" s="1" t="s">
        <v>1567</v>
      </c>
      <c r="E415" s="2" t="s">
        <v>1568</v>
      </c>
      <c r="F415" s="2" t="s">
        <v>1399</v>
      </c>
      <c r="G415" s="2" t="s">
        <v>28</v>
      </c>
      <c r="H415" s="2">
        <v>0</v>
      </c>
      <c r="I415" s="1">
        <v>0</v>
      </c>
      <c r="J415" s="3" t="s">
        <v>271</v>
      </c>
      <c r="K415" s="2" t="str">
        <f>J415*89.25</f>
        <v>0</v>
      </c>
      <c r="L415" s="5"/>
    </row>
    <row r="416" spans="1:12" customHeight="1" ht="105" outlineLevel="4">
      <c r="A416" s="1"/>
      <c r="B416" s="1">
        <v>832823</v>
      </c>
      <c r="C416" s="1" t="s">
        <v>1569</v>
      </c>
      <c r="D416" s="1" t="s">
        <v>1570</v>
      </c>
      <c r="E416" s="2" t="s">
        <v>1571</v>
      </c>
      <c r="F416" s="2" t="s">
        <v>1572</v>
      </c>
      <c r="G416" s="2" t="s">
        <v>84</v>
      </c>
      <c r="H416" s="2">
        <v>0</v>
      </c>
      <c r="I416" s="1">
        <v>0</v>
      </c>
      <c r="J416" s="3" t="s">
        <v>271</v>
      </c>
      <c r="K416" s="2" t="str">
        <f>J416*107.10</f>
        <v>0</v>
      </c>
      <c r="L4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0:K70"/>
    <mergeCell ref="A4:K4"/>
    <mergeCell ref="A47:K47"/>
    <mergeCell ref="A71:K71"/>
    <mergeCell ref="A74:K74"/>
    <mergeCell ref="A368:K3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2025-10-29T11:24:56+03:00</dcterms:created>
  <dcterms:modified xsi:type="dcterms:W3CDTF">2025-10-29T11:24:56+03:00</dcterms:modified>
  <dc:title>Untitled Spreadsheet</dc:title>
  <dc:description/>
  <dc:subject/>
  <cp:keywords/>
  <cp:category/>
</cp:coreProperties>
</file>