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<sst xmlns="http://schemas.openxmlformats.org/spreadsheetml/2006/main" uniqueCount="1836">
  <si>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</si>
  <si>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</si>
  <si>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</si>
  <si>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</si>
  <si>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</si>
  <si>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</si>
  <si>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</si>
  <si>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</si>
  <si>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</si>
  <si>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</si>
  <si>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нержавеющих трубопроводов</t>
  </si>
  <si>
    <t>Трубы из нержавеющей стали</t>
  </si>
  <si>
    <t>Трубы гладкие из нержавеющей стали VIEIR</t>
  </si>
  <si>
    <t>SNT-140001</t>
  </si>
  <si>
    <t>VPG1510-4</t>
  </si>
  <si>
    <t>Труба 4 метра из нержавеющей стали 15x1.0 "VER-PRO"   (40м/10шт)</t>
  </si>
  <si>
    <t>313.86 руб.</t>
  </si>
  <si>
    <t>&gt;50</t>
  </si>
  <si>
    <t>пог</t>
  </si>
  <si>
    <t>SNT-140002</t>
  </si>
  <si>
    <t>VPG2212-4</t>
  </si>
  <si>
    <t>Труба 4 метра из нержавеющей стали 22x1.2 "VER-PRO"   (24м/6шт)</t>
  </si>
  <si>
    <t>583.10 руб.</t>
  </si>
  <si>
    <t>SNT-140003</t>
  </si>
  <si>
    <t>VPG2812-4</t>
  </si>
  <si>
    <t>Труба 4 метра из нержавеющей стали 28x1.2 "VER-PRO"   (16м/4шт)</t>
  </si>
  <si>
    <t>748.21 руб.</t>
  </si>
  <si>
    <t>SNT-140004</t>
  </si>
  <si>
    <t>VPG3515-4</t>
  </si>
  <si>
    <t>Труба 4 метра из нержавеющей стали 35x1.5 "VER-PRO"   (16м/4шт)</t>
  </si>
  <si>
    <t>1 044.23 руб.</t>
  </si>
  <si>
    <t>SNT-140010</t>
  </si>
  <si>
    <t>VPG1510-2</t>
  </si>
  <si>
    <t>Труба 2 метра из нержавеющей стали 15x1.0 "VER-PRO"   (40м/20шт)</t>
  </si>
  <si>
    <t>SNT-140011</t>
  </si>
  <si>
    <t>VPG2212-2</t>
  </si>
  <si>
    <t>Труба 2 метра из нержавеющей стали 22x1.2 "VER-PRO"   (16м/8шт)</t>
  </si>
  <si>
    <t>SNT-140012</t>
  </si>
  <si>
    <t>VPG2812-2</t>
  </si>
  <si>
    <t>Труба 2 метра из нержавеющей стали 28x1.2 "VER-PRO"   (12м/6шт)</t>
  </si>
  <si>
    <t>SNT-140013</t>
  </si>
  <si>
    <t>VPG1810-4</t>
  </si>
  <si>
    <t>Труба 4 метра из нержавеющей стали 18x1.0 VER-PRO    (40м/10шт)</t>
  </si>
  <si>
    <t>403.11 руб.</t>
  </si>
  <si>
    <t>SNT-140014</t>
  </si>
  <si>
    <t>VPG1810-2</t>
  </si>
  <si>
    <t>Труба 2 метра из нержавеющей стали 18x1.0 VER-PRO    (20м/10шт)</t>
  </si>
  <si>
    <t>&gt;100</t>
  </si>
  <si>
    <t>Трубы гладкие нержавеющие VALTEC</t>
  </si>
  <si>
    <t>VLC-1411001</t>
  </si>
  <si>
    <t>VTi.900.304.1208</t>
  </si>
  <si>
    <t>Труба нерж. сталь,  12х0,8мм (4 /80шт)</t>
  </si>
  <si>
    <t>305.00 руб.</t>
  </si>
  <si>
    <t>VLC-1411002</t>
  </si>
  <si>
    <t>VTi.900.304.1510</t>
  </si>
  <si>
    <t>Труба нерж. сталь,  15х1.0мм  (4 /40шт)</t>
  </si>
  <si>
    <t>445.00 руб.</t>
  </si>
  <si>
    <t>VLC-1411003</t>
  </si>
  <si>
    <t>VTi.900.304.1810</t>
  </si>
  <si>
    <t>Труба нерж. сталь,  18х1.0мм (4 /40шт)</t>
  </si>
  <si>
    <t>586.00 руб.</t>
  </si>
  <si>
    <t>&gt;10</t>
  </si>
  <si>
    <t>&gt;500</t>
  </si>
  <si>
    <t>VLC-1411004</t>
  </si>
  <si>
    <t>VTi.900.304.2212</t>
  </si>
  <si>
    <t>Труба нерж. сталь,  22х1.2мм (4 /20шт)</t>
  </si>
  <si>
    <t>796.00 руб.</t>
  </si>
  <si>
    <t>&gt;1000</t>
  </si>
  <si>
    <t>VLC-1411005</t>
  </si>
  <si>
    <t>VTi.900.304.2812</t>
  </si>
  <si>
    <t>Труба нерж. сталь,  28х1.2мм (4 /20шт)</t>
  </si>
  <si>
    <t>1 041.00 руб.</t>
  </si>
  <si>
    <t>VLC-1411006</t>
  </si>
  <si>
    <t>VTi.900.304.3515</t>
  </si>
  <si>
    <t>Труба нерж. сталь,  35х1.5мм  (4 /20шт)</t>
  </si>
  <si>
    <t>1 792.00 руб.</t>
  </si>
  <si>
    <t>VLC-1411007</t>
  </si>
  <si>
    <t>VTi.900.304.4215</t>
  </si>
  <si>
    <t>Труба нерж. сталь,  42х1.5мм  (4 /16шт)</t>
  </si>
  <si>
    <t>2 105.00 руб.</t>
  </si>
  <si>
    <t>VLC-1411008</t>
  </si>
  <si>
    <t>VTi.900.304.5415</t>
  </si>
  <si>
    <t>Труба нерж. сталь,  54х1.5мм  (4 /12шт)</t>
  </si>
  <si>
    <t>2 917.00 руб.</t>
  </si>
  <si>
    <t>Трубы гофрированные из нержавеющей стали VIEIR</t>
  </si>
  <si>
    <t>SNT-120001</t>
  </si>
  <si>
    <t>VRHE15A</t>
  </si>
  <si>
    <t>Труба гофрированная отож. из нерж. стали VR 15A (50м)</t>
  </si>
  <si>
    <t>154.70 руб.</t>
  </si>
  <si>
    <t>SNT-120002</t>
  </si>
  <si>
    <t>VRHE20A</t>
  </si>
  <si>
    <t>Труба гофрированная отож. из нерж. стали VR 20A (30м)</t>
  </si>
  <si>
    <t>232.05 руб.</t>
  </si>
  <si>
    <t>SNT-120003</t>
  </si>
  <si>
    <t>VRHE25A</t>
  </si>
  <si>
    <t>Труба гофрированная отож. из нерж. стали VR 25A  (30м)</t>
  </si>
  <si>
    <t>364.44 руб.</t>
  </si>
  <si>
    <t>SNT-120004</t>
  </si>
  <si>
    <t>VRHE32A</t>
  </si>
  <si>
    <t>Труба гофрированная отож. из нерж. стали VR 32A  (20м)</t>
  </si>
  <si>
    <t>523.60 руб.</t>
  </si>
  <si>
    <t>SNT-120005</t>
  </si>
  <si>
    <t>VRHE15AO</t>
  </si>
  <si>
    <t>Труба гофрированная отож. из нерж. стали в п/э желтой оболочке 15A (50м)</t>
  </si>
  <si>
    <t>199.33 руб.</t>
  </si>
  <si>
    <t>Фитинги для труб из нержавеющей стали</t>
  </si>
  <si>
    <t>Фитинги VALTEC пресс нержавеющие</t>
  </si>
  <si>
    <t>VLC-1412001</t>
  </si>
  <si>
    <t>VTi.580.I.0504</t>
  </si>
  <si>
    <t>Ниппель переходной нерж. сталь 3/4"х1/2"  (5 /200шт)</t>
  </si>
  <si>
    <t>429.00 руб.</t>
  </si>
  <si>
    <t>шт</t>
  </si>
  <si>
    <t>VLC-1412002</t>
  </si>
  <si>
    <t>VTi.582.I.0404</t>
  </si>
  <si>
    <t>Ниппель нерж. сталь 1/2"х1/2"   (5 /300шт)  (5 /300шт)</t>
  </si>
  <si>
    <t>372.00 руб.</t>
  </si>
  <si>
    <t>VLC-1412003</t>
  </si>
  <si>
    <t>VTi.901.I.001204</t>
  </si>
  <si>
    <t>Соединитель нерж. сталь с нар.р. 12х1/2"   (5 /220шт)</t>
  </si>
  <si>
    <t>180.00 руб.</t>
  </si>
  <si>
    <t>VLC-1412004</t>
  </si>
  <si>
    <t>VTi.901.I.001504</t>
  </si>
  <si>
    <t>Соединитель нерж. сталь с нар.р. 15х1/2"   (5 /220шт)</t>
  </si>
  <si>
    <t>366.00 руб.</t>
  </si>
  <si>
    <t>&gt;25</t>
  </si>
  <si>
    <t>VLC-1412005</t>
  </si>
  <si>
    <t>VTi.901.I.001804</t>
  </si>
  <si>
    <t>Соединитель нерж. сталь с нар.р. 18х1/2"  (5 /180шт)</t>
  </si>
  <si>
    <t>427.00 руб.</t>
  </si>
  <si>
    <t>VLC-1412006</t>
  </si>
  <si>
    <t>VTi.901.I.001805</t>
  </si>
  <si>
    <t>Соединитель нерж. сталь с нар.р. 18х3/4"  (5 /140шт)</t>
  </si>
  <si>
    <t>498.00 руб.</t>
  </si>
  <si>
    <t>VLC-1412007</t>
  </si>
  <si>
    <t>VTi.901.I.002204</t>
  </si>
  <si>
    <t>Соединитель нерж. сталь с нар.р. 22х1/2"  (5 /120шт)</t>
  </si>
  <si>
    <t>433.00 руб.</t>
  </si>
  <si>
    <t>VLC-1412008</t>
  </si>
  <si>
    <t>VTi.901.I.002205</t>
  </si>
  <si>
    <t>Соединитель нерж. сталь с нар.р. 22х3/4"  (5 /110шт)</t>
  </si>
  <si>
    <t>499.00 руб.</t>
  </si>
  <si>
    <t>VLC-1412009</t>
  </si>
  <si>
    <t>VTi.901.I.002805</t>
  </si>
  <si>
    <t>Соединитель нерж. сталь с нар.р. 28х3/4"  (5 /90шт)</t>
  </si>
  <si>
    <t>645.00 руб.</t>
  </si>
  <si>
    <t>VLC-1412010</t>
  </si>
  <si>
    <t>VTi.901.I.002806</t>
  </si>
  <si>
    <t>Соединитель нерж. сталь с нар.р. 28х1"  (5 /60шт)</t>
  </si>
  <si>
    <t>854.00 руб.</t>
  </si>
  <si>
    <t>VLC-1412011</t>
  </si>
  <si>
    <t>VTi.901.I.003506</t>
  </si>
  <si>
    <t>Соединитель нерж. сталь с нар.р. 35х1"    (5 /50шт)</t>
  </si>
  <si>
    <t>949.00 руб.</t>
  </si>
  <si>
    <t>VLC-1412012</t>
  </si>
  <si>
    <t>VTi.901.I.003507</t>
  </si>
  <si>
    <t>Соединитель нерж. сталь с нар.р. 35х1 1/4" (5 /40шт)</t>
  </si>
  <si>
    <t>1 078.00 руб.</t>
  </si>
  <si>
    <t>VLC-1412013</t>
  </si>
  <si>
    <t>VTi.901.I.004208</t>
  </si>
  <si>
    <t>Соединитель нерж. сталь с нар.р. 42х1 1/2"    (24шт)</t>
  </si>
  <si>
    <t>1 417.00 руб.</t>
  </si>
  <si>
    <t>VLC-1412014</t>
  </si>
  <si>
    <t>VTi.901.I.005409</t>
  </si>
  <si>
    <t>Соединитель нерж. сталь с нар.р. 54х2"    (16шт)</t>
  </si>
  <si>
    <t>1 951.00 руб.</t>
  </si>
  <si>
    <t>VLC-1412015</t>
  </si>
  <si>
    <t>VTi.902.I.001204</t>
  </si>
  <si>
    <t>Соединитель нерж. сталь с вн.р. 12х1/2"   (5 /200шт)</t>
  </si>
  <si>
    <t>159.00 руб.</t>
  </si>
  <si>
    <t>VLC-1412016</t>
  </si>
  <si>
    <t>VTi.902.I.001504</t>
  </si>
  <si>
    <t>Соединитель нерж. сталь с вн.р. 15х1/2"   (5 /180шт)</t>
  </si>
  <si>
    <t>287.00 руб.</t>
  </si>
  <si>
    <t>VLC-1412017</t>
  </si>
  <si>
    <t>VTi.902.I.001804</t>
  </si>
  <si>
    <t>Соединитель нерж. сталь с вн.р. 18х1/2"   (5 /170шт)</t>
  </si>
  <si>
    <t>343.00 руб.</t>
  </si>
  <si>
    <t>VLC-1412018</t>
  </si>
  <si>
    <t>VTi.902.I.001805</t>
  </si>
  <si>
    <t>Соединитель нерж. сталь с вн.р. 18х3/4"     (5 /110шт)</t>
  </si>
  <si>
    <t>508.00 руб.</t>
  </si>
  <si>
    <t>VLC-1412019</t>
  </si>
  <si>
    <t>VTi.902.I.002204</t>
  </si>
  <si>
    <t>Соединитель нерж. сталь с вн.р. 22х1/2"   (5 /130шт)</t>
  </si>
  <si>
    <t>339.00 руб.</t>
  </si>
  <si>
    <t>VLC-1412020</t>
  </si>
  <si>
    <t>VTi.902.I.002205</t>
  </si>
  <si>
    <t>Соединитель нерж. сталь с вн.р. 22х3/4"     (5 /110шт)</t>
  </si>
  <si>
    <t>513.00 руб.</t>
  </si>
  <si>
    <t>VLC-1412021</t>
  </si>
  <si>
    <t>VTi.902.I.002805</t>
  </si>
  <si>
    <t>Соединитель нерж. сталь с вн.р. 28х3/4"  (5 /80шт)</t>
  </si>
  <si>
    <t>552.00 руб.</t>
  </si>
  <si>
    <t>VLC-1412022</t>
  </si>
  <si>
    <t>VTi.902.I.002806</t>
  </si>
  <si>
    <t>Соединитель нерж. сталь с вн.р. 28х1"  (5 /60шт)</t>
  </si>
  <si>
    <t>VLC-1412023</t>
  </si>
  <si>
    <t>VTi.902.I.003506</t>
  </si>
  <si>
    <t>Соединитель нерж. сталь с вн.р. 35х1"  (5 /50шт)</t>
  </si>
  <si>
    <t>882.00 руб.</t>
  </si>
  <si>
    <t>VLC-1412024</t>
  </si>
  <si>
    <t>VTi.902.I.003507</t>
  </si>
  <si>
    <t>Соединитель нерж. сталь с вн.р. 35х1 1/4" (5 /40шт)</t>
  </si>
  <si>
    <t>1 032.00 руб.</t>
  </si>
  <si>
    <t>VLC-1412025</t>
  </si>
  <si>
    <t>VTi.902.I.004208</t>
  </si>
  <si>
    <t>Соединитель нерж. сталь с вн.р. 42х1 1/2"</t>
  </si>
  <si>
    <t>1 381.00 руб.</t>
  </si>
  <si>
    <t>VLC-1412026</t>
  </si>
  <si>
    <t>VTi.902.I.005409</t>
  </si>
  <si>
    <t>Соединитель нерж. сталь с вн.р. 54х2"</t>
  </si>
  <si>
    <t>1 892.00 руб.</t>
  </si>
  <si>
    <t>VLC-1412027</t>
  </si>
  <si>
    <t>VTi.903.I.001212</t>
  </si>
  <si>
    <t>Муфта нерж. сталь 12х12  (5 /270шт)</t>
  </si>
  <si>
    <t>96.00 руб.</t>
  </si>
  <si>
    <t>VLC-1412028</t>
  </si>
  <si>
    <t>VTi.903.I.001512</t>
  </si>
  <si>
    <t>Муфта нерж. сталь 15х12  (5 /220шт)</t>
  </si>
  <si>
    <t>191.00 руб.</t>
  </si>
  <si>
    <t>VLC-1412029</t>
  </si>
  <si>
    <t>VTi.903.I.001515</t>
  </si>
  <si>
    <t>Муфта нерж. сталь 15х15  (5 /200шт)</t>
  </si>
  <si>
    <t>170.00 руб.</t>
  </si>
  <si>
    <t>VLC-1412030</t>
  </si>
  <si>
    <t>VTi.903.I.001815</t>
  </si>
  <si>
    <t>Муфта нерж. сталь 18х15  (5 /150шт)</t>
  </si>
  <si>
    <t>282.00 руб.</t>
  </si>
  <si>
    <t>VLC-1412031</t>
  </si>
  <si>
    <t>VTi.903.I.001818</t>
  </si>
  <si>
    <t>Муфта нерж. сталь 18х18   (5 /165шт)</t>
  </si>
  <si>
    <t>245.00 руб.</t>
  </si>
  <si>
    <t>VLC-1412032</t>
  </si>
  <si>
    <t>VTi.903.I.002215</t>
  </si>
  <si>
    <t>Муфта нерж. сталь 22х15   (5 /100шт)</t>
  </si>
  <si>
    <t>304.00 руб.</t>
  </si>
  <si>
    <t>VLC-1412033</t>
  </si>
  <si>
    <t>VTi.903.I.002218</t>
  </si>
  <si>
    <t>Муфта нерж. сталь 22х18   (5 /100шт)</t>
  </si>
  <si>
    <t>333.00 руб.</t>
  </si>
  <si>
    <t>VLC-1412034</t>
  </si>
  <si>
    <t>VTi.903.I.002222</t>
  </si>
  <si>
    <t>Муфта нерж. сталь 22х22  (5 /90шт)</t>
  </si>
  <si>
    <t>266.00 руб.</t>
  </si>
  <si>
    <t>VLC-1412035</t>
  </si>
  <si>
    <t>VTi.903.I.002815</t>
  </si>
  <si>
    <t>Муфта нерж. сталь 28х15  (5 /80шт)</t>
  </si>
  <si>
    <t>388.00 руб.</t>
  </si>
  <si>
    <t>VLC-1412036</t>
  </si>
  <si>
    <t>VTi.903.I.002822</t>
  </si>
  <si>
    <t>Муфта нерж. сталь 28х22  (5 /60шт)</t>
  </si>
  <si>
    <t>408.00 руб.</t>
  </si>
  <si>
    <t>VLC-1412037</t>
  </si>
  <si>
    <t>VTi.903.I.002828</t>
  </si>
  <si>
    <t>Муфта нерж. сталь 28х28  (5 /60шт)</t>
  </si>
  <si>
    <t>315.00 руб.</t>
  </si>
  <si>
    <t>VLC-1412038</t>
  </si>
  <si>
    <t>VTi.903.I.003528</t>
  </si>
  <si>
    <t>Муфта нерж. сталь 35х28   (5 /45шт)</t>
  </si>
  <si>
    <t>547.00 руб.</t>
  </si>
  <si>
    <t>VLC-1412039</t>
  </si>
  <si>
    <t>VTi.903.I.003535</t>
  </si>
  <si>
    <t>Муфта нерж. сталь 35х35  (5 /40шт)</t>
  </si>
  <si>
    <t>431.00 руб.</t>
  </si>
  <si>
    <t>VLC-1412040</t>
  </si>
  <si>
    <t>VTi.903.I.004235</t>
  </si>
  <si>
    <t>Муфта нерж. сталь 42х35</t>
  </si>
  <si>
    <t>620.00 руб.</t>
  </si>
  <si>
    <t>VLC-1412041</t>
  </si>
  <si>
    <t>VTi.903.I.004242</t>
  </si>
  <si>
    <t>Муфта нерж. сталь 42х42</t>
  </si>
  <si>
    <t>582.00 руб.</t>
  </si>
  <si>
    <t>VLC-1412042</t>
  </si>
  <si>
    <t>VTi.903.I.005442</t>
  </si>
  <si>
    <t>Муфта нерж. сталь 54х42</t>
  </si>
  <si>
    <t>952.00 руб.</t>
  </si>
  <si>
    <t>VLC-1412043</t>
  </si>
  <si>
    <t>VTi.903.I.005454</t>
  </si>
  <si>
    <t>Муфта нерж. сталь 54х54</t>
  </si>
  <si>
    <t>754.00 руб.</t>
  </si>
  <si>
    <t>VLC-1412044</t>
  </si>
  <si>
    <t>VTi.904.I.001515</t>
  </si>
  <si>
    <t>Муфта надвижная нерж. сталь 15х15 (5 /160шт)</t>
  </si>
  <si>
    <t>264.00 руб.</t>
  </si>
  <si>
    <t>VLC-1412045</t>
  </si>
  <si>
    <t>VTi.904.I.001818</t>
  </si>
  <si>
    <t>Муфта надвижная нерж. сталь 18х18     (5 /110шт)</t>
  </si>
  <si>
    <t>326.00 руб.</t>
  </si>
  <si>
    <t>VLC-1412046</t>
  </si>
  <si>
    <t>VTi.904.I.002222</t>
  </si>
  <si>
    <t>Муфта надвижная нерж. сталь 22х22    (5 /70шт)</t>
  </si>
  <si>
    <t>369.00 руб.</t>
  </si>
  <si>
    <t>VLC-1412047</t>
  </si>
  <si>
    <t>VTi.904.I.002828</t>
  </si>
  <si>
    <t>Муфта надвижная нерж. сталь 28х28  (5 /40шт)</t>
  </si>
  <si>
    <t>562.00 руб.</t>
  </si>
  <si>
    <t>VLC-1412048</t>
  </si>
  <si>
    <t>VTi.904.I.003535</t>
  </si>
  <si>
    <t>Муфта надвижная нерж. сталь 35х35   (5 /30шт)</t>
  </si>
  <si>
    <t>593.00 руб.</t>
  </si>
  <si>
    <t>VLC-1412049</t>
  </si>
  <si>
    <t>VTi.904.I.004242</t>
  </si>
  <si>
    <t>Муфта надвижная нерж. сталь 42х42</t>
  </si>
  <si>
    <t>VLC-1412050</t>
  </si>
  <si>
    <t>VTi.904.I.005454</t>
  </si>
  <si>
    <t>Муфта надвижная нерж. сталь 54х54</t>
  </si>
  <si>
    <t>1 048.00 руб.</t>
  </si>
  <si>
    <t>VLC-1412051</t>
  </si>
  <si>
    <t>VTi.905.I.001815</t>
  </si>
  <si>
    <t>Вставка переходная нерж. сталь 18х15   (5 /200шт)</t>
  </si>
  <si>
    <t>284.00 руб.</t>
  </si>
  <si>
    <t>VLC-1412052</t>
  </si>
  <si>
    <t>VTi.905.I.002215</t>
  </si>
  <si>
    <t>Вставка переходная нерж. сталь 22х15  (5 /160шт)</t>
  </si>
  <si>
    <t>VLC-1412053</t>
  </si>
  <si>
    <t>VTi.905.I.002218</t>
  </si>
  <si>
    <t>Вставка переходная нерж. сталь 22х18     (5 /150шт)</t>
  </si>
  <si>
    <t>303.00 руб.</t>
  </si>
  <si>
    <t>VLC-1412054</t>
  </si>
  <si>
    <t>VTi.905.I.002815</t>
  </si>
  <si>
    <t>Вставка переходная нерж. сталь 28х15  (5 /120шт)</t>
  </si>
  <si>
    <t>378.00 руб.</t>
  </si>
  <si>
    <t>VLC-1412055</t>
  </si>
  <si>
    <t>VTi.905.I.002818</t>
  </si>
  <si>
    <t>Вставка переходная нерж. сталь 28х18   (5 /100шт)</t>
  </si>
  <si>
    <t>416.00 руб.</t>
  </si>
  <si>
    <t>VLC-1412056</t>
  </si>
  <si>
    <t>VTi.905.I.002822</t>
  </si>
  <si>
    <t>Вставка переходная нерж. сталь 28х22   (5шт)</t>
  </si>
  <si>
    <t>420.00 руб.</t>
  </si>
  <si>
    <t>VLC-1412057</t>
  </si>
  <si>
    <t>VTi.905.I.003515</t>
  </si>
  <si>
    <t>Вставка переходная нерж. сталь 35х15   (5шт)</t>
  </si>
  <si>
    <t>487.00 руб.</t>
  </si>
  <si>
    <t>VLC-1412058</t>
  </si>
  <si>
    <t>VTi.905.I.003518</t>
  </si>
  <si>
    <t>Вставка переходная нерж. сталь 35х18   (5шт)</t>
  </si>
  <si>
    <t>402.00 руб.</t>
  </si>
  <si>
    <t>VLC-1412059</t>
  </si>
  <si>
    <t>VTi.905.I.003522</t>
  </si>
  <si>
    <t>Вставка переходная нерж. сталь 35х22   (5шт)</t>
  </si>
  <si>
    <t>507.00 руб.</t>
  </si>
  <si>
    <t>VLC-1412060</t>
  </si>
  <si>
    <t>VTi.905.I.003528</t>
  </si>
  <si>
    <t>Вставка переходная нерж. сталь 35х28  (5 /55шт)</t>
  </si>
  <si>
    <t>503.00 руб.</t>
  </si>
  <si>
    <t>VLC-1412061</t>
  </si>
  <si>
    <t>VTi.905.I.004222</t>
  </si>
  <si>
    <t>Вставка переходная нерж. сталь 42х22    (1 /42шт)</t>
  </si>
  <si>
    <t>740.00 руб.</t>
  </si>
  <si>
    <t>VLC-1412062</t>
  </si>
  <si>
    <t>VTi.905.I.004228</t>
  </si>
  <si>
    <t>Вставка переходная нерж. сталь 42х28</t>
  </si>
  <si>
    <t>717.00 руб.</t>
  </si>
  <si>
    <t>VLC-1412063</t>
  </si>
  <si>
    <t>VTi.905.I.004235</t>
  </si>
  <si>
    <t>Вставка переходная нерж. сталь 42х35   (1 /32шт)</t>
  </si>
  <si>
    <t>613.00 руб.</t>
  </si>
  <si>
    <t>VLC-1412064</t>
  </si>
  <si>
    <t>VTi.905.I.005428</t>
  </si>
  <si>
    <t>Вставка переходная нерж. сталь 54х28</t>
  </si>
  <si>
    <t>902.00 руб.</t>
  </si>
  <si>
    <t>VLC-1412065</t>
  </si>
  <si>
    <t>VTi.905.I.005435</t>
  </si>
  <si>
    <t>Вставка переходная нерж. сталь 54х35    (1 /30шт)</t>
  </si>
  <si>
    <t>818.00 руб.</t>
  </si>
  <si>
    <t>VLC-1412066</t>
  </si>
  <si>
    <t>VTi.905.I.005442</t>
  </si>
  <si>
    <t>Вставка переходная нерж. сталь 54х42    (1 /20шт)</t>
  </si>
  <si>
    <t>883.00 руб.</t>
  </si>
  <si>
    <t>VLC-1412067</t>
  </si>
  <si>
    <t>VTi.908.I.001204</t>
  </si>
  <si>
    <t>Соединитель с накидной гайкой нерж. сталь 12х1/2"   (5 /240шт)</t>
  </si>
  <si>
    <t>171.00 руб.</t>
  </si>
  <si>
    <t>VLC-1412068</t>
  </si>
  <si>
    <t>VTi.908.I.001504</t>
  </si>
  <si>
    <t>Соединитель с накидной гайкой нерж. сталь 15х1/2"   (5 /200шт)</t>
  </si>
  <si>
    <t>VLC-1412069</t>
  </si>
  <si>
    <t>VTi.908.I.001505</t>
  </si>
  <si>
    <t>Соединитель с накидной гайкой нерж. сталь 15х3/4"     (5 /150шт)</t>
  </si>
  <si>
    <t>588.00 руб.</t>
  </si>
  <si>
    <t>VLC-1412070</t>
  </si>
  <si>
    <t>VTi.908.I.001804</t>
  </si>
  <si>
    <t>Соединитель с накидной гайкой нерж. сталь 18х1/2"     (5 /140шт)</t>
  </si>
  <si>
    <t>542.00 руб.</t>
  </si>
  <si>
    <t>VLC-1412071</t>
  </si>
  <si>
    <t>VTi.908.I.001805</t>
  </si>
  <si>
    <t>Соединитель с накидной гайкой нерж. сталь 18х3/4"     (5 /150шт)</t>
  </si>
  <si>
    <t>615.00 руб.</t>
  </si>
  <si>
    <t>VLC-1412072</t>
  </si>
  <si>
    <t>VTi.908.I.002204</t>
  </si>
  <si>
    <t>Соединитель с накидной гайкой нерж. сталь 22х1/2"     (5 /110шт)</t>
  </si>
  <si>
    <t>558.00 руб.</t>
  </si>
  <si>
    <t>VLC-1412073</t>
  </si>
  <si>
    <t>VTi.908.I.002205</t>
  </si>
  <si>
    <t>Соединитель с накидной гайкой нерж. сталь 22х3/4"    (5 /110шт)</t>
  </si>
  <si>
    <t>639.00 руб.</t>
  </si>
  <si>
    <t>VLC-1412074</t>
  </si>
  <si>
    <t>VTi.908.I.002805</t>
  </si>
  <si>
    <t>Соединитель с накидной гайкой нерж. сталь 28х3/4"  (5 /70шт)</t>
  </si>
  <si>
    <t>724.00 руб.</t>
  </si>
  <si>
    <t>VLC-1412075</t>
  </si>
  <si>
    <t>VTi.908.I.002806</t>
  </si>
  <si>
    <t>Соединитель с накидной гайкой нерж. сталь 28х1"  (5 /80шт)</t>
  </si>
  <si>
    <t>875.00 руб.</t>
  </si>
  <si>
    <t>VLC-1412076</t>
  </si>
  <si>
    <t>VTi.908.I.003506</t>
  </si>
  <si>
    <t>Соединитель с накидной гайкой нерж. сталь 35х1"  (5 /45шт)</t>
  </si>
  <si>
    <t>956.00 руб.</t>
  </si>
  <si>
    <t>VLC-1412077</t>
  </si>
  <si>
    <t>VTi.908.I.003507</t>
  </si>
  <si>
    <t>Соединитель с накидной гайкой нерж. сталь 35х1 1/4" (5 /40шт)</t>
  </si>
  <si>
    <t>1 094.00 руб.</t>
  </si>
  <si>
    <t>VLC-1412078</t>
  </si>
  <si>
    <t>VTi.908.I.004208</t>
  </si>
  <si>
    <t>Соединитель с накидной гайкой нерж. сталь 42х1 1/2"    (1 /35шт)</t>
  </si>
  <si>
    <t>1 779.00 руб.</t>
  </si>
  <si>
    <t>VLC-1412079</t>
  </si>
  <si>
    <t>VTi.908.I.005409</t>
  </si>
  <si>
    <t>Соединитель с накидной гайкой нерж. сталь 54х2"    (1 /20шт)</t>
  </si>
  <si>
    <t>2 297.00 руб.</t>
  </si>
  <si>
    <t>VLC-1412080</t>
  </si>
  <si>
    <t>VTi.931.I.151515</t>
  </si>
  <si>
    <t>Тройник нерж. сталь 15  (5 /80шт)</t>
  </si>
  <si>
    <t>VLC-1412081</t>
  </si>
  <si>
    <t>VTi.931.I.151215</t>
  </si>
  <si>
    <t>Тройник нерж. сталь 15x12x15   (5 /100шт)</t>
  </si>
  <si>
    <t>337.00 руб.</t>
  </si>
  <si>
    <t>VLC-1412082</t>
  </si>
  <si>
    <t>VTi.931.I.181818</t>
  </si>
  <si>
    <t>Тройник нерж. сталь 18  (5 /60шт)</t>
  </si>
  <si>
    <t>VLC-1412083</t>
  </si>
  <si>
    <t>VTi.931.I.181518</t>
  </si>
  <si>
    <t>Тройник нерж. сталь 18х15х18</t>
  </si>
  <si>
    <t>451.00 руб.</t>
  </si>
  <si>
    <t>VLC-1412084</t>
  </si>
  <si>
    <t>VTi.931.I.222222</t>
  </si>
  <si>
    <t>Тройник нерж. сталь 22  (5 /40шт)</t>
  </si>
  <si>
    <t>521.00 руб.</t>
  </si>
  <si>
    <t>VLC-1412085</t>
  </si>
  <si>
    <t>VTi.931.I.221522</t>
  </si>
  <si>
    <t>Тройник нерж. сталь 22х15х22 (5 /40шт)</t>
  </si>
  <si>
    <t>476.00 руб.</t>
  </si>
  <si>
    <t>VLC-1412086</t>
  </si>
  <si>
    <t>VTi.931.I.221822</t>
  </si>
  <si>
    <t>Тройник нерж. сталь 22х18х22  (5 /40шт)</t>
  </si>
  <si>
    <t>602.00 руб.</t>
  </si>
  <si>
    <t>VLC-1412087</t>
  </si>
  <si>
    <t>VTi.931.I.282828</t>
  </si>
  <si>
    <t>Тройник нерж. сталь 28   (5 /30шт)</t>
  </si>
  <si>
    <t>693.00 руб.</t>
  </si>
  <si>
    <t>VLC-1412088</t>
  </si>
  <si>
    <t>VTi.931.I.281528</t>
  </si>
  <si>
    <t>Тройник нерж. сталь 28x15x28   (5 /30шт)</t>
  </si>
  <si>
    <t>619.00 руб.</t>
  </si>
  <si>
    <t>VLC-1412089</t>
  </si>
  <si>
    <t>VTi.931.I.282228</t>
  </si>
  <si>
    <t>Тройник нерж. сталь 28x22x28   (5 /30шт)</t>
  </si>
  <si>
    <t>604.00 руб.</t>
  </si>
  <si>
    <t>VLC-1412090</t>
  </si>
  <si>
    <t>VTi.931.I.353535</t>
  </si>
  <si>
    <t>Тройник нерж. сталь 35   (5 /15шт)</t>
  </si>
  <si>
    <t>VLC-1412091</t>
  </si>
  <si>
    <t>VTi.931.I.351535</t>
  </si>
  <si>
    <t>Тройник нерж. сталь 35х15х35   (5 /20шт)</t>
  </si>
  <si>
    <t>743.00 руб.</t>
  </si>
  <si>
    <t>VLC-1412092</t>
  </si>
  <si>
    <t>VTi.931.I.352235</t>
  </si>
  <si>
    <t>Тройник нерж. сталь 35х22х35   (5 /20шт)</t>
  </si>
  <si>
    <t>798.00 руб.</t>
  </si>
  <si>
    <t>VLC-1412093</t>
  </si>
  <si>
    <t>VTi.931.I.352835</t>
  </si>
  <si>
    <t>Тройник нерж. сталь 35х28х35  (5 /15шт)</t>
  </si>
  <si>
    <t>840.00 руб.</t>
  </si>
  <si>
    <t>VLC-1412094</t>
  </si>
  <si>
    <t>VTi.931.I.424242</t>
  </si>
  <si>
    <t>Тройник нерж. сталь 42</t>
  </si>
  <si>
    <t>1 176.00 руб.</t>
  </si>
  <si>
    <t>VLC-1412095</t>
  </si>
  <si>
    <t>VTi.931.I.423542</t>
  </si>
  <si>
    <t>Тройник нерж. сталь 42х35х42</t>
  </si>
  <si>
    <t>1 110.00 руб.</t>
  </si>
  <si>
    <t>VLC-1412096</t>
  </si>
  <si>
    <t>VTi.931.I.545454</t>
  </si>
  <si>
    <t>Тройник нерж. сталь 54</t>
  </si>
  <si>
    <t>1 640.00 руб.</t>
  </si>
  <si>
    <t>VLC-1412097</t>
  </si>
  <si>
    <t>VTi.931.I.544254</t>
  </si>
  <si>
    <t>Тройник нерж. сталь 54х42х54</t>
  </si>
  <si>
    <t>1 395.00 руб.</t>
  </si>
  <si>
    <t>VLC-1412098</t>
  </si>
  <si>
    <t>VTi.932.I.150415</t>
  </si>
  <si>
    <t>Тройник с вн.р. нерж. сталь 15х1/2"  (5 /80шт)</t>
  </si>
  <si>
    <t>509.00 руб.</t>
  </si>
  <si>
    <t>VLC-1412099</t>
  </si>
  <si>
    <t>VTi.932.I.180418</t>
  </si>
  <si>
    <t>Тройник с вн.р. нерж. сталь 18х1/2"  (5 /70шт)</t>
  </si>
  <si>
    <t>VLC-1412100</t>
  </si>
  <si>
    <t>VTi.932.I.180518</t>
  </si>
  <si>
    <t>Тройник с вн.р. нерж. сталь 18х3/4"  (5 /60шт)</t>
  </si>
  <si>
    <t>826.00 руб.</t>
  </si>
  <si>
    <t>VLC-1412101</t>
  </si>
  <si>
    <t>VTi.932.I.220422</t>
  </si>
  <si>
    <t>Тройник с вн.р. нерж. сталь 22х1/2"  (5 /50шт)</t>
  </si>
  <si>
    <t>671.00 руб.</t>
  </si>
  <si>
    <t>VLC-1412102</t>
  </si>
  <si>
    <t>VTi.932.I.220522</t>
  </si>
  <si>
    <t>Тройник с вн.р. нерж. сталь 22х3/4"  (5 /40шт)</t>
  </si>
  <si>
    <t>785.00 руб.</t>
  </si>
  <si>
    <t>VLC-1412103</t>
  </si>
  <si>
    <t>VTi.932.I.280428</t>
  </si>
  <si>
    <t>Тройник с вн.р. нерж. сталь 28х1/2"   (5 /30шт)</t>
  </si>
  <si>
    <t>760.00 руб.</t>
  </si>
  <si>
    <t>VLC-1412104</t>
  </si>
  <si>
    <t>VTi.932.I.280528</t>
  </si>
  <si>
    <t>Тройник с вн.р. нерж. сталь 28х3/4"  (5 /30шт)</t>
  </si>
  <si>
    <t>878.00 руб.</t>
  </si>
  <si>
    <t>VLC-1412105</t>
  </si>
  <si>
    <t>VTi.932.I.280628</t>
  </si>
  <si>
    <t>Тройник с вн.р. нерж. сталь 28х1"   (5 /30шт)</t>
  </si>
  <si>
    <t>1 097.00 руб.</t>
  </si>
  <si>
    <t>VLC-1412106</t>
  </si>
  <si>
    <t>VTi.932.I.350635</t>
  </si>
  <si>
    <t>Тройник с вн.р. нерж. сталь 35х1"    (5 /15шт)</t>
  </si>
  <si>
    <t>1 204.00 руб.</t>
  </si>
  <si>
    <t>VLC-1412107</t>
  </si>
  <si>
    <t>VTi.932.I.350735</t>
  </si>
  <si>
    <t>Тройник с вн.р. нерж. сталь 35х1 1/4"    (5 /15шт)</t>
  </si>
  <si>
    <t>1 515.00 руб.</t>
  </si>
  <si>
    <t>VLC-1412108</t>
  </si>
  <si>
    <t>VTi.933.I.150415</t>
  </si>
  <si>
    <t>Тройник с нар.р. нерж. сталь 15х1/2"  (5 /80шт)</t>
  </si>
  <si>
    <t>524.00 руб.</t>
  </si>
  <si>
    <t>VLC-1412109</t>
  </si>
  <si>
    <t>VTi.933.I.180418</t>
  </si>
  <si>
    <t>Тройник с нар.р. нерж. сталь 18х1/2"   (5 /70шт)</t>
  </si>
  <si>
    <t>648.00 руб.</t>
  </si>
  <si>
    <t>VLC-1412110</t>
  </si>
  <si>
    <t>VTi.933.I.180518</t>
  </si>
  <si>
    <t>Тройник с нар.р. нерж. сталь 18х3/4"  (5 /60шт)</t>
  </si>
  <si>
    <t>765.00 руб.</t>
  </si>
  <si>
    <t>VLC-1412111</t>
  </si>
  <si>
    <t>VTi.933.I.220422</t>
  </si>
  <si>
    <t>Тройник с нар.р. нерж. сталь 22х1/2"  (5 /40шт)</t>
  </si>
  <si>
    <t>722.00 руб.</t>
  </si>
  <si>
    <t>VLC-1412112</t>
  </si>
  <si>
    <t>VTi.933.I.220522</t>
  </si>
  <si>
    <t>Тройник с нар.р. нерж. сталь 22х3/4"  (5 /40шт)</t>
  </si>
  <si>
    <t>701.00 руб.</t>
  </si>
  <si>
    <t>VLC-1412113</t>
  </si>
  <si>
    <t>VTi.933.I.280428</t>
  </si>
  <si>
    <t>Тройник с нар.р. нерж. сталь 28х1/2"   (5 /30шт)</t>
  </si>
  <si>
    <t>770.00 руб.</t>
  </si>
  <si>
    <t>VLC-1412114</t>
  </si>
  <si>
    <t>VTi.933.I.280528</t>
  </si>
  <si>
    <t>Тройник с нар.р. нерж. сталь 28х3/4"  (5 /30шт)</t>
  </si>
  <si>
    <t>845.00 руб.</t>
  </si>
  <si>
    <t>VLC-1412115</t>
  </si>
  <si>
    <t>VTi.933.I.280628</t>
  </si>
  <si>
    <t>Тройник с нар.р. нерж. сталь 28х1"   (5 /30шт)</t>
  </si>
  <si>
    <t>VLC-1412116</t>
  </si>
  <si>
    <t>VTi.933.I.350635</t>
  </si>
  <si>
    <t>Тройник с нар.р. нерж. сталь 35х1"    (5 /15шт)</t>
  </si>
  <si>
    <t>1 174.00 руб.</t>
  </si>
  <si>
    <t>VLC-1412117</t>
  </si>
  <si>
    <t>VTi.933.I.350735</t>
  </si>
  <si>
    <t>Тройник с нар.р. нерж. сталь 35х1 1/4"    (5 /15шт)</t>
  </si>
  <si>
    <t>1 702.00 руб.</t>
  </si>
  <si>
    <t>VLC-1412118</t>
  </si>
  <si>
    <t>VTi.950.I.001515</t>
  </si>
  <si>
    <t>Угольник 90° вн.-нар. нерж. сталь 15а х15    (5 /150шт)</t>
  </si>
  <si>
    <t>214.00 руб.</t>
  </si>
  <si>
    <t>VLC-1412119</t>
  </si>
  <si>
    <t>VTi.950.I.001818</t>
  </si>
  <si>
    <t>Угольник 90° вн.-нар. нерж. сталь 18а х18   (5 /100шт)</t>
  </si>
  <si>
    <t>359.00 руб.</t>
  </si>
  <si>
    <t>VLC-1412120</t>
  </si>
  <si>
    <t>VTi.950.I.002222</t>
  </si>
  <si>
    <t>Угольник 90° вн.-нар. нерж. сталь 22а х22  (5 /60шт)</t>
  </si>
  <si>
    <t>VLC-1412121</t>
  </si>
  <si>
    <t>VTi.950.I.002828</t>
  </si>
  <si>
    <t>Угольник 90° вн.-нар. нерж. сталь 28а х28   (5 /30шт)</t>
  </si>
  <si>
    <t>VLC-1412122</t>
  </si>
  <si>
    <t>VTi.950.I.003535</t>
  </si>
  <si>
    <t>Угольник 90° вн.-нар. нерж. сталь 35а х35    (5 /15шт)</t>
  </si>
  <si>
    <t>728.00 руб.</t>
  </si>
  <si>
    <t>VLC-1412123</t>
  </si>
  <si>
    <t>VTi.950.I.004242</t>
  </si>
  <si>
    <t>Угольник 90° вн.-нар. нерж. сталь 42а х42</t>
  </si>
  <si>
    <t>1 120.00 руб.</t>
  </si>
  <si>
    <t>VLC-1412124</t>
  </si>
  <si>
    <t>VTi.950.I.005454</t>
  </si>
  <si>
    <t>Угольник 90° вн.-нар. нерж. сталь 54а х54</t>
  </si>
  <si>
    <t>1 331.00 руб.</t>
  </si>
  <si>
    <t>VLC-1412125</t>
  </si>
  <si>
    <t>VTi.951.I.001212</t>
  </si>
  <si>
    <t>Угольник 90° вн.-вн. нерж. сталь 12  (5 /170шт)</t>
  </si>
  <si>
    <t>172.00 руб.</t>
  </si>
  <si>
    <t>VLC-1412126</t>
  </si>
  <si>
    <t>VTi.951.I.001515</t>
  </si>
  <si>
    <t>Угольник 90° вн.-вн. нерж. сталь 15   (5 /130шт)</t>
  </si>
  <si>
    <t>230.00 руб.</t>
  </si>
  <si>
    <t>VLC-1412127</t>
  </si>
  <si>
    <t>VTi.951.I.001818</t>
  </si>
  <si>
    <t>Угольник 90° вн.-вн. нерж. сталь 18  (5 /80шт)</t>
  </si>
  <si>
    <t>348.00 руб.</t>
  </si>
  <si>
    <t>VLC-1412128</t>
  </si>
  <si>
    <t>VTi.951.I.002222</t>
  </si>
  <si>
    <t>Угольник 90° вн.-вн. нерж. сталь 22  (5 /40шт)</t>
  </si>
  <si>
    <t>401.00 руб.</t>
  </si>
  <si>
    <t>VLC-1412129</t>
  </si>
  <si>
    <t>VTi.951.I.002828</t>
  </si>
  <si>
    <t>Угольник 90° вн.-вн. нерж. сталь 28   (5 /30шт)</t>
  </si>
  <si>
    <t>551.00 руб.</t>
  </si>
  <si>
    <t>VLC-1412130</t>
  </si>
  <si>
    <t>VTi.951.I.003535</t>
  </si>
  <si>
    <t>Угольник 90° вн.-вн. нерж. сталь 35  (5 /15шт)</t>
  </si>
  <si>
    <t>789.00 руб.</t>
  </si>
  <si>
    <t>VLC-1412131</t>
  </si>
  <si>
    <t>VTi.951.I.004242</t>
  </si>
  <si>
    <t>Угольник 90° вн.-вн. нерж. сталь 42</t>
  </si>
  <si>
    <t>975.00 руб.</t>
  </si>
  <si>
    <t>VLC-1412132</t>
  </si>
  <si>
    <t>VTi.951.I.005454</t>
  </si>
  <si>
    <t>Угольник 90° вн.-вн. нерж. сталь 54</t>
  </si>
  <si>
    <t>1 447.00 руб.</t>
  </si>
  <si>
    <t>VLC-1412133</t>
  </si>
  <si>
    <t>VTi.952.I.001504</t>
  </si>
  <si>
    <t>Угольник 90° с вн.р. нерж. сталь 15х1/2"   (5 /130шт)</t>
  </si>
  <si>
    <t>449.00 руб.</t>
  </si>
  <si>
    <t>VLC-1412134</t>
  </si>
  <si>
    <t>VTi.952.I.001804</t>
  </si>
  <si>
    <t>Угольник 90° с вн.р. нерж. сталь 18х1/2"   (5шт)</t>
  </si>
  <si>
    <t>545.00 руб.</t>
  </si>
  <si>
    <t>VLC-1412135</t>
  </si>
  <si>
    <t>VTi.952.I.001805</t>
  </si>
  <si>
    <t>Угольник 90° с вн.р. нерж. сталь 18х3/4"   (5шт)</t>
  </si>
  <si>
    <t>660.00 руб.</t>
  </si>
  <si>
    <t>VLC-1412136</t>
  </si>
  <si>
    <t>VTi.952.I.002204</t>
  </si>
  <si>
    <t>Угольник 90° с вн.р. нерж. сталь 22х1/2"  (5 /90шт)</t>
  </si>
  <si>
    <t>567.00 руб.</t>
  </si>
  <si>
    <t>VLC-1412137</t>
  </si>
  <si>
    <t>VTi.952.I.002205</t>
  </si>
  <si>
    <t>Угольник 90° с вн.р. нерж. сталь 22х3/4"  (5 /70шт)</t>
  </si>
  <si>
    <t>704.00 руб.</t>
  </si>
  <si>
    <t>VLC-1412138</t>
  </si>
  <si>
    <t>VTi.952.I.002805</t>
  </si>
  <si>
    <t>Угольник 90° с вн.р. нерж. сталь 28х3/4"  (5 /60шт)</t>
  </si>
  <si>
    <t>766.00 руб.</t>
  </si>
  <si>
    <t>VLC-1412139</t>
  </si>
  <si>
    <t>VTi.952.I.003506</t>
  </si>
  <si>
    <t>Угольник 90° с вн.р. нерж. сталь 35х1"   (5 /30шт)</t>
  </si>
  <si>
    <t>1 128.00 руб.</t>
  </si>
  <si>
    <t>VLC-1412140</t>
  </si>
  <si>
    <t>VTi.953.I.001804</t>
  </si>
  <si>
    <t>Угольник 90° с нар.р. нерж. сталь 18х1/2"   (5шт)</t>
  </si>
  <si>
    <t>543.00 руб.</t>
  </si>
  <si>
    <t>VLC-1412141</t>
  </si>
  <si>
    <t>VTi.953.I.001805</t>
  </si>
  <si>
    <t>Угольник 90° с нар.р. нерж. сталь 18х3/4"   (5шт)</t>
  </si>
  <si>
    <t>705.00 руб.</t>
  </si>
  <si>
    <t>VLC-1412142</t>
  </si>
  <si>
    <t>VTi.953.I.001504</t>
  </si>
  <si>
    <t>Угольник 90° с нар.р. нерж. сталь 15х1/2"   (5 /130шт)</t>
  </si>
  <si>
    <t>464.00 руб.</t>
  </si>
  <si>
    <t>VLC-1412143</t>
  </si>
  <si>
    <t>VTi.953.I.002204</t>
  </si>
  <si>
    <t>Угольник 90° с нар.р. нерж. сталь 22х1/2"  (5 /90шт)</t>
  </si>
  <si>
    <t>581.00 руб.</t>
  </si>
  <si>
    <t>VLC-1412144</t>
  </si>
  <si>
    <t>VTi.953.I.002205</t>
  </si>
  <si>
    <t>Угольник 90° с нар.р. нерж. сталь 22х3/4"  (5 /80шт)</t>
  </si>
  <si>
    <t>745.00 руб.</t>
  </si>
  <si>
    <t>VLC-1412145</t>
  </si>
  <si>
    <t>VTi.953.I.002805</t>
  </si>
  <si>
    <t>Угольник 90° с нар.р. нерж. сталь 28х3/4"  (5 /60шт)</t>
  </si>
  <si>
    <t>917.00 руб.</t>
  </si>
  <si>
    <t>VLC-1412146</t>
  </si>
  <si>
    <t>VTi.953.I.003506</t>
  </si>
  <si>
    <t>Угольник 90° с нар.р. нерж. сталь 35х1"   (5 /30шт)</t>
  </si>
  <si>
    <t>1 143.00 руб.</t>
  </si>
  <si>
    <t>VLC-1412147</t>
  </si>
  <si>
    <t>VTi.954.I.001204</t>
  </si>
  <si>
    <t>Водорозетка нерж. сталь 12х1/2"  (5 /80шт)</t>
  </si>
  <si>
    <t>VLC-1412148</t>
  </si>
  <si>
    <t>VTi.954.I.001504</t>
  </si>
  <si>
    <t>Водорозетка нерж. сталь 15х1/2"  (5 /80шт)</t>
  </si>
  <si>
    <t>732.00 руб.</t>
  </si>
  <si>
    <t>VLC-1412149</t>
  </si>
  <si>
    <t>VTi.954.I.001804</t>
  </si>
  <si>
    <t>Водорозетка нерж. сталь 18х1/2"   (5шт)</t>
  </si>
  <si>
    <t>805.00 руб.</t>
  </si>
  <si>
    <t>VLC-1412150</t>
  </si>
  <si>
    <t>VTi.954.I.002204</t>
  </si>
  <si>
    <t>Водорозетка нерж. сталь 22х1/2"  (5 /50шт)</t>
  </si>
  <si>
    <t>936.00 руб.</t>
  </si>
  <si>
    <t>VLC-1412151</t>
  </si>
  <si>
    <t>VTi.954.I.002205</t>
  </si>
  <si>
    <t>Водорозетка нерж. сталь 22х3/4"  (5 /40шт)</t>
  </si>
  <si>
    <t>948.00 руб.</t>
  </si>
  <si>
    <t>VLC-1412152</t>
  </si>
  <si>
    <t>VTi.955.I.151515</t>
  </si>
  <si>
    <t>Отвод безраструбный 15° нар.-нар. нерж. сталь 15ах15а    (5 /100шт)</t>
  </si>
  <si>
    <t>559.00 руб.</t>
  </si>
  <si>
    <t>VLC-1412153</t>
  </si>
  <si>
    <t>VTi.955.I.151818</t>
  </si>
  <si>
    <t>Отвод безраструбный 15° нар.-нар. нерж. сталь 18ах18а  (5 /70шт)</t>
  </si>
  <si>
    <t>668.00 руб.</t>
  </si>
  <si>
    <t>VLC-1412154</t>
  </si>
  <si>
    <t>VTi.955.I.152222</t>
  </si>
  <si>
    <t>Отвод безраструбный 15° нар.-нар. нерж. сталь 22ах22а   (5 /50шт)</t>
  </si>
  <si>
    <t>946.00 руб.</t>
  </si>
  <si>
    <t>VLC-1412155</t>
  </si>
  <si>
    <t>VTi.955.I.301515</t>
  </si>
  <si>
    <t>Отвод безраструбный 30° нар.-нар. нерж. сталь 15ах15а   (5 /90шт)</t>
  </si>
  <si>
    <t>528.00 руб.</t>
  </si>
  <si>
    <t>VLC-1412156</t>
  </si>
  <si>
    <t>VTi.955.I.301818</t>
  </si>
  <si>
    <t>Отвод безраструбный 30° нар.-нар. нерж. сталь 18ах18а  (5 /80шт)</t>
  </si>
  <si>
    <t>VLC-1412157</t>
  </si>
  <si>
    <t>VTi.955.I.302222</t>
  </si>
  <si>
    <t>Отвод безраструбный 30° нар.-нар. нерж. сталь 22ах22а   (5 /40шт)</t>
  </si>
  <si>
    <t>877.00 руб.</t>
  </si>
  <si>
    <t>VLC-1412158</t>
  </si>
  <si>
    <t>VTi.955.I.451515</t>
  </si>
  <si>
    <t>Отвод безраструбный 45° нар.-нар. нерж. сталь 15ах15а   (5 /90шт)</t>
  </si>
  <si>
    <t>VLC-1412159</t>
  </si>
  <si>
    <t>VTi.955.I.451818</t>
  </si>
  <si>
    <t>Отвод безраструбный 45° нар.-нар. нерж. сталь 18ах18а  (5 /75шт)</t>
  </si>
  <si>
    <t>674.00 руб.</t>
  </si>
  <si>
    <t>VLC-1412160</t>
  </si>
  <si>
    <t>VTi.955.I.452222</t>
  </si>
  <si>
    <t>Отвод безраструбный 45° нар.-нар. нерж. сталь 22ах22а   (5 /40шт)</t>
  </si>
  <si>
    <t>892.00 руб.</t>
  </si>
  <si>
    <t>VLC-1412161</t>
  </si>
  <si>
    <t>VTi.958.I.001515</t>
  </si>
  <si>
    <t>Угольник 45° вн.-нар. нерж. сталь 15а х15  (5 /180шт)</t>
  </si>
  <si>
    <t>182.00 руб.</t>
  </si>
  <si>
    <t>VLC-1412162</t>
  </si>
  <si>
    <t>VTi.958.I.001818</t>
  </si>
  <si>
    <t>Угольник 45° вн.-нар. нерж. сталь 18а х18  (5 /120шт)</t>
  </si>
  <si>
    <t>311.00 руб.</t>
  </si>
  <si>
    <t>VLC-1412163</t>
  </si>
  <si>
    <t>VTi.958.I.002222</t>
  </si>
  <si>
    <t>Угольник 45° вн.-нар. нерж. сталь 22а х22  (5 /80шт)</t>
  </si>
  <si>
    <t>301.00 руб.</t>
  </si>
  <si>
    <t>VLC-1412164</t>
  </si>
  <si>
    <t>VTi.958.I.002828</t>
  </si>
  <si>
    <t>Угольник 45° вн.-нар. нерж. сталь 28а х28   (5 /40шт)</t>
  </si>
  <si>
    <t>425.00 руб.</t>
  </si>
  <si>
    <t>VLC-1412165</t>
  </si>
  <si>
    <t>VTi.958.I.003535</t>
  </si>
  <si>
    <t>Угольник 45° вн.-нар. нерж. сталь 35а х35   (5 /30шт)</t>
  </si>
  <si>
    <t>579.00 руб.</t>
  </si>
  <si>
    <t>VLC-1412166</t>
  </si>
  <si>
    <t>VTi.958.I.004242</t>
  </si>
  <si>
    <t>Угольник 45° вн.-нар. нерж. сталь 42а х42</t>
  </si>
  <si>
    <t>780.00 руб.</t>
  </si>
  <si>
    <t>VLC-1412167</t>
  </si>
  <si>
    <t>VTi.958.I.005454</t>
  </si>
  <si>
    <t>Угольник 45° вн.-нар. нерж. сталь 54а х54</t>
  </si>
  <si>
    <t>1 258.00 руб.</t>
  </si>
  <si>
    <t>VLC-1412168</t>
  </si>
  <si>
    <t>VTi.959.I.001212</t>
  </si>
  <si>
    <t>Угольник 45° вн.-вн. нерж. сталь 12   (5 /220шт)</t>
  </si>
  <si>
    <t>134.00 руб.</t>
  </si>
  <si>
    <t>VLC-1412169</t>
  </si>
  <si>
    <t>VTi.959.I.001515</t>
  </si>
  <si>
    <t>Угольник 45° вн.-вн. нерж. сталь 15  (5 /160шт)</t>
  </si>
  <si>
    <t>195.00 руб.</t>
  </si>
  <si>
    <t>VLC-1412170</t>
  </si>
  <si>
    <t>VTi.959.I.001818</t>
  </si>
  <si>
    <t>Угольник 45° вн.-вн. нерж. сталь 18 (5 /115шт)</t>
  </si>
  <si>
    <t>310.00 руб.</t>
  </si>
  <si>
    <t>VLC-1412171</t>
  </si>
  <si>
    <t>VTi.959.I.002222</t>
  </si>
  <si>
    <t>Угольник 45° вн.-вн. нерж. сталь 22  (5 /60шт)</t>
  </si>
  <si>
    <t>331.00 руб.</t>
  </si>
  <si>
    <t>VLC-1412172</t>
  </si>
  <si>
    <t>VTi.959.I.002828</t>
  </si>
  <si>
    <t>Угольник 45° вн.-вн. нерж. сталь 28  (5 /40шт)</t>
  </si>
  <si>
    <t>442.00 руб.</t>
  </si>
  <si>
    <t>VLC-1412173</t>
  </si>
  <si>
    <t>VTi.959.I.003535</t>
  </si>
  <si>
    <t>Угольник 45° вн.-вн. нерж. сталь 35 (5 /25шт)</t>
  </si>
  <si>
    <t>617.00 руб.</t>
  </si>
  <si>
    <t>VLC-1412174</t>
  </si>
  <si>
    <t>VTi.959.I.004242</t>
  </si>
  <si>
    <t>Угольник 45° вн.-вн. нерж. сталь 42</t>
  </si>
  <si>
    <t>830.00 руб.</t>
  </si>
  <si>
    <t>VLC-1412175</t>
  </si>
  <si>
    <t>VTi.959.I.005454</t>
  </si>
  <si>
    <t>Угольник 45° вн.-вн. нерж. сталь 54</t>
  </si>
  <si>
    <t>1 194.00 руб.</t>
  </si>
  <si>
    <t>VLC-1412176</t>
  </si>
  <si>
    <t>VTi.960.I.150760</t>
  </si>
  <si>
    <t>Отвод 90 гр. из нержавеющей стали  диаметр 15,  L= 70х160мм  (5 /80шт)</t>
  </si>
  <si>
    <t>VLC-1412177</t>
  </si>
  <si>
    <t>VTi.960.I.151060</t>
  </si>
  <si>
    <t>Отвод 90 гр. из нержавеющей стали  диаметр 15,  L= 100х600мм   (5 /60шт)</t>
  </si>
  <si>
    <t>VLC-1412178</t>
  </si>
  <si>
    <t>VTi.970.I.001515</t>
  </si>
  <si>
    <t>Обвод вн.-нар. нерж. сталь 15ах15  (5 /80шт)</t>
  </si>
  <si>
    <t>297.00 руб.</t>
  </si>
  <si>
    <t>VLC-1412179</t>
  </si>
  <si>
    <t>VTi.970.I.001818</t>
  </si>
  <si>
    <t>Обвод вн.-нар. нерж. сталь 18а х18  (5 /55шт)</t>
  </si>
  <si>
    <t>537.00 руб.</t>
  </si>
  <si>
    <t>VLC-1412180</t>
  </si>
  <si>
    <t>VTi.970.I.002222</t>
  </si>
  <si>
    <t>Обвод вн.-нар. нерж. сталь 22ах22   (5 /30шт)</t>
  </si>
  <si>
    <t>584.00 руб.</t>
  </si>
  <si>
    <t>VLC-1412181</t>
  </si>
  <si>
    <t>VTi.971.I.001212</t>
  </si>
  <si>
    <t>Обвод вн.-вн. нерж. сталь 12х12  (5 /140шт)</t>
  </si>
  <si>
    <t>261.00 руб.</t>
  </si>
  <si>
    <t>VLC-1412182</t>
  </si>
  <si>
    <t>VTi.971.I.001515</t>
  </si>
  <si>
    <t>Обвод вн.-вн. нерж. сталь 15х15  (5 /90шт)</t>
  </si>
  <si>
    <t>VLC-1412183</t>
  </si>
  <si>
    <t>VTi.971.I.001818</t>
  </si>
  <si>
    <t>Обвод вн.-вн. нерж. сталь 18   (5 /60шт)</t>
  </si>
  <si>
    <t>VLC-1412184</t>
  </si>
  <si>
    <t>VTi.971.I.002222</t>
  </si>
  <si>
    <t>Обвод вн.-вн. нерж. сталь 22х22  (5 /30шт)</t>
  </si>
  <si>
    <t>563.00 руб.</t>
  </si>
  <si>
    <t>VLC-1412185</t>
  </si>
  <si>
    <t>VTi.990.I.000012</t>
  </si>
  <si>
    <t>Уплотнительное кольцо 12 FPM (Viton) (10 /2000шт)</t>
  </si>
  <si>
    <t>10.00 руб.</t>
  </si>
  <si>
    <t>VLC-1412186</t>
  </si>
  <si>
    <t>VTi.990.I.000015</t>
  </si>
  <si>
    <t>Уплотнительное кольцо 15 FPM (Viton)  (10 /2000шт)</t>
  </si>
  <si>
    <t>13.00 руб.</t>
  </si>
  <si>
    <t>VLC-1412187</t>
  </si>
  <si>
    <t>VTi.990.I.000022</t>
  </si>
  <si>
    <t>Уплотнительное кольцо 22 FPM (Viton)  (10 /1000шт)</t>
  </si>
  <si>
    <t>24.00 руб.</t>
  </si>
  <si>
    <t>VLC-1412188</t>
  </si>
  <si>
    <t>VTi.990.I.000028</t>
  </si>
  <si>
    <t>Уплотнительное кольцо 28 FPM (Viton)  (10 /1000шт)</t>
  </si>
  <si>
    <t>31.00 руб.</t>
  </si>
  <si>
    <t>VLC-1412189</t>
  </si>
  <si>
    <t>VTi.990.I.000035</t>
  </si>
  <si>
    <t>Уплотнительное кольцо 35 FPM (Viton)  (10 /500шт)</t>
  </si>
  <si>
    <t>41.00 руб.</t>
  </si>
  <si>
    <t>VLC-1412200</t>
  </si>
  <si>
    <t>VTi.906.I.001504</t>
  </si>
  <si>
    <t>Вставка резьбовая нерж. сталь с нар.р. 15х1/2"</t>
  </si>
  <si>
    <t>VLC-1412201</t>
  </si>
  <si>
    <t>VTi.906.I.001804</t>
  </si>
  <si>
    <t>Вставка резьбовая нерж. сталь с нар.р. 18х1/2"</t>
  </si>
  <si>
    <t>VLC-1412202</t>
  </si>
  <si>
    <t>VTi.906.I.001805</t>
  </si>
  <si>
    <t>Вставка резьбовая нерж. сталь с нар.р. 18х3/4"</t>
  </si>
  <si>
    <t>VLC-1412203</t>
  </si>
  <si>
    <t>VTi.906.I.002204</t>
  </si>
  <si>
    <t>Вставка резьбовая нерж. сталь с нар.р. 22х1/2"</t>
  </si>
  <si>
    <t>437.00 руб.</t>
  </si>
  <si>
    <t>VLC-1412204</t>
  </si>
  <si>
    <t>VTi.906.I.002205</t>
  </si>
  <si>
    <t>Вставка резьбовая нерж. сталь с нар.р. 22х3/4"</t>
  </si>
  <si>
    <t>539.00 руб.</t>
  </si>
  <si>
    <t>VLC-1412205</t>
  </si>
  <si>
    <t>VTi.906.I.002805</t>
  </si>
  <si>
    <t>Вставка резьбовая нерж. сталь с нар.р. 28х3/4"</t>
  </si>
  <si>
    <t>VLC-1412206</t>
  </si>
  <si>
    <t>VTi.906.I.002806</t>
  </si>
  <si>
    <t>Вставка резьбовая нерж. сталь с нар.р. 28х1"</t>
  </si>
  <si>
    <t>806.00 руб.</t>
  </si>
  <si>
    <t>VLC-1412207</t>
  </si>
  <si>
    <t>VTi.906.I.003507</t>
  </si>
  <si>
    <t>Вставка резьбовая нерж. сталь с нар.р. 35х1 1/4"</t>
  </si>
  <si>
    <t>1 088.00 руб.</t>
  </si>
  <si>
    <t>VLC-1412208</t>
  </si>
  <si>
    <t>VTi.906.I.004208</t>
  </si>
  <si>
    <t>Вставка резьбовая нерж. сталь с нар.р. 42х1 1/2"</t>
  </si>
  <si>
    <t>1 279.00 руб.</t>
  </si>
  <si>
    <t>VLC-1412209</t>
  </si>
  <si>
    <t>VTi.906.I.005409</t>
  </si>
  <si>
    <t>Вставка резьбовая нерж. сталь с нар.р. 54х2"</t>
  </si>
  <si>
    <t>2 215.00 руб.</t>
  </si>
  <si>
    <t>VLC-1412210</t>
  </si>
  <si>
    <t>VTi.907.I.001504</t>
  </si>
  <si>
    <t>Вставка резьбовая нерж. сталь с вн.р. 15х1/2"</t>
  </si>
  <si>
    <t>VLC-1412211</t>
  </si>
  <si>
    <t>VTi.907.I.001804</t>
  </si>
  <si>
    <t>Вставка резьбовая нерж. сталь с вн.р. 18х1/2"</t>
  </si>
  <si>
    <t>313.00 руб.</t>
  </si>
  <si>
    <t>VLC-1412212</t>
  </si>
  <si>
    <t>VTi.907.I.001805</t>
  </si>
  <si>
    <t>Вставка резьбовая нерж. сталь с вн.р. 18х3/4"</t>
  </si>
  <si>
    <t>477.00 руб.</t>
  </si>
  <si>
    <t>VLC-1412213</t>
  </si>
  <si>
    <t>VTi.907.I.002204</t>
  </si>
  <si>
    <t>Вставка резьбовая нерж. сталь с вн.р. 22х1/2"</t>
  </si>
  <si>
    <t>345.00 руб.</t>
  </si>
  <si>
    <t>VLC-1412214</t>
  </si>
  <si>
    <t>VTi.907.I.002205</t>
  </si>
  <si>
    <t>Вставка резьбовая нерж. сталь с вн.р. 22х3/4"</t>
  </si>
  <si>
    <t>VLC-1412215</t>
  </si>
  <si>
    <t>VTi.907.I.002805</t>
  </si>
  <si>
    <t>Вставка резьбовая нерж. сталь с вн.р. 28х3/4"</t>
  </si>
  <si>
    <t>557.00 руб.</t>
  </si>
  <si>
    <t>VLC-1412216</t>
  </si>
  <si>
    <t>VTi.907.I.002806</t>
  </si>
  <si>
    <t>Вставка резьбовая нерж. сталь с вн.р. 28х1"</t>
  </si>
  <si>
    <t>862.00 руб.</t>
  </si>
  <si>
    <t>VLC-1412217</t>
  </si>
  <si>
    <t>VTi.907.I.003507</t>
  </si>
  <si>
    <t>Вставка резьбовая нерж. сталь с вн.р. 35х1 1/4"</t>
  </si>
  <si>
    <t>943.00 руб.</t>
  </si>
  <si>
    <t>VLC-1412218</t>
  </si>
  <si>
    <t>VTi.907.I.004208</t>
  </si>
  <si>
    <t>Вставка резьбовая нерж. сталь с вн.р. 42х1 1/2"</t>
  </si>
  <si>
    <t>1 288.00 руб.</t>
  </si>
  <si>
    <t>VLC-1412219</t>
  </si>
  <si>
    <t>VTi.907.I.005409</t>
  </si>
  <si>
    <t>Вставка резьбовая нерж. сталь с вн.р. 54х2"</t>
  </si>
  <si>
    <t>1 713.00 руб.</t>
  </si>
  <si>
    <t>VLC-900342</t>
  </si>
  <si>
    <t>VTi.901.I.001505</t>
  </si>
  <si>
    <t>Соединитель нерж. сталь с нар.р. 15х3/4"</t>
  </si>
  <si>
    <t>512.00 руб.</t>
  </si>
  <si>
    <t>VLC-900343</t>
  </si>
  <si>
    <t>VTi.901.I.002206</t>
  </si>
  <si>
    <t>Соединитель нерж. сталь с нар.р. 22х1"</t>
  </si>
  <si>
    <t>731.00 руб.</t>
  </si>
  <si>
    <t>VLC-900344</t>
  </si>
  <si>
    <t>VTi.906.I.001505</t>
  </si>
  <si>
    <t>Вставка резьбовая нерж. сталь с нар.р. 15х3/4"</t>
  </si>
  <si>
    <t>481.00 руб.</t>
  </si>
  <si>
    <t>VLC-900345</t>
  </si>
  <si>
    <t>VTi.931.I.282822</t>
  </si>
  <si>
    <t>Тройник нерж. сталь 28х28х22</t>
  </si>
  <si>
    <t>VLC-900346</t>
  </si>
  <si>
    <t>VTi.931.I.282222</t>
  </si>
  <si>
    <t>Тройник нерж. сталь 28х22х22</t>
  </si>
  <si>
    <t>769.00 руб.</t>
  </si>
  <si>
    <t>VLC-900347</t>
  </si>
  <si>
    <t>VTi.932.I.350435</t>
  </si>
  <si>
    <t>Тройник с вн.р. нерж. сталь 35х1/2"</t>
  </si>
  <si>
    <t>1 216.00 руб.</t>
  </si>
  <si>
    <t>VLC-900348</t>
  </si>
  <si>
    <t>VTi.932.I.420442</t>
  </si>
  <si>
    <t>Тройник с вн.р. нерж. сталь 42х1/2"</t>
  </si>
  <si>
    <t>1 310.00 руб.</t>
  </si>
  <si>
    <t>VLC-900349</t>
  </si>
  <si>
    <t>VTi.932.I.420642</t>
  </si>
  <si>
    <t>Тройник с вн.р. нерж. сталь 42х1"</t>
  </si>
  <si>
    <t>1 491.00 руб.</t>
  </si>
  <si>
    <t>VLC-900350</t>
  </si>
  <si>
    <t>VTi.932.I.420742</t>
  </si>
  <si>
    <t>Тройник с вн.р. нерж. сталь 42х1 1/4"</t>
  </si>
  <si>
    <t>1 716.00 руб.</t>
  </si>
  <si>
    <t>VLC-900351</t>
  </si>
  <si>
    <t>VTi.932.I.540454</t>
  </si>
  <si>
    <t>Тройник с вн.р. нерж. сталь 54х1/2"</t>
  </si>
  <si>
    <t>1 902.00 руб.</t>
  </si>
  <si>
    <t>VLC-900352</t>
  </si>
  <si>
    <t>VTi.932.I.540654</t>
  </si>
  <si>
    <t>Тройник с вн.р. нерж. сталь 54х1"</t>
  </si>
  <si>
    <t>1 619.00 руб.</t>
  </si>
  <si>
    <t>VLC-900353</t>
  </si>
  <si>
    <t>VTi.932.I.540754</t>
  </si>
  <si>
    <t>Тройник с вн.р. нерж. сталь 54х1 1/4"</t>
  </si>
  <si>
    <t>2 440.00 руб.</t>
  </si>
  <si>
    <t>VLC-900354</t>
  </si>
  <si>
    <t>VTi.933.I.540654</t>
  </si>
  <si>
    <t>Тройник с нар.р. нерж. сталь 54х1"</t>
  </si>
  <si>
    <t>1 816.00 руб.</t>
  </si>
  <si>
    <t>VLC-900355</t>
  </si>
  <si>
    <t>VTi.933.I.540754</t>
  </si>
  <si>
    <t>Тройник с нар.р. нерж. сталь 54х1 1/4"</t>
  </si>
  <si>
    <t>2 062.00 руб.</t>
  </si>
  <si>
    <t>VLC-900356</t>
  </si>
  <si>
    <t>VTi.955.I.152828</t>
  </si>
  <si>
    <t>Отвод безраструбный 15° нар.-нар. нерж. сталь 28ах28а</t>
  </si>
  <si>
    <t>940.00 руб.</t>
  </si>
  <si>
    <t>VLC-900357</t>
  </si>
  <si>
    <t>VTi.955.I.302828</t>
  </si>
  <si>
    <t>Отвод безраструбный 30° нар.-нар. нерж. сталь 28ах28а</t>
  </si>
  <si>
    <t>895.00 руб.</t>
  </si>
  <si>
    <t>VLC-900358</t>
  </si>
  <si>
    <t>VTi.955.I.452828</t>
  </si>
  <si>
    <t>Отвод безраструбный 45° нар.-нар. нерж. сталь 28ах28а</t>
  </si>
  <si>
    <t>876.00 руб.</t>
  </si>
  <si>
    <t>VLC-900359</t>
  </si>
  <si>
    <t>VLC-900360</t>
  </si>
  <si>
    <t>VTi.961.I.000015</t>
  </si>
  <si>
    <t>Заглушка нерж. сталь 15</t>
  </si>
  <si>
    <t>188.00 руб.</t>
  </si>
  <si>
    <t>VLC-900361</t>
  </si>
  <si>
    <t>VTi.961.I.000018</t>
  </si>
  <si>
    <t>Заглушка нерж. сталь 18</t>
  </si>
  <si>
    <t>212.00 руб.</t>
  </si>
  <si>
    <t>VLC-900362</t>
  </si>
  <si>
    <t>VTi.961.I.000022</t>
  </si>
  <si>
    <t>Заглушка нерж. сталь 22</t>
  </si>
  <si>
    <t>VLC-900363</t>
  </si>
  <si>
    <t>VTi.961.I.000028</t>
  </si>
  <si>
    <t>Заглушка нерж. сталь 28</t>
  </si>
  <si>
    <t>365.00 руб.</t>
  </si>
  <si>
    <t>VLC-900364</t>
  </si>
  <si>
    <t>VTi.961.I.000035</t>
  </si>
  <si>
    <t>Заглушка нерж. сталь 35</t>
  </si>
  <si>
    <t>VLC-900365</t>
  </si>
  <si>
    <t>VTi.961.I.000042</t>
  </si>
  <si>
    <t>Заглушка нерж. сталь 42</t>
  </si>
  <si>
    <t>540.00 руб.</t>
  </si>
  <si>
    <t>VLC-900366</t>
  </si>
  <si>
    <t>VTi.961.I.000054</t>
  </si>
  <si>
    <t>Заглушка нерж. сталь 54</t>
  </si>
  <si>
    <t>690.00 руб.</t>
  </si>
  <si>
    <t>VLC-999085</t>
  </si>
  <si>
    <t>VTi.906.I.001806</t>
  </si>
  <si>
    <t>Вставка резьбовая нерж. сталь с нар.р. 18х1"</t>
  </si>
  <si>
    <t>667.00 руб.</t>
  </si>
  <si>
    <t>VLC-999086</t>
  </si>
  <si>
    <t>VTi.906.I.002206</t>
  </si>
  <si>
    <t>Вставка резьбовая нерж. сталь с нар.р. 22х1"</t>
  </si>
  <si>
    <t>640.00 руб.</t>
  </si>
  <si>
    <t>VLC-999087</t>
  </si>
  <si>
    <t>VTi.907.I.001505</t>
  </si>
  <si>
    <t>Вставка резьбовая нерж. сталь с вн.р. 15х3/4"</t>
  </si>
  <si>
    <t>444.00 руб.</t>
  </si>
  <si>
    <t>VLC-999088</t>
  </si>
  <si>
    <t>VTi.907.I.001806</t>
  </si>
  <si>
    <t>Вставка резьбовая нерж. сталь с вн.р. 18х1"</t>
  </si>
  <si>
    <t>650.00 руб.</t>
  </si>
  <si>
    <t>VLC-999089</t>
  </si>
  <si>
    <t>VTi.907.I.002206</t>
  </si>
  <si>
    <t>Вставка резьбовая нерж. сталь с вн.р. 22х1"</t>
  </si>
  <si>
    <t>VLC-999090</t>
  </si>
  <si>
    <t>VTi.933.I.420642</t>
  </si>
  <si>
    <t>Тройник с нар.р. нерж. сталь 42х1"</t>
  </si>
  <si>
    <t>1 462.00 руб.</t>
  </si>
  <si>
    <t>VLC-999091</t>
  </si>
  <si>
    <t>VTi.933.I.420742</t>
  </si>
  <si>
    <t>Тройник с нар.р. нерж. сталь 42х1 1/4"</t>
  </si>
  <si>
    <t>1 782.00 руб.</t>
  </si>
  <si>
    <t>VLC-999092</t>
  </si>
  <si>
    <t>VTi.954.DI.150415</t>
  </si>
  <si>
    <t>Водорозетка проходная нерж. сталь 15х1/2"</t>
  </si>
  <si>
    <t>1 055.00 руб.</t>
  </si>
  <si>
    <t>VLC-999093</t>
  </si>
  <si>
    <t>VTi.971.I.002828</t>
  </si>
  <si>
    <t>Обвод, вн.-вн. нерж. сталь 28х28</t>
  </si>
  <si>
    <t>VLC-999094</t>
  </si>
  <si>
    <t>VTi.990.I.000018</t>
  </si>
  <si>
    <t>Уплотнительное кольцо 18 FPM (Viton)</t>
  </si>
  <si>
    <t>21.00 руб.</t>
  </si>
  <si>
    <t>VLC-999095</t>
  </si>
  <si>
    <t>VTi.990.I.000042</t>
  </si>
  <si>
    <t>Уплотнительное кольцо 42 FPM (Viton)</t>
  </si>
  <si>
    <t>49.00 руб.</t>
  </si>
  <si>
    <t>VLC-999096</t>
  </si>
  <si>
    <t>VTi.990.I.000054</t>
  </si>
  <si>
    <t>Уплотнительное кольцо 54 FPM (Viton)</t>
  </si>
  <si>
    <t>56.00 руб.</t>
  </si>
  <si>
    <t>Фитинги VIEIR для гофрированных труб из нержавеюще</t>
  </si>
  <si>
    <t>SNT-220001</t>
  </si>
  <si>
    <t>VPM153</t>
  </si>
  <si>
    <t>муфта VR (нар рез) 15*1/2 (10/210шт)</t>
  </si>
  <si>
    <t>185.94 руб.</t>
  </si>
  <si>
    <t>SNT-220002</t>
  </si>
  <si>
    <t>VPM203</t>
  </si>
  <si>
    <t>муфта VR (нар рез) 20*1/2 (10/130шт)</t>
  </si>
  <si>
    <t>297.50 руб.</t>
  </si>
  <si>
    <t>SNT-220003</t>
  </si>
  <si>
    <t>VPM204</t>
  </si>
  <si>
    <t>муфта VR (нар рез) 20*3/4 (10/120шт)</t>
  </si>
  <si>
    <t>SNT-220004</t>
  </si>
  <si>
    <t>VPM255</t>
  </si>
  <si>
    <t>муфта VR (нар рез) 25*1 (10/80шт)</t>
  </si>
  <si>
    <t>455.18 руб.</t>
  </si>
  <si>
    <t>SNT-220005</t>
  </si>
  <si>
    <t>VPF153</t>
  </si>
  <si>
    <t>муфта VR (вн рез) 15*1/2 (10/210шт)</t>
  </si>
  <si>
    <t>212.71 руб.</t>
  </si>
  <si>
    <t>SNT-220006</t>
  </si>
  <si>
    <t>VPF203</t>
  </si>
  <si>
    <t>муфта VR (вн рез) 20*1/2 (10/130шт)</t>
  </si>
  <si>
    <t>342.13 руб.</t>
  </si>
  <si>
    <t>SNT-220007</t>
  </si>
  <si>
    <t>VPF204</t>
  </si>
  <si>
    <t>муфта VR (вн рез) 20*3/4 (10/120шт)</t>
  </si>
  <si>
    <t>334.69 руб.</t>
  </si>
  <si>
    <t>SNT-220008</t>
  </si>
  <si>
    <t>VPF255</t>
  </si>
  <si>
    <t>муфта VR (вн рез) 25*1 (10/80шт)</t>
  </si>
  <si>
    <t>478.98 руб.</t>
  </si>
  <si>
    <t>SNT-220009</t>
  </si>
  <si>
    <t>VPM154</t>
  </si>
  <si>
    <t>муфта VR (нар рез) 15*3/4 (10/160шт)</t>
  </si>
  <si>
    <t>287.09 руб.</t>
  </si>
  <si>
    <t>SNT-220010</t>
  </si>
  <si>
    <t>VPM326</t>
  </si>
  <si>
    <t>муфта VR (нар рез) 32*11/4 (10/60шт)</t>
  </si>
  <si>
    <t>737.80 руб.</t>
  </si>
  <si>
    <t>SNT-220011</t>
  </si>
  <si>
    <t>VPF154</t>
  </si>
  <si>
    <t>муфта VR (вн рез) 15*3/4 (10/160шт)</t>
  </si>
  <si>
    <t>SNT-220012</t>
  </si>
  <si>
    <t>VPF326</t>
  </si>
  <si>
    <t>муфта VR (вн рез) 32*11/4 (10/60шт)</t>
  </si>
  <si>
    <t>688.71 руб.</t>
  </si>
  <si>
    <t>SNT-220013</t>
  </si>
  <si>
    <t>VP1515</t>
  </si>
  <si>
    <t>муфта VR 15х15 (10/180шт)</t>
  </si>
  <si>
    <t>279.65 руб.</t>
  </si>
  <si>
    <t>SNT-220014</t>
  </si>
  <si>
    <t>VP2020</t>
  </si>
  <si>
    <t>муфта VR 20х20 (10/90шт)</t>
  </si>
  <si>
    <t>449.23 руб.</t>
  </si>
  <si>
    <t>SNT-220015</t>
  </si>
  <si>
    <t>VP2525</t>
  </si>
  <si>
    <t>муфта VR 25х25 (10/60шт)</t>
  </si>
  <si>
    <t>648.55 руб.</t>
  </si>
  <si>
    <t>SNT-220016</t>
  </si>
  <si>
    <t>VP3232</t>
  </si>
  <si>
    <t>муфта VR 32х32 (10/30шт)</t>
  </si>
  <si>
    <t>998.11 руб.</t>
  </si>
  <si>
    <t>SNT-220017</t>
  </si>
  <si>
    <t>VP2015</t>
  </si>
  <si>
    <t>муфта VR 20х15 (10/100шт)</t>
  </si>
  <si>
    <t>397.16 руб.</t>
  </si>
  <si>
    <t>SNT-220018</t>
  </si>
  <si>
    <t>VP2515</t>
  </si>
  <si>
    <t>муфта VR 25х15 (10/90шт)</t>
  </si>
  <si>
    <t>522.11 руб.</t>
  </si>
  <si>
    <t>SNT-220019</t>
  </si>
  <si>
    <t>VP2520</t>
  </si>
  <si>
    <t>муфта VR 25х20 (10/70шт)</t>
  </si>
  <si>
    <t>578.64 руб.</t>
  </si>
  <si>
    <t>SNT-220020</t>
  </si>
  <si>
    <t>VPL153</t>
  </si>
  <si>
    <t>Уголок с креплением 15X1/2"F VR(10/90шт)</t>
  </si>
  <si>
    <t>355.51 руб.</t>
  </si>
  <si>
    <t>SNT-220021</t>
  </si>
  <si>
    <t>VPL204</t>
  </si>
  <si>
    <t>Уголок  с креплением 20X3/4"F VR (10/60шт)</t>
  </si>
  <si>
    <t>516.16 руб.</t>
  </si>
  <si>
    <t>SNT-220022</t>
  </si>
  <si>
    <t>VPR153</t>
  </si>
  <si>
    <t>Уголок 15X1/2"F VR(10/160шт)</t>
  </si>
  <si>
    <t>263.29 руб.</t>
  </si>
  <si>
    <t>SNT-220023</t>
  </si>
  <si>
    <t>VPR204</t>
  </si>
  <si>
    <t>Уголок 20X3/4"F VR(10/70шт)</t>
  </si>
  <si>
    <t>420.96 руб.</t>
  </si>
  <si>
    <t>SNT-220024</t>
  </si>
  <si>
    <t>VPR255</t>
  </si>
  <si>
    <t>Уголок 25X1"F "VER-PRO" (10/45шт)</t>
  </si>
  <si>
    <t>693.18 руб.</t>
  </si>
  <si>
    <t>SNT-220025</t>
  </si>
  <si>
    <t>VPM15315</t>
  </si>
  <si>
    <t>Тройник 15X1/2MX15 VR (10/100шт)</t>
  </si>
  <si>
    <t>431.38 руб.</t>
  </si>
  <si>
    <t>SNT-220026</t>
  </si>
  <si>
    <t>VPF15315</t>
  </si>
  <si>
    <t>Тройник 15X1/2FX15 VR(10/80шт)</t>
  </si>
  <si>
    <t>404.60 руб.</t>
  </si>
  <si>
    <t>SNT-220027</t>
  </si>
  <si>
    <t>VPF20420</t>
  </si>
  <si>
    <t>Тройник 20X3/4FX20 VR(10/60шт)</t>
  </si>
  <si>
    <t>611.36 руб.</t>
  </si>
  <si>
    <t>SNT-220028</t>
  </si>
  <si>
    <t>VPF25525</t>
  </si>
  <si>
    <t>Тройник 25X1FX25 VR (10/30шт)</t>
  </si>
  <si>
    <t>1 029.35 руб.</t>
  </si>
  <si>
    <t>SNT-220029</t>
  </si>
  <si>
    <t>VPF32632</t>
  </si>
  <si>
    <t>Тройник 32X11/4FX32 VR (10/30шт)</t>
  </si>
  <si>
    <t>1 512.79 руб.</t>
  </si>
  <si>
    <t>SNT-220030</t>
  </si>
  <si>
    <t>VPF20320</t>
  </si>
  <si>
    <t>Тройник 20X1/2FX20 VR(10/30шт)</t>
  </si>
  <si>
    <t>620.29 руб.</t>
  </si>
  <si>
    <t>SNT-220031</t>
  </si>
  <si>
    <t>VPF25325</t>
  </si>
  <si>
    <t>Тройник 25X1/2FX25 VR(10/30шт)</t>
  </si>
  <si>
    <t>990.68 руб.</t>
  </si>
  <si>
    <t>SNT-220032</t>
  </si>
  <si>
    <t>VPF25425</t>
  </si>
  <si>
    <t>Тройник 25X3/4FX25 VR(10/30шт)</t>
  </si>
  <si>
    <t>1 065.05 руб.</t>
  </si>
  <si>
    <t>SNT-220033</t>
  </si>
  <si>
    <t>VP151515</t>
  </si>
  <si>
    <t>Тройник 15X15X15 VR(10/80шт)</t>
  </si>
  <si>
    <t>462.61 руб.</t>
  </si>
  <si>
    <t>SNT-220034</t>
  </si>
  <si>
    <t>VP202020</t>
  </si>
  <si>
    <t>Тройник 20X20X20 VR(10/60шт)</t>
  </si>
  <si>
    <t>777.96 руб.</t>
  </si>
  <si>
    <t>SNT-220035</t>
  </si>
  <si>
    <t>VP252525</t>
  </si>
  <si>
    <t>Тройник 25X25X25 VR(10/30шт)</t>
  </si>
  <si>
    <t>1 188.51 руб.</t>
  </si>
  <si>
    <t>SNT-220036</t>
  </si>
  <si>
    <t>VP201520</t>
  </si>
  <si>
    <t>Тройник 20X15X20 VR(10/60шт)</t>
  </si>
  <si>
    <t>679.79 руб.</t>
  </si>
  <si>
    <t>Фитинги VIEIR пресс из нержавеющей стали</t>
  </si>
  <si>
    <t>SNT-140015</t>
  </si>
  <si>
    <t>VPG4215-4</t>
  </si>
  <si>
    <t>Труба из нержавеющей стали 42x1.5 (4м) "VER-PRO"   (8м/2шт)</t>
  </si>
  <si>
    <t>1 256.94 руб.</t>
  </si>
  <si>
    <t>SNT-140016</t>
  </si>
  <si>
    <t>VPG5415-4</t>
  </si>
  <si>
    <t>Труба из нержавеющей стали 54x1.5 (4м) "VER-PRO"   (8м/2шт)</t>
  </si>
  <si>
    <t>1 555.93 руб.</t>
  </si>
  <si>
    <t>SNT-240001</t>
  </si>
  <si>
    <t>VPSF153</t>
  </si>
  <si>
    <t>Соединитель из нерж. стали  15×1/2" внутр. резьба "VER-PRO"   (100/5шт)</t>
  </si>
  <si>
    <t>197.84 руб.</t>
  </si>
  <si>
    <t>SNT-240002</t>
  </si>
  <si>
    <t>VPSF223</t>
  </si>
  <si>
    <t>Соединитель из нерж. стали  22×1/2" внутр. резьба "VER-PRO"   (70/5шт)</t>
  </si>
  <si>
    <t>224.61 руб.</t>
  </si>
  <si>
    <t>SNT-240003</t>
  </si>
  <si>
    <t>VPSF224</t>
  </si>
  <si>
    <t>Соединитель из нерж. стали  22×3/4" внутр. резьба "VER-PRO"   (60/5шт)</t>
  </si>
  <si>
    <t>257.34 руб.</t>
  </si>
  <si>
    <t>SNT-240004</t>
  </si>
  <si>
    <t>VPSF284</t>
  </si>
  <si>
    <t>Соединитель из нерж. стали  28×3/4" внутр. резьба "VER-PRO"   (50/5шт)</t>
  </si>
  <si>
    <t>322.79 руб.</t>
  </si>
  <si>
    <t>SNT-240005</t>
  </si>
  <si>
    <t>VPSF285</t>
  </si>
  <si>
    <t>Соединитель из нерж. стали  28×1" внутр. резьба  "VER-PRO"   (50/5шт)</t>
  </si>
  <si>
    <t>386.75 руб.</t>
  </si>
  <si>
    <t>SNT-240006</t>
  </si>
  <si>
    <t>VPSF355</t>
  </si>
  <si>
    <t>Соединитель из нерж. стали  35×1"  внутр. резьба "VER-PRO"   (35/5шт)</t>
  </si>
  <si>
    <t>526.58 руб.</t>
  </si>
  <si>
    <t>SNT-240007</t>
  </si>
  <si>
    <t>VPSF356</t>
  </si>
  <si>
    <t>Соединитель из нерж. стали  35×11/4" внутр. резьба  "VER-PRO"   (24/3шт)</t>
  </si>
  <si>
    <t>517.65 руб.</t>
  </si>
  <si>
    <t>SNT-240008</t>
  </si>
  <si>
    <t>VPSM153</t>
  </si>
  <si>
    <t>Соединитель из нерж. стали  15×1/2" нар. резьба "VER-PRO"   (100/5шт)</t>
  </si>
  <si>
    <t>SNT-240009</t>
  </si>
  <si>
    <t>VPSM223</t>
  </si>
  <si>
    <t>Соединитель из нерж. стали  22×1/2" нар. резьба  "VER-PRO"   (70/5шт)</t>
  </si>
  <si>
    <t>226.10 руб.</t>
  </si>
  <si>
    <t>SNT-240010</t>
  </si>
  <si>
    <t>VPSM224</t>
  </si>
  <si>
    <t>Соединитель из нерж. стали  22×3/4" нар. резьба  "VER-PRO"   (60/5шт)</t>
  </si>
  <si>
    <t>266.26 руб.</t>
  </si>
  <si>
    <t>SNT-240011</t>
  </si>
  <si>
    <t>VPSM284</t>
  </si>
  <si>
    <t>Соединитель из нерж. стали  28×3/4" нар. резьба  "VER-PRO"   (50/5шт)</t>
  </si>
  <si>
    <t>SNT-240012</t>
  </si>
  <si>
    <t>VPSM285</t>
  </si>
  <si>
    <t>Соединитель из нерж. стали  28×1" нар. резьба  "VER-PRO"   (50/5шт)</t>
  </si>
  <si>
    <t>SNT-240013</t>
  </si>
  <si>
    <t>VPSM355</t>
  </si>
  <si>
    <t>Соединитель из нерж. стали  35×1" нар. резьба  "VER-PRO"   (35/5шт)</t>
  </si>
  <si>
    <t>514.68 руб.</t>
  </si>
  <si>
    <t>SNT-240014</t>
  </si>
  <si>
    <t>VPSM356</t>
  </si>
  <si>
    <t>Соединитель из нерж. стали  35×11/4" нар. резьба  "VER-PRO"   (24/3шт)</t>
  </si>
  <si>
    <t>563.76 руб.</t>
  </si>
  <si>
    <t>SNT-240015</t>
  </si>
  <si>
    <t>VPS1515</t>
  </si>
  <si>
    <t>Муфта из нержавеющей стали 15×15  "VER-PRO"   (100/5шт)</t>
  </si>
  <si>
    <t>81.81 руб.</t>
  </si>
  <si>
    <t>SNT-240016</t>
  </si>
  <si>
    <t>VPS2222</t>
  </si>
  <si>
    <t>Муфта из нержавеющей стали 22×22  "VER-PRO"   (60/5шт)</t>
  </si>
  <si>
    <t>127.93 руб.</t>
  </si>
  <si>
    <t>SNT-240017</t>
  </si>
  <si>
    <t>VPS2828</t>
  </si>
  <si>
    <t>Муфта из нержавеющей стали 28×28  "VER-PRO"   (40/4шт)</t>
  </si>
  <si>
    <t>165.11 руб.</t>
  </si>
  <si>
    <t>SNT-240018</t>
  </si>
  <si>
    <t>VPS3535</t>
  </si>
  <si>
    <t>Муфта из нержавеющей стали 35×35  "VER-PRO"   (30/3шт)</t>
  </si>
  <si>
    <t>236.51 руб.</t>
  </si>
  <si>
    <t>SNT-240019</t>
  </si>
  <si>
    <t>VPS2215</t>
  </si>
  <si>
    <t>Вставка переходная  из нержавеющей стали  22а×15  "VER-PRO"   (100/5шт)</t>
  </si>
  <si>
    <t>177.01 руб.</t>
  </si>
  <si>
    <t>SNT-240020</t>
  </si>
  <si>
    <t>VPS2822</t>
  </si>
  <si>
    <t>Вставка переходная  из нержавеющей стали  28а×22  "VER-PRO"   (50/5шт)</t>
  </si>
  <si>
    <t>SNT-240021</t>
  </si>
  <si>
    <t>VPS3528</t>
  </si>
  <si>
    <t>Вставка переходная  из нержавеющей стали  35а×28  "VER-PRO"   (33/3шт)</t>
  </si>
  <si>
    <t>233.54 руб.</t>
  </si>
  <si>
    <t>SNT-240022</t>
  </si>
  <si>
    <t>VPSC153</t>
  </si>
  <si>
    <t>Соединитель с накидной гайкой из нержавеющей стали 15×1/2"  "VER-PRO"   (100/5шт)</t>
  </si>
  <si>
    <t>261.80 руб.</t>
  </si>
  <si>
    <t>SNT-240023</t>
  </si>
  <si>
    <t>VPSC154</t>
  </si>
  <si>
    <t>Соединитель с накидной гайкой из нержавеющей стали 15×3/4"  "VER-PRO"   (80/5шт)</t>
  </si>
  <si>
    <t>SNT-240024</t>
  </si>
  <si>
    <t>VPSC224</t>
  </si>
  <si>
    <t>Соединитель с накидной гайкой из нержавеющей стали 22×3/4"  "VER-PRO"   (65/5шт)</t>
  </si>
  <si>
    <t>359.98 руб.</t>
  </si>
  <si>
    <t>SNT-240025</t>
  </si>
  <si>
    <t>VPSC285</t>
  </si>
  <si>
    <t>Соединитель с накидной гайкой из нержавеющей стали 28×1"  "VER-PRO"   (50/5шт)</t>
  </si>
  <si>
    <t>490.88 руб.</t>
  </si>
  <si>
    <t>SNT-240026</t>
  </si>
  <si>
    <t>VPSC356</t>
  </si>
  <si>
    <t>Соединитель с накидной гайкой из нержавеющей стали 35×11/4"  "VER-PRO"   (32/4шт)</t>
  </si>
  <si>
    <t>587.56 руб.</t>
  </si>
  <si>
    <t>SNT-240027</t>
  </si>
  <si>
    <t>VPTF15315</t>
  </si>
  <si>
    <t>Тройник из нерж. стали   15×1/2"×15  внутр. резьба "VER-PRO" (60/5шт)</t>
  </si>
  <si>
    <t>278.16 руб.</t>
  </si>
  <si>
    <t>SNT-240028</t>
  </si>
  <si>
    <t>VPTF22322</t>
  </si>
  <si>
    <t>Тройник из нерж. стали   22×1/2"×22 внутр. резьба "VER-PRO" (40/4шт)</t>
  </si>
  <si>
    <t>354.03 руб.</t>
  </si>
  <si>
    <t>SNT-240029</t>
  </si>
  <si>
    <t>VPTF22422</t>
  </si>
  <si>
    <t>Тройник из нерж. стали   22×3/4"×22 внутр. резьба "VER-PRO" (28/4шт)</t>
  </si>
  <si>
    <t>426.91 руб.</t>
  </si>
  <si>
    <t>SNT-240030</t>
  </si>
  <si>
    <t>VPTF28328</t>
  </si>
  <si>
    <t>Тройник из нерж. стали   28×1/2"×28 внутр. резьба "VER-PRO" (27/3шт)</t>
  </si>
  <si>
    <t>415.01 руб.</t>
  </si>
  <si>
    <t>SNT-240031</t>
  </si>
  <si>
    <t>VPTF28428</t>
  </si>
  <si>
    <t>Тройник из нерж. стали   28×3/4"×28 внутр. резьба "VER-PRO"(20/2шт)</t>
  </si>
  <si>
    <t>0.00 руб.</t>
  </si>
  <si>
    <t>SNT-240032</t>
  </si>
  <si>
    <t>VPTF28528</t>
  </si>
  <si>
    <t>Тройник из нерж. стали   28×1"×28  внутр. резьба "VER-PRO"(20/2шт)</t>
  </si>
  <si>
    <t>SNT-240033</t>
  </si>
  <si>
    <t>VPTM15315</t>
  </si>
  <si>
    <t>Тройник из нерж. стали   15×1/2"×15 нар. резьба "VER-PRO" (60/5шт)</t>
  </si>
  <si>
    <t>269.24 руб.</t>
  </si>
  <si>
    <t>SNT-240034</t>
  </si>
  <si>
    <t>VPTM22322</t>
  </si>
  <si>
    <t>Тройник из нерж. стали   22×1/2"×22 нар. резьба "VER-PRO" (40/4шт)</t>
  </si>
  <si>
    <t>401.63 руб.</t>
  </si>
  <si>
    <t>SNT-240035</t>
  </si>
  <si>
    <t>VPTM22422</t>
  </si>
  <si>
    <t>Тройник из нерж. стали   22×3/4"×22 нар. резьба "VER-PRO" (28/4шт)</t>
  </si>
  <si>
    <t>SNT-240036</t>
  </si>
  <si>
    <t>VPTM28328</t>
  </si>
  <si>
    <t>Тройник из нерж. стали   28×1/2"×28 нар. резьба "VER-PRO" (27/3шт)</t>
  </si>
  <si>
    <t>SNT-240037</t>
  </si>
  <si>
    <t>VPTM28428</t>
  </si>
  <si>
    <t>Тройник из нерж. стали   28×3/4"×28 нар. резьба "VER-PRO"(20/2шт)</t>
  </si>
  <si>
    <t>502.78 руб.</t>
  </si>
  <si>
    <t>SNT-240038</t>
  </si>
  <si>
    <t>VPTM28528</t>
  </si>
  <si>
    <t>Тройник из нерж. стали   28×1"×28 нар. резьба "VER-PRO"(20/2шт)</t>
  </si>
  <si>
    <t>529.55 руб.</t>
  </si>
  <si>
    <t>SNT-240039</t>
  </si>
  <si>
    <t>VPT151515</t>
  </si>
  <si>
    <t>Тройник из нержавеющей стали 15×15×15  "VER-PRO" (50/5шт)</t>
  </si>
  <si>
    <t>181.48 руб.</t>
  </si>
  <si>
    <t>SNT-240040</t>
  </si>
  <si>
    <t>VPT222222</t>
  </si>
  <si>
    <t>Тройник из нержавеющей стали 22×22×22  "VER-PRO" (40/4шт)</t>
  </si>
  <si>
    <t>251.39 руб.</t>
  </si>
  <si>
    <t>SNT-240041</t>
  </si>
  <si>
    <t>VPT282828</t>
  </si>
  <si>
    <t>Тройник из нержавеющей стали 28×28×28  "VER-PRO" (24/4шт)</t>
  </si>
  <si>
    <t>331.71 руб.</t>
  </si>
  <si>
    <t>SNT-240042</t>
  </si>
  <si>
    <t>VPT221522</t>
  </si>
  <si>
    <t>Тройник из нержавеющей стали 22×15×22  "VER-PRO" (40/4шт)</t>
  </si>
  <si>
    <t>238.00 руб.</t>
  </si>
  <si>
    <t>SNT-240043</t>
  </si>
  <si>
    <t>VPT281528</t>
  </si>
  <si>
    <t>Тройник из нержавеющей стали 28×15×28  "VER-PRO" (28/4шт)</t>
  </si>
  <si>
    <t>SNT-240044</t>
  </si>
  <si>
    <t>VPT282228</t>
  </si>
  <si>
    <t>Тройник из нержавеющей стали 28×22×28  "VER-PRO" (24/3шт)</t>
  </si>
  <si>
    <t>330.23 руб.</t>
  </si>
  <si>
    <t>SNT-240045</t>
  </si>
  <si>
    <t>VPT352835</t>
  </si>
  <si>
    <t>Тройник из нержавеющей стали 35×28×35  "VER-PRO" (16/2шт)</t>
  </si>
  <si>
    <t>471.54 руб.</t>
  </si>
  <si>
    <t>SNT-240046</t>
  </si>
  <si>
    <t>VPCL1515</t>
  </si>
  <si>
    <t>Уголок 45° вн-вн из нержавеющей стали  15×15  "VER-PRO" (100/5шт)</t>
  </si>
  <si>
    <t>108.59 руб.</t>
  </si>
  <si>
    <t>SNT-240047</t>
  </si>
  <si>
    <t>VPCL2222</t>
  </si>
  <si>
    <t>Уголок 45° вн-вн из нержавеющей стали  22×22  "VER-PRO" (50/5шт)</t>
  </si>
  <si>
    <t>196.35 руб.</t>
  </si>
  <si>
    <t>SNT-240048</t>
  </si>
  <si>
    <t>VPCL2828</t>
  </si>
  <si>
    <t>Уголок 45° вн-вн из нержавеющей стали  28×28  "VER-PRO" (32/4шт)</t>
  </si>
  <si>
    <t>SNT-240049</t>
  </si>
  <si>
    <t>VPCL3535</t>
  </si>
  <si>
    <t>Уголок 45° вн-вн из нержавеющей стали  35×35  "VER-PRO" (21/3шт)</t>
  </si>
  <si>
    <t>298.99 руб.</t>
  </si>
  <si>
    <t>SNT-240050</t>
  </si>
  <si>
    <t>VPDL1515</t>
  </si>
  <si>
    <t>Уголок 45° вн-нар из нержавеющей стали  15a×15  "VER-PRO" (80/5шт)</t>
  </si>
  <si>
    <t>133.88 руб.</t>
  </si>
  <si>
    <t>SNT-240051</t>
  </si>
  <si>
    <t>VPDL2222</t>
  </si>
  <si>
    <t>Уголок 45° вн-нар из нержавеющей стали  22а×22  "VER-PRO" (50/5шт)</t>
  </si>
  <si>
    <t>SNT-240052</t>
  </si>
  <si>
    <t>VPDL2828</t>
  </si>
  <si>
    <t>Уголок 45° вн-нар из нержавеющей стали  28а×28  "VER-PRO" (32/4шт)</t>
  </si>
  <si>
    <t>SNT-240053</t>
  </si>
  <si>
    <t>VPDL3535</t>
  </si>
  <si>
    <t>Уголок 45° вн-нар из нержавеющей стали  35а×35  "VER-PRO" (18/2шт)</t>
  </si>
  <si>
    <t>458.15 руб.</t>
  </si>
  <si>
    <t>SNT-240054</t>
  </si>
  <si>
    <t>VPAL1515</t>
  </si>
  <si>
    <t>Уголок 90° вн-вн из нержавеющей стали 15×15  "VER-PRO" (80/5шт)</t>
  </si>
  <si>
    <t>SNT-240055</t>
  </si>
  <si>
    <t>VPAL2222</t>
  </si>
  <si>
    <t>Уголок 90° вн-вн из нержавеющей стали 22×22  "VER-PRO" (40/4шт)</t>
  </si>
  <si>
    <t>SNT-240056</t>
  </si>
  <si>
    <t>VPAL2828</t>
  </si>
  <si>
    <t>Уголок 90° вн-вн из нержавеющей стали 28×28 "VER-PRO" (24/3шт)</t>
  </si>
  <si>
    <t>273.70 руб.</t>
  </si>
  <si>
    <t>SNT-240057</t>
  </si>
  <si>
    <t>VPAL3535</t>
  </si>
  <si>
    <t>Уголок 90° вн-вн из нержавеющей стали 35×35  "VER-PRO" (16/2шт)</t>
  </si>
  <si>
    <t>376.34 руб.</t>
  </si>
  <si>
    <t>SNT-240058</t>
  </si>
  <si>
    <t>VPBL1515</t>
  </si>
  <si>
    <t>Уголок 90° вн-нар из нержавеющей стали 15а×15  "VER-PRO" (100/5шт)</t>
  </si>
  <si>
    <t>130.90 руб.</t>
  </si>
  <si>
    <t>SNT-240059</t>
  </si>
  <si>
    <t>VPBL2222</t>
  </si>
  <si>
    <t>Уголок 90° вн-нар из нержавеющей стали 22а×22  "VER-PRO" (40/4шт)</t>
  </si>
  <si>
    <t>208.25 руб.</t>
  </si>
  <si>
    <t>SNT-240060</t>
  </si>
  <si>
    <t>VPBL2828</t>
  </si>
  <si>
    <t>Уголок 90° вн-нар из нержавеющей стали 28а×28  "VER-PRO" (21/3шт)</t>
  </si>
  <si>
    <t>270.73 руб.</t>
  </si>
  <si>
    <t>SNT-240061</t>
  </si>
  <si>
    <t>VPBL3535</t>
  </si>
  <si>
    <t>Уголок 90° вн-нар из нержавеющей стали 35а×35  "VER-PRO" (16/2шт)</t>
  </si>
  <si>
    <t>SNT-240062</t>
  </si>
  <si>
    <t>VPLF153</t>
  </si>
  <si>
    <t>Уголок 90° из нерж. стали 15×1/2" внутр. резьба "VER-PRO" (60/5шт)</t>
  </si>
  <si>
    <t>SNT-240063</t>
  </si>
  <si>
    <t>VPLF223</t>
  </si>
  <si>
    <t>Уголок 90° из нерж. стали   22×1/2" внутр. резьба "VER-PRO" (60/4шт)</t>
  </si>
  <si>
    <t>SNT-240064</t>
  </si>
  <si>
    <t>VPLF224</t>
  </si>
  <si>
    <t>Уголок 90° из нерж. стали   22×3/4" внутр. резьба "VER-PRO" (50/5шт)</t>
  </si>
  <si>
    <t>452.20 руб.</t>
  </si>
  <si>
    <t>SNT-240065</t>
  </si>
  <si>
    <t>VPLF284</t>
  </si>
  <si>
    <t>Уголок 90° из нерж. стали   28×3/4" внутр. резьба "VER-PRO" (30/3шт)</t>
  </si>
  <si>
    <t>815.15 руб.</t>
  </si>
  <si>
    <t>SNT-240066</t>
  </si>
  <si>
    <t>VPLF285</t>
  </si>
  <si>
    <t>Уголок 90° из нерж. стали   28×1" внутр. резьба "VER-PRO" (30/3шт)</t>
  </si>
  <si>
    <t>830.03 руб.</t>
  </si>
  <si>
    <t>SNT-240067</t>
  </si>
  <si>
    <t>VPLM153</t>
  </si>
  <si>
    <t>Уголок 90° из нерж. стали   15×1/2" нар. резьба "VER-PRO" (80/5шт)</t>
  </si>
  <si>
    <t>362.95 руб.</t>
  </si>
  <si>
    <t>SNT-240068</t>
  </si>
  <si>
    <t>VPLM223</t>
  </si>
  <si>
    <t>Уголок 90° из нерж. стали   22×1/2" нар. резьба "VER-PRO" (60/4шт)</t>
  </si>
  <si>
    <t>539.96 руб.</t>
  </si>
  <si>
    <t>SNT-240069</t>
  </si>
  <si>
    <t>VPLM224</t>
  </si>
  <si>
    <t>Уголок 90° из нерж. стали   22×3/4" нар. резьба "VER-PRO" (48/4шт)</t>
  </si>
  <si>
    <t>SNT-240070</t>
  </si>
  <si>
    <t>VPLM284</t>
  </si>
  <si>
    <t>Уголок 90° из нерж. стали   28×3/4" нар. резьба "VER-PRO" (30/2шт)</t>
  </si>
  <si>
    <t>758.63 руб.</t>
  </si>
  <si>
    <t>SNT-240071</t>
  </si>
  <si>
    <t>VPLM285</t>
  </si>
  <si>
    <t>Уголок 90° из нерж. стали   28×1" нар. резьба "VER-PRO" (30/2шт)</t>
  </si>
  <si>
    <t>760.11 руб.</t>
  </si>
  <si>
    <t>SNT-240072</t>
  </si>
  <si>
    <t>VPLC153</t>
  </si>
  <si>
    <t>Уголок с креплением (водорозетка) из нерж. стали   и креплением 15×1/2"  "VER-PRO" (40/5шт)</t>
  </si>
  <si>
    <t>438.81 руб.</t>
  </si>
  <si>
    <t>SNT-240073</t>
  </si>
  <si>
    <t>VPLC223</t>
  </si>
  <si>
    <t>Уголок с креплением (водорозетка) из нерж. стали   и креплением 22×1/2"  "VER-PRO" (40/5шт)</t>
  </si>
  <si>
    <t>566.74 руб.</t>
  </si>
  <si>
    <t>SNT-240074</t>
  </si>
  <si>
    <t>VPLC224</t>
  </si>
  <si>
    <t>Уголок с креплением (водорозетка) из нерж. стали   и креплением 22×3/4"  "VER-PRO" (30/3шт)</t>
  </si>
  <si>
    <t>574.18 руб.</t>
  </si>
  <si>
    <t>SNT-240078</t>
  </si>
  <si>
    <t>VPSF183</t>
  </si>
  <si>
    <t>Соединитель из нерж. стали  18×1/2" внутр. резьба "VER-PRO"   (100/5шт)</t>
  </si>
  <si>
    <t>218.66 руб.</t>
  </si>
  <si>
    <t>SNT-240079</t>
  </si>
  <si>
    <t>VPSF184</t>
  </si>
  <si>
    <t>Соединитель из нерж. стали  18×3/4" внутр. резьба "VER-PRO"   (60/5шт)</t>
  </si>
  <si>
    <t>254.36 руб.</t>
  </si>
  <si>
    <t>SNT-240080</t>
  </si>
  <si>
    <t>VPSM183</t>
  </si>
  <si>
    <t>Соединитель из нерж. стали  18×1/2" нар. резьба "VER-PRO"   (70/5шт)</t>
  </si>
  <si>
    <t>235.03 руб.</t>
  </si>
  <si>
    <t>SNT-240081</t>
  </si>
  <si>
    <t>VPSM184</t>
  </si>
  <si>
    <t>Соединитель из нерж. стали  18×3/4" нар. резьба "VER-PRO"   (70/5шт)</t>
  </si>
  <si>
    <t>SNT-240082</t>
  </si>
  <si>
    <t>VPS1818</t>
  </si>
  <si>
    <t>Муфта из нержавеющей стали 18×18   VER-PRO    (80/5шт)</t>
  </si>
  <si>
    <t>101.15 руб.</t>
  </si>
  <si>
    <t>SNT-240083</t>
  </si>
  <si>
    <t>VPS1815</t>
  </si>
  <si>
    <t>Вставка переходная  из нержавеющей стали 18а×15   VER-PRO    (80/5шт)</t>
  </si>
  <si>
    <t>147.26 руб.</t>
  </si>
  <si>
    <t>SNT-240084</t>
  </si>
  <si>
    <t>VPSC183</t>
  </si>
  <si>
    <t>Соединитель с накидной гайкой из нержавеющей стали 18×1/2    VER-PRO    (100/5шт)</t>
  </si>
  <si>
    <t>290.06 руб.</t>
  </si>
  <si>
    <t>SNT-240085</t>
  </si>
  <si>
    <t>VPT181518</t>
  </si>
  <si>
    <t>Тройник из нержавеющей стали 18×15×18   VER-PRO  (50/5шт)</t>
  </si>
  <si>
    <t>206.76 руб.</t>
  </si>
  <si>
    <t>SNT-240086</t>
  </si>
  <si>
    <t>VPT181818</t>
  </si>
  <si>
    <t>Тройник из нержавеющей стали 18×18×18   VER-PRO  (50/5шт)</t>
  </si>
  <si>
    <t>SNT-240087</t>
  </si>
  <si>
    <t>VPT353535</t>
  </si>
  <si>
    <t>Тройник из нержавеющей стали 35×35×35   VER-PRO  (16/2шт)</t>
  </si>
  <si>
    <t>474.51 руб.</t>
  </si>
  <si>
    <t>SNT-240088</t>
  </si>
  <si>
    <t>VPT221822</t>
  </si>
  <si>
    <t>Тройник из нержавеющей стали 22×18×22   VER-PRO  (40/4шт)</t>
  </si>
  <si>
    <t>SNT-240090</t>
  </si>
  <si>
    <t>VPT351535</t>
  </si>
  <si>
    <t>Тройник из нержавеющей стали 35×15×35   VER-PRO  (16/2шт)</t>
  </si>
  <si>
    <t>496.83 руб.</t>
  </si>
  <si>
    <t>SNT-240091</t>
  </si>
  <si>
    <t>VPT352235</t>
  </si>
  <si>
    <t>Тройник из нержавеющей стали 35×22×35   VER-PRO  (16/2шт)</t>
  </si>
  <si>
    <t>468.56 руб.</t>
  </si>
  <si>
    <t>SNT-240092</t>
  </si>
  <si>
    <t>VPCL1818</t>
  </si>
  <si>
    <t>Уголок 45° вн-вн из нержавеющей стали 18×18   VER-PRO  (60/5шт)</t>
  </si>
  <si>
    <t>SNT-240093</t>
  </si>
  <si>
    <t>VPDL1818</t>
  </si>
  <si>
    <t>Уголок 45° вн-нар из нержавеющей стали  18a×18  "VER-PRO" (60/5шт)</t>
  </si>
  <si>
    <t>162.14 руб.</t>
  </si>
  <si>
    <t>SNT-240094</t>
  </si>
  <si>
    <t>VPAL1818</t>
  </si>
  <si>
    <t>Уголок 90° вн-вн из нержавеющей стали 18×18    VER-PRO  (60/5шт)</t>
  </si>
  <si>
    <t>129.41 руб.</t>
  </si>
  <si>
    <t>SNT-240095</t>
  </si>
  <si>
    <t>VPBL1818</t>
  </si>
  <si>
    <t>Уголок 90° вн-нар из нержавеющей стали 18а×18  "VER-PRO" (60/5шт)</t>
  </si>
  <si>
    <t>166.60 руб.</t>
  </si>
  <si>
    <t>SNT-240096</t>
  </si>
  <si>
    <t>VPLF183</t>
  </si>
  <si>
    <t>Уголок 90° из нерж. стали 18×1/2" внутр. резьба "VER-PRO" (60/5шт)</t>
  </si>
  <si>
    <t>373.36 руб.</t>
  </si>
  <si>
    <t>SNT-240097</t>
  </si>
  <si>
    <t>VPLM183</t>
  </si>
  <si>
    <t>Уголок 90° из нерж. стали   18×1/2" нар. резьба "VER-PRO" (60/5шт)</t>
  </si>
  <si>
    <t>484.93 руб.</t>
  </si>
  <si>
    <t>SNT-240098</t>
  </si>
  <si>
    <t>VPY15</t>
  </si>
  <si>
    <t>Витоновые (FPM) уплотнительные кольца до 150*С для фитингов из нержавеющей стали 15* (50шт)</t>
  </si>
  <si>
    <t>11.90 руб.</t>
  </si>
  <si>
    <t>SNT-240099</t>
  </si>
  <si>
    <t>VPY22</t>
  </si>
  <si>
    <t>Витоновые (FPM) уплотнительные кольца до 150*С для фитингов из нержавеющей стали 22* (50шт)</t>
  </si>
  <si>
    <t>20.83 руб.</t>
  </si>
  <si>
    <t>SNT-240100</t>
  </si>
  <si>
    <t>VPY28</t>
  </si>
  <si>
    <t>Витоновые (FPM) уплотнительные кольца до 150*С для фитингов из нержавеющей стали 28* (50шт)</t>
  </si>
  <si>
    <t>29.75 руб.</t>
  </si>
  <si>
    <t>SNT-240101</t>
  </si>
  <si>
    <t>VPY35</t>
  </si>
  <si>
    <t>Витоновые (FPM) уплотнительные кольца до 150*С для фитингов из нержавеющей стали 35* (50шт)</t>
  </si>
  <si>
    <t>SNT-240102</t>
  </si>
  <si>
    <t>VPG1515A</t>
  </si>
  <si>
    <t>Обвод двухраструбный из нержавеющей стали 15×15  "VER-PRO" (24/1шт)</t>
  </si>
  <si>
    <t>309.40 руб.</t>
  </si>
  <si>
    <t>SNT-240103</t>
  </si>
  <si>
    <t>VPG1818A</t>
  </si>
  <si>
    <t>Обвод двухраструбный из нержавеющей стали 18×18  "VER-PRO" (20/1шт)</t>
  </si>
  <si>
    <t>361.46 руб.</t>
  </si>
  <si>
    <t>SNT-240104</t>
  </si>
  <si>
    <t>VPG2222A</t>
  </si>
  <si>
    <t>Обвод из нержавеющей стали 22×22  "VER-PRO" (20/1шт)</t>
  </si>
  <si>
    <t>513.19 руб.</t>
  </si>
  <si>
    <t>SNT-240105</t>
  </si>
  <si>
    <t>VPG1515B</t>
  </si>
  <si>
    <t>Обвод однораструбный из нержавеющей стали 15×15  "VER-PRO" (24/1шт)</t>
  </si>
  <si>
    <t>SNT-240106</t>
  </si>
  <si>
    <t>VPG1818B</t>
  </si>
  <si>
    <t>Обвод однораструбный из нержавеющей стали 18×18  "VER-PRO" (20/1шт)</t>
  </si>
  <si>
    <t>SNT-240107</t>
  </si>
  <si>
    <t>VPG2222B</t>
  </si>
  <si>
    <t>Обвод однораструбный из нержавеющей стали 22×22  "VER-PRO" (20/1шт)</t>
  </si>
  <si>
    <t>547.40 руб.</t>
  </si>
  <si>
    <t>SNT-240108</t>
  </si>
  <si>
    <t>VPSF427</t>
  </si>
  <si>
    <t>Соединитель прямой с переходом на внутреннюю резьбу42×11/2"  "VER-PRO"   (16/2шт)</t>
  </si>
  <si>
    <t>SNT-240109</t>
  </si>
  <si>
    <t>VPSF548</t>
  </si>
  <si>
    <t>Соединитель прямой с переходом на внутреннюю резьбу54×2"  "VER-PRO"   (8/2шт)</t>
  </si>
  <si>
    <t>1 106.70 руб.</t>
  </si>
  <si>
    <t>SNT-240110</t>
  </si>
  <si>
    <t>VPSM427</t>
  </si>
  <si>
    <t>Соединитель прямой с переходом на наружную резьбу42×11/2"  "VER-PRO"   (16/2шт)</t>
  </si>
  <si>
    <t>712.51 руб.</t>
  </si>
  <si>
    <t>SNT-240111</t>
  </si>
  <si>
    <t>VPSM548</t>
  </si>
  <si>
    <t>Соединитель прямой с переходом на наружную резьбу54×2"  "VER-PRO"   (8/2шт)</t>
  </si>
  <si>
    <t>1 105.21 руб.</t>
  </si>
  <si>
    <t>SNT-240112</t>
  </si>
  <si>
    <t>VPS4242</t>
  </si>
  <si>
    <t>Муфта из нержавеющей стали42×42  "VER-PRO"   (18/3шт)</t>
  </si>
  <si>
    <t>379.31 руб.</t>
  </si>
  <si>
    <t>SNT-240113</t>
  </si>
  <si>
    <t>VPS5454</t>
  </si>
  <si>
    <t>Муфта из нержавеющей стали54×54  "VER-PRO"   (8/2шт)</t>
  </si>
  <si>
    <t>480.46 руб.</t>
  </si>
  <si>
    <t>SNT-240114</t>
  </si>
  <si>
    <t>VPS1815-A</t>
  </si>
  <si>
    <t>Вставка переходная из нержавеющей стали18×15  "VER-PRO"   (80/5шт)</t>
  </si>
  <si>
    <t>160.65 руб.</t>
  </si>
  <si>
    <t>SNT-240115</t>
  </si>
  <si>
    <t>VPS2215-A</t>
  </si>
  <si>
    <t>Муфта переходная 2-х раструб из нержавеющей стали22×15  "VER-PRO"   (80/5шт)</t>
  </si>
  <si>
    <t>SNT-240116</t>
  </si>
  <si>
    <t>VPS2218-A</t>
  </si>
  <si>
    <t>Муфта переходная 2-х раструб из нержавеющей стали22×18  "VER-PRO"   (80/5шт)</t>
  </si>
  <si>
    <t>187.43 руб.</t>
  </si>
  <si>
    <t>SNT-240117</t>
  </si>
  <si>
    <t>VPS2815-A</t>
  </si>
  <si>
    <t>Муфта переходная 2-х раструб из нержавеющей стали28×15  "VER-PRO"   (60/5шт)</t>
  </si>
  <si>
    <t>252.88 руб.</t>
  </si>
  <si>
    <t>SNT-240118</t>
  </si>
  <si>
    <t>VPS2822-A</t>
  </si>
  <si>
    <t>Муфта переходная 2-х раструб из нержавеющей стали28×22  "VER-PRO"   (40/5шт)</t>
  </si>
  <si>
    <t>SNT-240119</t>
  </si>
  <si>
    <t>VPS3528-A</t>
  </si>
  <si>
    <t>Муфта переходная 2-х раструб из нержавеющей стали35×28  "VER-PRO"   (30/5шт)</t>
  </si>
  <si>
    <t>SNT-240120</t>
  </si>
  <si>
    <t>VPS4235-A</t>
  </si>
  <si>
    <t>Муфта переходная 2-х раструб из нержавеющей стали 42×35  "VER-PRO"   (18/3шт)</t>
  </si>
  <si>
    <t>417.99 руб.</t>
  </si>
  <si>
    <t>SNT-240121</t>
  </si>
  <si>
    <t>VPS5442-A</t>
  </si>
  <si>
    <t>Муфта переходная 2-х раструб из нержавеющей стали54×42  "VER-PRO"   (10/2шт)</t>
  </si>
  <si>
    <t>545.91 руб.</t>
  </si>
  <si>
    <t>SNT-240122</t>
  </si>
  <si>
    <t>VPS2218</t>
  </si>
  <si>
    <t>Вставка переходная из нержавеющей стали22a×18  "VER-PRO"   (80/5шт)</t>
  </si>
  <si>
    <t>159.16 руб.</t>
  </si>
  <si>
    <t>SNT-240123</t>
  </si>
  <si>
    <t>VPS2815</t>
  </si>
  <si>
    <t>Вставка переходная из нержавеющей стали28a×15  "VER-PRO"   (80/5шт)</t>
  </si>
  <si>
    <t>SNT-240124</t>
  </si>
  <si>
    <t>VPS2818</t>
  </si>
  <si>
    <t>Вставка переходная из нержавеющей стали28a×18  "VER-PRO"   (60/5шт)</t>
  </si>
  <si>
    <t>SNT-240125</t>
  </si>
  <si>
    <t>VPS3518</t>
  </si>
  <si>
    <t>Вставка переходная из нержавеющей стали35a×18  "VER-PRO"   (35/5шт)</t>
  </si>
  <si>
    <t>SNT-240126</t>
  </si>
  <si>
    <t>VPS3522</t>
  </si>
  <si>
    <t>Вставка переходная из нержавеющей стали35a×22  "VER-PRO"   (30/3шт)</t>
  </si>
  <si>
    <t>SNT-240127</t>
  </si>
  <si>
    <t>VPS4222</t>
  </si>
  <si>
    <t>Вставка переходная из нержавеющей стали42a×22  "VER-PRO"   (21/3шт)</t>
  </si>
  <si>
    <t>336.18 руб.</t>
  </si>
  <si>
    <t>SNT-240128</t>
  </si>
  <si>
    <t>VPS4235</t>
  </si>
  <si>
    <t>Вставка переходная из нержавеющей стали42a×35  "VER-PRO"   (21/3шт)</t>
  </si>
  <si>
    <t>351.05 руб.</t>
  </si>
  <si>
    <t>SNT-240129</t>
  </si>
  <si>
    <t>VPS5435</t>
  </si>
  <si>
    <t>Вставка переходная из нержавеющей стали54a×35  "VER-PRO"   (10/2шт)</t>
  </si>
  <si>
    <t>SNT-240130</t>
  </si>
  <si>
    <t>VPSC184</t>
  </si>
  <si>
    <t>Соединитель с накидной гайкой из нержавеющей стали18×3/4"  "VER-PRO"   (80/5шт)</t>
  </si>
  <si>
    <t>SNT-240131</t>
  </si>
  <si>
    <t>VPSC223</t>
  </si>
  <si>
    <t>Соединитель с накидной гайкой из нержавеющей стали22×1/2"  "VER-PRO"   (80/5шт)</t>
  </si>
  <si>
    <t>374.85 руб.</t>
  </si>
  <si>
    <t>SNT-240132</t>
  </si>
  <si>
    <t>VPSC225</t>
  </si>
  <si>
    <t>Соединитель с накидной гайкой из нержавеющей стали22×1"  "VER-PRO"   (50/5шт)</t>
  </si>
  <si>
    <t>385.26 руб.</t>
  </si>
  <si>
    <t>SNT-240133</t>
  </si>
  <si>
    <t>VPSC284</t>
  </si>
  <si>
    <t>Соединитель с накидной гайкой из нержавеющей стали28×3/4"  "VER-PRO"   (50/5шт)</t>
  </si>
  <si>
    <t>489.39 руб.</t>
  </si>
  <si>
    <t>SNT-240134</t>
  </si>
  <si>
    <t>VPSC355</t>
  </si>
  <si>
    <t>Соединитель с накидной гайкой из нержавеющей стали35×1"  "VER-PRO"   (35/5шт)</t>
  </si>
  <si>
    <t>635.16 руб.</t>
  </si>
  <si>
    <t>SNT-240135</t>
  </si>
  <si>
    <t>VPSC427</t>
  </si>
  <si>
    <t>Соединитель с накидной гайкой из нержавеющей стали42×11/2"  "VER-PRO"   (18/3шт)</t>
  </si>
  <si>
    <t>841.93 руб.</t>
  </si>
  <si>
    <t>SNT-240136</t>
  </si>
  <si>
    <t>VPSC548</t>
  </si>
  <si>
    <t>Соединитель с накидной гайкой из нержавеющей стали54×2"  "VER-PRO"   (12/3шт)</t>
  </si>
  <si>
    <t>1 283.71 руб.</t>
  </si>
  <si>
    <t>SNT-240137</t>
  </si>
  <si>
    <t>VPTF18318</t>
  </si>
  <si>
    <t>Тройник с переходом на внутреннюю резьбу 18×1/2"×18  "VER-PRO" (50/5шт)</t>
  </si>
  <si>
    <t>301.96 руб.</t>
  </si>
  <si>
    <t>SNT-240138</t>
  </si>
  <si>
    <t>VPTF18418</t>
  </si>
  <si>
    <t>Тройник с переходом на внутреннюю резьбу 18×3/4"×18  "VER-PRO" (40/5шт)</t>
  </si>
  <si>
    <t>SNT-240139</t>
  </si>
  <si>
    <t>VPTF35535</t>
  </si>
  <si>
    <t>Тройник с переходом на внутреннюю резьбу 35×1"×35  "VER-PRO" (14/2шт)</t>
  </si>
  <si>
    <t>740.78 руб.</t>
  </si>
  <si>
    <t>SNT-240140</t>
  </si>
  <si>
    <t>VPTF35635</t>
  </si>
  <si>
    <t>Тройник с переходом на внутреннюю резьбу 35×11/4"×35  "VER-PRO" (12/2шт)</t>
  </si>
  <si>
    <t>797.30 руб.</t>
  </si>
  <si>
    <t>SNT-240141</t>
  </si>
  <si>
    <t>VPTM18318</t>
  </si>
  <si>
    <t>Тройник с переходом на наружную резьбу 18×1/2"×18  "VER-PRO" (50/5шт)</t>
  </si>
  <si>
    <t>325.76 руб.</t>
  </si>
  <si>
    <t>SNT-240142</t>
  </si>
  <si>
    <t>VPTM18418</t>
  </si>
  <si>
    <t>Тройник с переходом на наружную резьбу 18×3/4"×18  "VER-PRO" (40/5шт)</t>
  </si>
  <si>
    <t>382.29 руб.</t>
  </si>
  <si>
    <t>SNT-240143</t>
  </si>
  <si>
    <t>VPTM35535</t>
  </si>
  <si>
    <t>Тройник с переходом на наружную резьбу 35×1"×35  "VER-PRO"(10/2шт)</t>
  </si>
  <si>
    <t>818.13 руб.</t>
  </si>
  <si>
    <t>SNT-240144</t>
  </si>
  <si>
    <t>VPTM35635</t>
  </si>
  <si>
    <t>Тройник с переходом на наружную резьбу 35×11/4"×35  "VER-PRO"(10/2шт)</t>
  </si>
  <si>
    <t>822.59 руб.</t>
  </si>
  <si>
    <t>SNT-240145</t>
  </si>
  <si>
    <t>VPT423542</t>
  </si>
  <si>
    <t>Тройник из нержавеющей стали42×35×42  "VER-PRO" (6/2шт)</t>
  </si>
  <si>
    <t>SNT-240146</t>
  </si>
  <si>
    <t>VPT424242</t>
  </si>
  <si>
    <t>Тройник из нержавеющей стали42×42×42  "VER-PRO" (6/2шт)</t>
  </si>
  <si>
    <t>728.88 руб.</t>
  </si>
  <si>
    <t>SNT-240147</t>
  </si>
  <si>
    <t>VPT545454</t>
  </si>
  <si>
    <t>Тройник из нержавеющей стали54×54×54  "VER-PRO" (3/1шт)</t>
  </si>
  <si>
    <t>978.78 руб.</t>
  </si>
  <si>
    <t>SNT-240148</t>
  </si>
  <si>
    <t>VPT544254</t>
  </si>
  <si>
    <t>Тройник из нержавеющей стали54×42×54  "VER-PRO" (4/1шт)</t>
  </si>
  <si>
    <t>986.21 руб.</t>
  </si>
  <si>
    <t>SNT-240149</t>
  </si>
  <si>
    <t>VPCL4242</t>
  </si>
  <si>
    <t>Уголок 45° внутренний/внутренний из нержавеющей стали 42×42  "VER-PRO" (10/2шт)</t>
  </si>
  <si>
    <t>486.41 руб.</t>
  </si>
  <si>
    <t>SNT-240150</t>
  </si>
  <si>
    <t>VPCL5454</t>
  </si>
  <si>
    <t>Уголок 45° внутренний/внутренний из нержавеющей стали 54×54  "VER-PRO" (6/2шт)</t>
  </si>
  <si>
    <t>624.75 руб.</t>
  </si>
  <si>
    <t>SNT-240151</t>
  </si>
  <si>
    <t>VPDL4242</t>
  </si>
  <si>
    <t>Уголок 45° из нержавеющей стали 42а×42  "VER-PRO" (10/2шт)</t>
  </si>
  <si>
    <t>608.39 руб.</t>
  </si>
  <si>
    <t>SNT-240152</t>
  </si>
  <si>
    <t>VPDL5454</t>
  </si>
  <si>
    <t>Уголок 45° из нержавеющей стали 54а×54  "VER-PRO" (6/2шт)</t>
  </si>
  <si>
    <t>803.25 руб.</t>
  </si>
  <si>
    <t>SNT-240153</t>
  </si>
  <si>
    <t>VPAL4242</t>
  </si>
  <si>
    <t>Уголок 90° внутренний/внутренний из нержавеющей стали 42×42  "VER-PRO" (8/2шт)</t>
  </si>
  <si>
    <t>569.71 руб.</t>
  </si>
  <si>
    <t>SNT-240154</t>
  </si>
  <si>
    <t>VPAL5454</t>
  </si>
  <si>
    <t>Уголок 90° внутренний/внутренний из нержавеющей стали 54×54  "VER-PRO" (4/2шт)</t>
  </si>
  <si>
    <t>745.24 руб.</t>
  </si>
  <si>
    <t>SNT-240155</t>
  </si>
  <si>
    <t>VPBL4242</t>
  </si>
  <si>
    <t>Уголок 90° из нержавеющей стали 42а×42  "VER-PRO" (7/1шт)</t>
  </si>
  <si>
    <t>813.66 руб.</t>
  </si>
  <si>
    <t>SNT-240156</t>
  </si>
  <si>
    <t>VPBL5454</t>
  </si>
  <si>
    <t>Уголок 90° из нержавеющей стали 54а×54  "VER-PRO" (4/1шт)</t>
  </si>
  <si>
    <t>SNT-240157</t>
  </si>
  <si>
    <t>VPLF184</t>
  </si>
  <si>
    <t>Уголок 90° с переходом на внутреннюю резьбу 18×3/4"  "VER-PRO" (50/5шт)</t>
  </si>
  <si>
    <t>450.71 руб.</t>
  </si>
  <si>
    <t>SNT-240158</t>
  </si>
  <si>
    <t>VPLF355</t>
  </si>
  <si>
    <t>Уголок 90° с переходом на внутреннюю резьбу 35×1"  "VER-PRO" (21/3шт)</t>
  </si>
  <si>
    <t>1 456.26 руб.</t>
  </si>
  <si>
    <t>SNT-240159</t>
  </si>
  <si>
    <t>VPLF356</t>
  </si>
  <si>
    <t>Уголок 90° с переходом на внутреннюю резьбу 35×11/4"  "VER-PRO" (12/3шт)</t>
  </si>
  <si>
    <t>1 478.58 руб.</t>
  </si>
  <si>
    <t>SNT-240160</t>
  </si>
  <si>
    <t>VPLM184</t>
  </si>
  <si>
    <t>Уголок 90° из нерж. стали   18×3/4" нар. резьба "VER-PRO" (50/5шт)</t>
  </si>
  <si>
    <t>536.99 руб.</t>
  </si>
  <si>
    <t>SNT-240161</t>
  </si>
  <si>
    <t>VPLM355</t>
  </si>
  <si>
    <t>Уголок 90° с переходом на наружную резьбу 35×1"  "VER-PRO" (18/2шт)</t>
  </si>
  <si>
    <t>1 264.38 руб.</t>
  </si>
  <si>
    <t>SNT-240162</t>
  </si>
  <si>
    <t>VPLM356</t>
  </si>
  <si>
    <t>Уголок 90° с переходом на наружную резьбу 35×11/4"  "VER-PRO" (12/2шт)</t>
  </si>
  <si>
    <t>1 361.06 руб.</t>
  </si>
  <si>
    <t>SNT-240163</t>
  </si>
  <si>
    <t>VPLC183</t>
  </si>
  <si>
    <t>Уголок с переходом на внутреннюю резьбу и креплением 18×1/2"  "VER-PRO" (30/5шт)</t>
  </si>
  <si>
    <t>470.05 руб.</t>
  </si>
  <si>
    <t>VER-000139</t>
  </si>
  <si>
    <t>VP15G</t>
  </si>
  <si>
    <t>Заглушка из нержавеющей стали 15мм  "VER-PRO" (200/10шт)</t>
  </si>
  <si>
    <t>92.23 руб.</t>
  </si>
  <si>
    <t>VER-000140</t>
  </si>
  <si>
    <t>VP18G</t>
  </si>
  <si>
    <t>Заглушка из нержавеющей стали 18мм  "VER-PRO" (160/10шт)</t>
  </si>
  <si>
    <t>VER-000141</t>
  </si>
  <si>
    <t>VP22G</t>
  </si>
  <si>
    <t>Заглушка из нержавеющей стали 22мм  "VER-PRO" (120/10шт)</t>
  </si>
  <si>
    <t>VER-000142</t>
  </si>
  <si>
    <t>VP28G</t>
  </si>
  <si>
    <t>Заглушка из нержавеющей стали 28мм  "VER-PRO" (80/5шт)</t>
  </si>
  <si>
    <t>VER-000143</t>
  </si>
  <si>
    <t>VP35G</t>
  </si>
  <si>
    <t>Заглушка из нержавеющей стали 35мм  "VER-PRO" (50/5шт)</t>
  </si>
  <si>
    <t>145.78 руб.</t>
  </si>
  <si>
    <t>VER-000144</t>
  </si>
  <si>
    <t>VP42G</t>
  </si>
  <si>
    <t>Заглушка из нержавеющей стали 42мм  "VER-PRO" (30/5шт)</t>
  </si>
  <si>
    <t>230.56 руб.</t>
  </si>
  <si>
    <t>VER-000145</t>
  </si>
  <si>
    <t>VP54G</t>
  </si>
  <si>
    <t>Заглушка из нержавеющей стали 54мм  "VER-PRO" (16/4шт)</t>
  </si>
  <si>
    <t>282.63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</si>
</sst>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94360f5_c40a_11ea_8158_003048fd731b_7017f111_a59b_11ee_a526_047c1617b1431.jpeg"/><Relationship Id="rId2" Type="http://schemas.openxmlformats.org/officeDocument/2006/relationships/image" Target="../media/394360f7_c40a_11ea_8158_003048fd731b_7017f112_a59b_11ee_a526_047c1617b1432.jpeg"/><Relationship Id="rId3" Type="http://schemas.openxmlformats.org/officeDocument/2006/relationships/image" Target="../media/394360f9_c40a_11ea_8158_003048fd731b_e28851c5_a59b_11ee_a526_047c1617b1433.jpeg"/><Relationship Id="rId4" Type="http://schemas.openxmlformats.org/officeDocument/2006/relationships/image" Target="../media/394360fb_c40a_11ea_8158_003048fd731b_e28851c6_a59b_11ee_a526_047c1617b1434.jpeg"/><Relationship Id="rId5" Type="http://schemas.openxmlformats.org/officeDocument/2006/relationships/image" Target="../media/509f1cb7_1a81_11eb_81ce_003048fd731b_e28851c7_a59b_11ee_a526_047c1617b1435.jpeg"/><Relationship Id="rId6" Type="http://schemas.openxmlformats.org/officeDocument/2006/relationships/image" Target="../media/509f1cb9_1a81_11eb_81ce_003048fd731b_e28851c8_a59b_11ee_a526_047c1617b1436.jpeg"/><Relationship Id="rId7" Type="http://schemas.openxmlformats.org/officeDocument/2006/relationships/image" Target="../media/509f1cbb_1a81_11eb_81ce_003048fd731b_e28851c9_a59b_11ee_a526_047c1617b1437.jpeg"/><Relationship Id="rId8" Type="http://schemas.openxmlformats.org/officeDocument/2006/relationships/image" Target="../media/1fcb317a_5f91_11eb_822d_003048fd731b_e28851ca_a59b_11ee_a526_047c1617b1438.jpeg"/><Relationship Id="rId9" Type="http://schemas.openxmlformats.org/officeDocument/2006/relationships/image" Target="../media/1fcb317c_5f91_11eb_822d_003048fd731b_e28851cb_a59b_11ee_a526_047c1617b1439.jpeg"/><Relationship Id="rId10" Type="http://schemas.openxmlformats.org/officeDocument/2006/relationships/image" Target="../media/c6a17212_86a5_11e9_8101_003048fd731b_7017f109_a59b_11ee_a526_047c1617b14310.jpeg"/><Relationship Id="rId11" Type="http://schemas.openxmlformats.org/officeDocument/2006/relationships/image" Target="../media/c6a17216_86a5_11e9_8101_003048fd731b_7017f10a_a59b_11ee_a526_047c1617b14311.jpeg"/><Relationship Id="rId12" Type="http://schemas.openxmlformats.org/officeDocument/2006/relationships/image" Target="../media/c6a1721a_86a5_11e9_8101_003048fd731b_7017f10b_a59b_11ee_a526_047c1617b14312.jpeg"/><Relationship Id="rId13" Type="http://schemas.openxmlformats.org/officeDocument/2006/relationships/image" Target="../media/c6a1721e_86a5_11e9_8101_003048fd731b_7017f10c_a59b_11ee_a526_047c1617b14313.jpeg"/><Relationship Id="rId14" Type="http://schemas.openxmlformats.org/officeDocument/2006/relationships/image" Target="../media/c6a17222_86a5_11e9_8101_003048fd731b_7017f10d_a59b_11ee_a526_047c1617b14314.jpeg"/><Relationship Id="rId15" Type="http://schemas.openxmlformats.org/officeDocument/2006/relationships/image" Target="../media/c6a17226_86a5_11e9_8101_003048fd731b_7017f10e_a59b_11ee_a526_047c1617b14315.jpeg"/><Relationship Id="rId16" Type="http://schemas.openxmlformats.org/officeDocument/2006/relationships/image" Target="../media/c6a1722a_86a5_11e9_8101_003048fd731b_7017f10f_a59b_11ee_a526_047c1617b14316.jpeg"/><Relationship Id="rId17" Type="http://schemas.openxmlformats.org/officeDocument/2006/relationships/image" Target="../media/c6a1722e_86a5_11e9_8101_003048fd731b_7017f110_a59b_11ee_a526_047c1617b14317.jpeg"/><Relationship Id="rId18" Type="http://schemas.openxmlformats.org/officeDocument/2006/relationships/image" Target="../media/c6a1720b_86a5_11e9_8101_003048fd731b_7017f105_a59b_11ee_a526_047c1617b14318.jpeg"/><Relationship Id="rId19" Type="http://schemas.openxmlformats.org/officeDocument/2006/relationships/image" Target="../media/c6a1720d_86a5_11e9_8101_003048fd731b_7017f106_a59b_11ee_a526_047c1617b14319.jpeg"/><Relationship Id="rId20" Type="http://schemas.openxmlformats.org/officeDocument/2006/relationships/image" Target="../media/c6a1720f_86a5_11e9_8101_003048fd731b_7017f107_a59b_11ee_a526_047c1617b14320.jpeg"/><Relationship Id="rId21" Type="http://schemas.openxmlformats.org/officeDocument/2006/relationships/image" Target="../media/8280a1b0_369d_11ea_810f_003048fd731b_7017f108_a59b_11ee_a526_047c1617b14321.jpeg"/><Relationship Id="rId22" Type="http://schemas.openxmlformats.org/officeDocument/2006/relationships/image" Target="../media/e54756f2_35e6_11ea_810f_003048fd731b_ac993d55_476f_11ea_810f_003048fd731b22.jpeg"/><Relationship Id="rId23" Type="http://schemas.openxmlformats.org/officeDocument/2006/relationships/image" Target="../media/c6a1729e_86a5_11e9_8101_003048fd731b_e28851f1_a59b_11ee_a526_047c1617b14323.jpeg"/><Relationship Id="rId24" Type="http://schemas.openxmlformats.org/officeDocument/2006/relationships/image" Target="../media/c6a172a2_86a5_11e9_8101_003048fd731b_592215de_11fe_11ef_a5b8_047c1617b14324.jpeg"/><Relationship Id="rId25" Type="http://schemas.openxmlformats.org/officeDocument/2006/relationships/image" Target="../media/c6a172a6_86a5_11e9_8101_003048fd731b_e28851f7_a59b_11ee_a526_047c1617b14325.jpeg"/><Relationship Id="rId26" Type="http://schemas.openxmlformats.org/officeDocument/2006/relationships/image" Target="../media/c6a172aa_86a5_11e9_8101_003048fd731b_e28851fb_a59b_11ee_a526_047c1617b14326.jpeg"/><Relationship Id="rId27" Type="http://schemas.openxmlformats.org/officeDocument/2006/relationships/image" Target="../media/c6a172ae_86a5_11e9_8101_003048fd731b_e28851ff_a59b_11ee_a526_047c1617b14327.jpeg"/><Relationship Id="rId28" Type="http://schemas.openxmlformats.org/officeDocument/2006/relationships/image" Target="../media/c6a172b2_86a5_11e9_8101_003048fd731b_e2885203_a59b_11ee_a526_047c1617b14328.jpeg"/><Relationship Id="rId29" Type="http://schemas.openxmlformats.org/officeDocument/2006/relationships/image" Target="../media/c6a172b6_86a5_11e9_8101_003048fd731b_e2885207_a59b_11ee_a526_047c1617b14329.jpeg"/><Relationship Id="rId30" Type="http://schemas.openxmlformats.org/officeDocument/2006/relationships/image" Target="../media/c6a172ba_86a5_11e9_8101_003048fd731b_e288520b_a59b_11ee_a526_047c1617b14330.jpeg"/><Relationship Id="rId31" Type="http://schemas.openxmlformats.org/officeDocument/2006/relationships/image" Target="../media/c6a172be_86a5_11e9_8101_003048fd731b_e288520f_a59b_11ee_a526_047c1617b14331.jpeg"/><Relationship Id="rId32" Type="http://schemas.openxmlformats.org/officeDocument/2006/relationships/image" Target="../media/c6a172c2_86a5_11e9_8101_003048fd731b_e2885213_a59b_11ee_a526_047c1617b14332.jpeg"/><Relationship Id="rId33" Type="http://schemas.openxmlformats.org/officeDocument/2006/relationships/image" Target="../media/c6a172c6_86a5_11e9_8101_003048fd731b_e2885217_a59b_11ee_a526_047c1617b14333.jpeg"/><Relationship Id="rId34" Type="http://schemas.openxmlformats.org/officeDocument/2006/relationships/image" Target="../media/c6a172ca_86a5_11e9_8101_003048fd731b_e288521b_a59b_11ee_a526_047c1617b14334.jpeg"/><Relationship Id="rId35" Type="http://schemas.openxmlformats.org/officeDocument/2006/relationships/image" Target="../media/c6a172ce_86a5_11e9_8101_003048fd731b_e288521f_a59b_11ee_a526_047c1617b14335.jpeg"/><Relationship Id="rId36" Type="http://schemas.openxmlformats.org/officeDocument/2006/relationships/image" Target="../media/c6a172d1_86a5_11e9_8101_003048fd731b_e2885223_a59b_11ee_a526_047c1617b14336.jpeg"/><Relationship Id="rId37" Type="http://schemas.openxmlformats.org/officeDocument/2006/relationships/image" Target="../media/c6a172d4_86a5_11e9_8101_003048fd731b_e2885227_a59b_11ee_a526_047c1617b14337.jpeg"/><Relationship Id="rId38" Type="http://schemas.openxmlformats.org/officeDocument/2006/relationships/image" Target="../media/c6a172d8_86a5_11e9_8101_003048fd731b_e288522b_a59b_11ee_a526_047c1617b14338.jpeg"/><Relationship Id="rId39" Type="http://schemas.openxmlformats.org/officeDocument/2006/relationships/image" Target="../media/c6a172dc_86a5_11e9_8101_003048fd731b_e288522f_a59b_11ee_a526_047c1617b14339.jpeg"/><Relationship Id="rId40" Type="http://schemas.openxmlformats.org/officeDocument/2006/relationships/image" Target="../media/c6a172e0_86a5_11e9_8101_003048fd731b_e2885233_a59b_11ee_a526_047c1617b14340.jpeg"/><Relationship Id="rId41" Type="http://schemas.openxmlformats.org/officeDocument/2006/relationships/image" Target="../media/c6a172e4_86a5_11e9_8101_003048fd731b_e2885237_a59b_11ee_a526_047c1617b14341.jpeg"/><Relationship Id="rId42" Type="http://schemas.openxmlformats.org/officeDocument/2006/relationships/image" Target="../media/c6a172e8_86a5_11e9_8101_003048fd731b_e288523b_a59b_11ee_a526_047c1617b14342.jpeg"/><Relationship Id="rId43" Type="http://schemas.openxmlformats.org/officeDocument/2006/relationships/image" Target="../media/c6a172ec_86a5_11e9_8101_003048fd731b_e288523f_a59b_11ee_a526_047c1617b14343.jpeg"/><Relationship Id="rId44" Type="http://schemas.openxmlformats.org/officeDocument/2006/relationships/image" Target="../media/c6a172f0_86a5_11e9_8101_003048fd731b_e2885243_a59b_11ee_a526_047c1617b14344.jpeg"/><Relationship Id="rId45" Type="http://schemas.openxmlformats.org/officeDocument/2006/relationships/image" Target="../media/c6a172f4_86a5_11e9_8101_003048fd731b_e2885247_a59b_11ee_a526_047c1617b14345.jpeg"/><Relationship Id="rId46" Type="http://schemas.openxmlformats.org/officeDocument/2006/relationships/image" Target="../media/c6a172f8_86a5_11e9_8101_003048fd731b_e288524b_a59b_11ee_a526_047c1617b14346.jpeg"/><Relationship Id="rId47" Type="http://schemas.openxmlformats.org/officeDocument/2006/relationships/image" Target="../media/c6a172fc_86a5_11e9_8101_003048fd731b_e288524f_a59b_11ee_a526_047c1617b14347.jpeg"/><Relationship Id="rId48" Type="http://schemas.openxmlformats.org/officeDocument/2006/relationships/image" Target="../media/c6a172fe_86a5_11e9_8101_003048fd731b_e2885253_a59b_11ee_a526_047c1617b14348.jpeg"/><Relationship Id="rId49" Type="http://schemas.openxmlformats.org/officeDocument/2006/relationships/image" Target="../media/c6a17301_86a5_11e9_8101_003048fd731b_e2885257_a59b_11ee_a526_047c1617b14349.jpeg"/><Relationship Id="rId50" Type="http://schemas.openxmlformats.org/officeDocument/2006/relationships/image" Target="../media/c6a17305_86a5_11e9_8101_003048fd731b_e288525b_a59b_11ee_a526_047c1617b14350.jpeg"/><Relationship Id="rId51" Type="http://schemas.openxmlformats.org/officeDocument/2006/relationships/image" Target="../media/c6a17309_86a5_11e9_8101_003048fd731b_e288525f_a59b_11ee_a526_047c1617b14351.jpeg"/><Relationship Id="rId52" Type="http://schemas.openxmlformats.org/officeDocument/2006/relationships/image" Target="../media/c6a1730d_86a5_11e9_8101_003048fd731b_e2885263_a59b_11ee_a526_047c1617b14352.jpeg"/><Relationship Id="rId53" Type="http://schemas.openxmlformats.org/officeDocument/2006/relationships/image" Target="../media/c6a17311_86a5_11e9_8101_003048fd731b_e2885267_a59b_11ee_a526_047c1617b14353.jpeg"/><Relationship Id="rId54" Type="http://schemas.openxmlformats.org/officeDocument/2006/relationships/image" Target="../media/c6a17315_86a5_11e9_8101_003048fd731b_e288526b_a59b_11ee_a526_047c1617b14354.jpeg"/><Relationship Id="rId55" Type="http://schemas.openxmlformats.org/officeDocument/2006/relationships/image" Target="../media/c6a17319_86a5_11e9_8101_003048fd731b_e288526f_a59b_11ee_a526_047c1617b14355.jpeg"/><Relationship Id="rId56" Type="http://schemas.openxmlformats.org/officeDocument/2006/relationships/image" Target="../media/c6a1731d_86a5_11e9_8101_003048fd731b_e2885273_a59b_11ee_a526_047c1617b14356.jpeg"/><Relationship Id="rId57" Type="http://schemas.openxmlformats.org/officeDocument/2006/relationships/image" Target="../media/c6a17321_86a5_11e9_8101_003048fd731b_e2885277_a59b_11ee_a526_047c1617b14357.jpeg"/><Relationship Id="rId58" Type="http://schemas.openxmlformats.org/officeDocument/2006/relationships/image" Target="../media/c6a17325_86a5_11e9_8101_003048fd731b_e288527b_a59b_11ee_a526_047c1617b14358.jpeg"/><Relationship Id="rId59" Type="http://schemas.openxmlformats.org/officeDocument/2006/relationships/image" Target="../media/c6a17329_86a5_11e9_8101_003048fd731b_e288527f_a59b_11ee_a526_047c1617b14359.jpeg"/><Relationship Id="rId60" Type="http://schemas.openxmlformats.org/officeDocument/2006/relationships/image" Target="../media/c6a1732d_86a5_11e9_8101_003048fd731b_e2885283_a59b_11ee_a526_047c1617b14360.jpeg"/><Relationship Id="rId61" Type="http://schemas.openxmlformats.org/officeDocument/2006/relationships/image" Target="../media/c6a17331_86a5_11e9_8101_003048fd731b_e2885287_a59b_11ee_a526_047c1617b14361.jpeg"/><Relationship Id="rId62" Type="http://schemas.openxmlformats.org/officeDocument/2006/relationships/image" Target="../media/c6a17335_86a5_11e9_8101_003048fd731b_e288528b_a59b_11ee_a526_047c1617b14362.jpeg"/><Relationship Id="rId63" Type="http://schemas.openxmlformats.org/officeDocument/2006/relationships/image" Target="../media/c6a17337_86a5_11e9_8101_003048fd731b_e288528f_a59b_11ee_a526_047c1617b14363.jpeg"/><Relationship Id="rId64" Type="http://schemas.openxmlformats.org/officeDocument/2006/relationships/image" Target="../media/c6a17339_86a5_11e9_8101_003048fd731b_e2885293_a59b_11ee_a526_047c1617b14364.jpeg"/><Relationship Id="rId65" Type="http://schemas.openxmlformats.org/officeDocument/2006/relationships/image" Target="../media/cd48e0cd_86a5_11e9_8101_003048fd731b_e2885297_a59b_11ee_a526_047c1617b14365.jpeg"/><Relationship Id="rId66" Type="http://schemas.openxmlformats.org/officeDocument/2006/relationships/image" Target="../media/cd48e0d0_86a5_11e9_8101_003048fd731b_e288529b_a59b_11ee_a526_047c1617b14366.jpeg"/><Relationship Id="rId67" Type="http://schemas.openxmlformats.org/officeDocument/2006/relationships/image" Target="../media/cd48e0d4_86a5_11e9_8101_003048fd731b_e288529f_a59b_11ee_a526_047c1617b14367.jpeg"/><Relationship Id="rId68" Type="http://schemas.openxmlformats.org/officeDocument/2006/relationships/image" Target="../media/cd48e0d8_86a5_11e9_8101_003048fd731b_e28852a3_a59b_11ee_a526_047c1617b14368.jpeg"/><Relationship Id="rId69" Type="http://schemas.openxmlformats.org/officeDocument/2006/relationships/image" Target="../media/cd48e0dc_86a5_11e9_8101_003048fd731b_e28852a7_a59b_11ee_a526_047c1617b14369.jpeg"/><Relationship Id="rId70" Type="http://schemas.openxmlformats.org/officeDocument/2006/relationships/image" Target="../media/cd48e0e0_86a5_11e9_8101_003048fd731b_e28852ab_a59b_11ee_a526_047c1617b14370.jpeg"/><Relationship Id="rId71" Type="http://schemas.openxmlformats.org/officeDocument/2006/relationships/image" Target="../media/cd48e0e4_86a5_11e9_8101_003048fd731b_e28852af_a59b_11ee_a526_047c1617b14371.jpeg"/><Relationship Id="rId72" Type="http://schemas.openxmlformats.org/officeDocument/2006/relationships/image" Target="../media/cd48e0e6_86a5_11e9_8101_003048fd731b_e28852b3_a59b_11ee_a526_047c1617b14372.jpeg"/><Relationship Id="rId73" Type="http://schemas.openxmlformats.org/officeDocument/2006/relationships/image" Target="../media/cd48e0e8_86a5_11e9_8101_003048fd731b_e28852b7_a59b_11ee_a526_047c1617b14373.jpeg"/><Relationship Id="rId74" Type="http://schemas.openxmlformats.org/officeDocument/2006/relationships/image" Target="../media/cd48e0ec_86a5_11e9_8101_003048fd731b_e28852bb_a59b_11ee_a526_047c1617b14374.jpeg"/><Relationship Id="rId75" Type="http://schemas.openxmlformats.org/officeDocument/2006/relationships/image" Target="../media/cd48e0f0_86a5_11e9_8101_003048fd731b_e28852bf_a59b_11ee_a526_047c1617b14375.jpeg"/><Relationship Id="rId76" Type="http://schemas.openxmlformats.org/officeDocument/2006/relationships/image" Target="../media/cd48e0f4_86a5_11e9_8101_003048fd731b_e28852c3_a59b_11ee_a526_047c1617b14376.jpeg"/><Relationship Id="rId77" Type="http://schemas.openxmlformats.org/officeDocument/2006/relationships/image" Target="../media/cd48e0f8_86a5_11e9_8101_003048fd731b_e28852c7_a59b_11ee_a526_047c1617b14377.jpeg"/><Relationship Id="rId78" Type="http://schemas.openxmlformats.org/officeDocument/2006/relationships/image" Target="../media/cd48e0fc_86a5_11e9_8101_003048fd731b_e28852cb_a59b_11ee_a526_047c1617b14378.jpeg"/><Relationship Id="rId79" Type="http://schemas.openxmlformats.org/officeDocument/2006/relationships/image" Target="../media/cd48e100_86a5_11e9_8101_003048fd731b_e28852cf_a59b_11ee_a526_047c1617b14379.jpeg"/><Relationship Id="rId80" Type="http://schemas.openxmlformats.org/officeDocument/2006/relationships/image" Target="../media/cd48e104_86a5_11e9_8101_003048fd731b_e28852d3_a59b_11ee_a526_047c1617b14380.jpeg"/><Relationship Id="rId81" Type="http://schemas.openxmlformats.org/officeDocument/2006/relationships/image" Target="../media/cd48e108_86a5_11e9_8101_003048fd731b_e28852d7_a59b_11ee_a526_047c1617b14381.jpeg"/><Relationship Id="rId82" Type="http://schemas.openxmlformats.org/officeDocument/2006/relationships/image" Target="../media/cd48e10c_86a5_11e9_8101_003048fd731b_e28852db_a59b_11ee_a526_047c1617b14382.jpeg"/><Relationship Id="rId83" Type="http://schemas.openxmlformats.org/officeDocument/2006/relationships/image" Target="../media/cd48e110_86a5_11e9_8101_003048fd731b_e28852df_a59b_11ee_a526_047c1617b14383.jpeg"/><Relationship Id="rId84" Type="http://schemas.openxmlformats.org/officeDocument/2006/relationships/image" Target="../media/cd48e114_86a5_11e9_8101_003048fd731b_e28852e3_a59b_11ee_a526_047c1617b14384.jpeg"/><Relationship Id="rId85" Type="http://schemas.openxmlformats.org/officeDocument/2006/relationships/image" Target="../media/cd48e116_86a5_11e9_8101_003048fd731b_e28852e7_a59b_11ee_a526_047c1617b14385.jpeg"/><Relationship Id="rId86" Type="http://schemas.openxmlformats.org/officeDocument/2006/relationships/image" Target="../media/cd48e11a_86a5_11e9_8101_003048fd731b_e28852eb_a59b_11ee_a526_047c1617b14386.jpeg"/><Relationship Id="rId87" Type="http://schemas.openxmlformats.org/officeDocument/2006/relationships/image" Target="../media/cd48e11c_86a5_11e9_8101_003048fd731b_e28852ef_a59b_11ee_a526_047c1617b14387.jpeg"/><Relationship Id="rId88" Type="http://schemas.openxmlformats.org/officeDocument/2006/relationships/image" Target="../media/cd48e120_86a5_11e9_8101_003048fd731b_e28852f3_a59b_11ee_a526_047c1617b14388.jpeg"/><Relationship Id="rId89" Type="http://schemas.openxmlformats.org/officeDocument/2006/relationships/image" Target="../media/cd48e124_86a5_11e9_8101_003048fd731b_e28852f7_a59b_11ee_a526_047c1617b14389.jpeg"/><Relationship Id="rId90" Type="http://schemas.openxmlformats.org/officeDocument/2006/relationships/image" Target="../media/cd48e128_86a5_11e9_8101_003048fd731b_e28852fb_a59b_11ee_a526_047c1617b14390.jpeg"/><Relationship Id="rId91" Type="http://schemas.openxmlformats.org/officeDocument/2006/relationships/image" Target="../media/cd48e12c_86a5_11e9_8101_003048fd731b_e28852ff_a59b_11ee_a526_047c1617b14391.jpeg"/><Relationship Id="rId92" Type="http://schemas.openxmlformats.org/officeDocument/2006/relationships/image" Target="../media/cd48e130_86a5_11e9_8101_003048fd731b_e2885303_a59b_11ee_a526_047c1617b14392.jpeg"/><Relationship Id="rId93" Type="http://schemas.openxmlformats.org/officeDocument/2006/relationships/image" Target="../media/cd48e134_86a5_11e9_8101_003048fd731b_e2885307_a59b_11ee_a526_047c1617b14393.jpeg"/><Relationship Id="rId94" Type="http://schemas.openxmlformats.org/officeDocument/2006/relationships/image" Target="../media/cd48e138_86a5_11e9_8101_003048fd731b_e288530b_a59b_11ee_a526_047c1617b14394.jpeg"/><Relationship Id="rId95" Type="http://schemas.openxmlformats.org/officeDocument/2006/relationships/image" Target="../media/cd48e13c_86a5_11e9_8101_003048fd731b_e288530f_a59b_11ee_a526_047c1617b14395.jpeg"/><Relationship Id="rId96" Type="http://schemas.openxmlformats.org/officeDocument/2006/relationships/image" Target="../media/cd48e140_86a5_11e9_8101_003048fd731b_e2885313_a59b_11ee_a526_047c1617b14396.jpeg"/><Relationship Id="rId97" Type="http://schemas.openxmlformats.org/officeDocument/2006/relationships/image" Target="../media/cd48e144_86a5_11e9_8101_003048fd731b_e2885317_a59b_11ee_a526_047c1617b14397.jpeg"/><Relationship Id="rId98" Type="http://schemas.openxmlformats.org/officeDocument/2006/relationships/image" Target="../media/cd48e148_86a5_11e9_8101_003048fd731b_e288531b_a59b_11ee_a526_047c1617b14398.jpeg"/><Relationship Id="rId99" Type="http://schemas.openxmlformats.org/officeDocument/2006/relationships/image" Target="../media/cd48e14c_86a5_11e9_8101_003048fd731b_e288531f_a59b_11ee_a526_047c1617b14399.jpeg"/><Relationship Id="rId100" Type="http://schemas.openxmlformats.org/officeDocument/2006/relationships/image" Target="../media/cd48e150_86a5_11e9_8101_003048fd731b_e2885323_a59b_11ee_a526_047c1617b143100.jpeg"/><Relationship Id="rId101" Type="http://schemas.openxmlformats.org/officeDocument/2006/relationships/image" Target="../media/cd48e154_86a5_11e9_8101_003048fd731b_e2885327_a59b_11ee_a526_047c1617b143101.jpeg"/><Relationship Id="rId102" Type="http://schemas.openxmlformats.org/officeDocument/2006/relationships/image" Target="../media/cd48e157_86a5_11e9_8101_003048fd731b_e288532b_a59b_11ee_a526_047c1617b143102.jpeg"/><Relationship Id="rId103" Type="http://schemas.openxmlformats.org/officeDocument/2006/relationships/image" Target="../media/cd48e15b_86a5_11e9_8101_003048fd731b_e288532f_a59b_11ee_a526_047c1617b143103.jpeg"/><Relationship Id="rId104" Type="http://schemas.openxmlformats.org/officeDocument/2006/relationships/image" Target="../media/cd48e15f_86a5_11e9_8101_003048fd731b_e2885333_a59b_11ee_a526_047c1617b143104.jpeg"/><Relationship Id="rId105" Type="http://schemas.openxmlformats.org/officeDocument/2006/relationships/image" Target="../media/cd48e163_86a5_11e9_8101_003048fd731b_e2885337_a59b_11ee_a526_047c1617b143105.jpeg"/><Relationship Id="rId106" Type="http://schemas.openxmlformats.org/officeDocument/2006/relationships/image" Target="../media/cd48e167_86a5_11e9_8101_003048fd731b_e288533b_a59b_11ee_a526_047c1617b143106.jpeg"/><Relationship Id="rId107" Type="http://schemas.openxmlformats.org/officeDocument/2006/relationships/image" Target="../media/cd48e16b_86a5_11e9_8101_003048fd731b_e288533f_a59b_11ee_a526_047c1617b143107.jpeg"/><Relationship Id="rId108" Type="http://schemas.openxmlformats.org/officeDocument/2006/relationships/image" Target="../media/cd48e16f_86a5_11e9_8101_003048fd731b_e2885343_a59b_11ee_a526_047c1617b143108.jpeg"/><Relationship Id="rId109" Type="http://schemas.openxmlformats.org/officeDocument/2006/relationships/image" Target="../media/cd48e173_86a5_11e9_8101_003048fd731b_e2885347_a59b_11ee_a526_047c1617b143109.jpeg"/><Relationship Id="rId110" Type="http://schemas.openxmlformats.org/officeDocument/2006/relationships/image" Target="../media/cd48e177_86a5_11e9_8101_003048fd731b_e288534b_a59b_11ee_a526_047c1617b143110.jpeg"/><Relationship Id="rId111" Type="http://schemas.openxmlformats.org/officeDocument/2006/relationships/image" Target="../media/cd48e17b_86a5_11e9_8101_003048fd731b_e288534f_a59b_11ee_a526_047c1617b143111.jpeg"/><Relationship Id="rId112" Type="http://schemas.openxmlformats.org/officeDocument/2006/relationships/image" Target="../media/cd48e17f_86a5_11e9_8101_003048fd731b_e2885353_a59b_11ee_a526_047c1617b143112.jpeg"/><Relationship Id="rId113" Type="http://schemas.openxmlformats.org/officeDocument/2006/relationships/image" Target="../media/cd48e183_86a5_11e9_8101_003048fd731b_e2885357_a59b_11ee_a526_047c1617b143113.jpeg"/><Relationship Id="rId114" Type="http://schemas.openxmlformats.org/officeDocument/2006/relationships/image" Target="../media/cd48e187_86a5_11e9_8101_003048fd731b_e288535b_a59b_11ee_a526_047c1617b143114.jpeg"/><Relationship Id="rId115" Type="http://schemas.openxmlformats.org/officeDocument/2006/relationships/image" Target="../media/cd48e18b_86a5_11e9_8101_003048fd731b_e288535f_a59b_11ee_a526_047c1617b143115.jpeg"/><Relationship Id="rId116" Type="http://schemas.openxmlformats.org/officeDocument/2006/relationships/image" Target="../media/cd48e18f_86a5_11e9_8101_003048fd731b_e2885363_a59b_11ee_a526_047c1617b143116.jpeg"/><Relationship Id="rId117" Type="http://schemas.openxmlformats.org/officeDocument/2006/relationships/image" Target="../media/cd48e191_86a5_11e9_8101_003048fd731b_e2885367_a59b_11ee_a526_047c1617b143117.jpeg"/><Relationship Id="rId118" Type="http://schemas.openxmlformats.org/officeDocument/2006/relationships/image" Target="../media/cd48e193_86a5_11e9_8101_003048fd731b_e288536b_a59b_11ee_a526_047c1617b143118.jpeg"/><Relationship Id="rId119" Type="http://schemas.openxmlformats.org/officeDocument/2006/relationships/image" Target="../media/cd48e195_86a5_11e9_8101_003048fd731b_e288536f_a59b_11ee_a526_047c1617b143119.jpeg"/><Relationship Id="rId120" Type="http://schemas.openxmlformats.org/officeDocument/2006/relationships/image" Target="../media/cd48e197_86a5_11e9_8101_003048fd731b_e2885373_a59b_11ee_a526_047c1617b143120.jpeg"/><Relationship Id="rId121" Type="http://schemas.openxmlformats.org/officeDocument/2006/relationships/image" Target="../media/cd48e19b_86a5_11e9_8101_003048fd731b_e2885377_a59b_11ee_a526_047c1617b143121.jpeg"/><Relationship Id="rId122" Type="http://schemas.openxmlformats.org/officeDocument/2006/relationships/image" Target="../media/cd48e19f_86a5_11e9_8101_003048fd731b_e288537b_a59b_11ee_a526_047c1617b143122.jpeg"/><Relationship Id="rId123" Type="http://schemas.openxmlformats.org/officeDocument/2006/relationships/image" Target="../media/cd48e1a3_86a5_11e9_8101_003048fd731b_e288537f_a59b_11ee_a526_047c1617b143123.jpeg"/><Relationship Id="rId124" Type="http://schemas.openxmlformats.org/officeDocument/2006/relationships/image" Target="../media/cd48e1a7_86a5_11e9_8101_003048fd731b_e2885383_a59b_11ee_a526_047c1617b143124.jpeg"/><Relationship Id="rId125" Type="http://schemas.openxmlformats.org/officeDocument/2006/relationships/image" Target="../media/cd48e1ab_86a5_11e9_8101_003048fd731b_e2885387_a59b_11ee_a526_047c1617b143125.jpeg"/><Relationship Id="rId126" Type="http://schemas.openxmlformats.org/officeDocument/2006/relationships/image" Target="../media/cd48e1af_86a5_11e9_8101_003048fd731b_e288538b_a59b_11ee_a526_047c1617b143126.jpeg"/><Relationship Id="rId127" Type="http://schemas.openxmlformats.org/officeDocument/2006/relationships/image" Target="../media/cd48e1b3_86a5_11e9_8101_003048fd731b_e288538f_a59b_11ee_a526_047c1617b143127.jpeg"/><Relationship Id="rId128" Type="http://schemas.openxmlformats.org/officeDocument/2006/relationships/image" Target="../media/cd48e1b7_86a5_11e9_8101_003048fd731b_e2885393_a59b_11ee_a526_047c1617b143128.jpeg"/><Relationship Id="rId129" Type="http://schemas.openxmlformats.org/officeDocument/2006/relationships/image" Target="../media/cd48e1bb_86a5_11e9_8101_003048fd731b_e2885397_a59b_11ee_a526_047c1617b143129.jpeg"/><Relationship Id="rId130" Type="http://schemas.openxmlformats.org/officeDocument/2006/relationships/image" Target="../media/cd48e1bf_86a5_11e9_8101_003048fd731b_e288539b_a59b_11ee_a526_047c1617b143130.jpeg"/><Relationship Id="rId131" Type="http://schemas.openxmlformats.org/officeDocument/2006/relationships/image" Target="../media/cd48e1c3_86a5_11e9_8101_003048fd731b_e288539f_a59b_11ee_a526_047c1617b143131.jpeg"/><Relationship Id="rId132" Type="http://schemas.openxmlformats.org/officeDocument/2006/relationships/image" Target="../media/cd48e1c7_86a5_11e9_8101_003048fd731b_e28853a3_a59b_11ee_a526_047c1617b143132.jpeg"/><Relationship Id="rId133" Type="http://schemas.openxmlformats.org/officeDocument/2006/relationships/image" Target="../media/cd48e1cb_86a5_11e9_8101_003048fd731b_e28853a7_a59b_11ee_a526_047c1617b143133.jpeg"/><Relationship Id="rId134" Type="http://schemas.openxmlformats.org/officeDocument/2006/relationships/image" Target="../media/cd48e1cf_86a5_11e9_8101_003048fd731b_e28853ab_a59b_11ee_a526_047c1617b143134.jpeg"/><Relationship Id="rId135" Type="http://schemas.openxmlformats.org/officeDocument/2006/relationships/image" Target="../media/cd48e1d3_86a5_11e9_8101_003048fd731b_e28853af_a59b_11ee_a526_047c1617b143135.jpeg"/><Relationship Id="rId136" Type="http://schemas.openxmlformats.org/officeDocument/2006/relationships/image" Target="../media/cd48e1d7_86a5_11e9_8101_003048fd731b_e28853b3_a59b_11ee_a526_047c1617b143136.jpeg"/><Relationship Id="rId137" Type="http://schemas.openxmlformats.org/officeDocument/2006/relationships/image" Target="../media/cd48e1db_86a5_11e9_8101_003048fd731b_e28853b7_a59b_11ee_a526_047c1617b143137.jpeg"/><Relationship Id="rId138" Type="http://schemas.openxmlformats.org/officeDocument/2006/relationships/image" Target="../media/cd48e1df_86a5_11e9_8101_003048fd731b_e28853bb_a59b_11ee_a526_047c1617b143138.jpeg"/><Relationship Id="rId139" Type="http://schemas.openxmlformats.org/officeDocument/2006/relationships/image" Target="../media/cd48e1e3_86a5_11e9_8101_003048fd731b_e28853bf_a59b_11ee_a526_047c1617b143139.jpeg"/><Relationship Id="rId140" Type="http://schemas.openxmlformats.org/officeDocument/2006/relationships/image" Target="../media/cd48e1e7_86a5_11e9_8101_003048fd731b_e28853c3_a59b_11ee_a526_047c1617b143140.jpeg"/><Relationship Id="rId141" Type="http://schemas.openxmlformats.org/officeDocument/2006/relationships/image" Target="../media/cd48e1eb_86a5_11e9_8101_003048fd731b_e28853c7_a59b_11ee_a526_047c1617b143141.jpeg"/><Relationship Id="rId142" Type="http://schemas.openxmlformats.org/officeDocument/2006/relationships/image" Target="../media/cd48e1ef_86a5_11e9_8101_003048fd731b_e28853cb_a59b_11ee_a526_047c1617b143142.jpeg"/><Relationship Id="rId143" Type="http://schemas.openxmlformats.org/officeDocument/2006/relationships/image" Target="../media/cd48e1f3_86a5_11e9_8101_003048fd731b_e28853cf_a59b_11ee_a526_047c1617b143143.jpeg"/><Relationship Id="rId144" Type="http://schemas.openxmlformats.org/officeDocument/2006/relationships/image" Target="../media/cd48e1f7_86a5_11e9_8101_003048fd731b_e28853d3_a59b_11ee_a526_047c1617b143144.jpeg"/><Relationship Id="rId145" Type="http://schemas.openxmlformats.org/officeDocument/2006/relationships/image" Target="../media/cd48e1fb_86a5_11e9_8101_003048fd731b_e28853d7_a59b_11ee_a526_047c1617b143145.jpeg"/><Relationship Id="rId146" Type="http://schemas.openxmlformats.org/officeDocument/2006/relationships/image" Target="../media/cd48e1fd_86a5_11e9_8101_003048fd731b_e28853db_a59b_11ee_a526_047c1617b143146.jpeg"/><Relationship Id="rId147" Type="http://schemas.openxmlformats.org/officeDocument/2006/relationships/image" Target="../media/cd48e1ff_86a5_11e9_8101_003048fd731b_e28853df_a59b_11ee_a526_047c1617b143147.jpeg"/><Relationship Id="rId148" Type="http://schemas.openxmlformats.org/officeDocument/2006/relationships/image" Target="../media/cd48e203_86a5_11e9_8101_003048fd731b_e28853e3_a59b_11ee_a526_047c1617b143148.jpeg"/><Relationship Id="rId149" Type="http://schemas.openxmlformats.org/officeDocument/2006/relationships/image" Target="../media/cd48e207_86a5_11e9_8101_003048fd731b_6949ad80_f953_11e9_810b_003048fd731b149.jpeg"/><Relationship Id="rId150" Type="http://schemas.openxmlformats.org/officeDocument/2006/relationships/image" Target="../media/cd48e20b_86a5_11e9_8101_003048fd731b_e28853e7_a59b_11ee_a526_047c1617b143150.jpeg"/><Relationship Id="rId151" Type="http://schemas.openxmlformats.org/officeDocument/2006/relationships/image" Target="../media/d38b71e8_86a5_11e9_8101_003048fd731b_e28853eb_a59b_11ee_a526_047c1617b143151.jpeg"/><Relationship Id="rId152" Type="http://schemas.openxmlformats.org/officeDocument/2006/relationships/image" Target="../media/d38b71ec_86a5_11e9_8101_003048fd731b_e28853ef_a59b_11ee_a526_047c1617b143152.jpeg"/><Relationship Id="rId153" Type="http://schemas.openxmlformats.org/officeDocument/2006/relationships/image" Target="../media/d38b71f0_86a5_11e9_8101_003048fd731b_e28853f3_a59b_11ee_a526_047c1617b143153.jpeg"/><Relationship Id="rId154" Type="http://schemas.openxmlformats.org/officeDocument/2006/relationships/image" Target="../media/d38b71f2_86a5_11e9_8101_003048fd731b_e28853f7_a59b_11ee_a526_047c1617b143154.jpeg"/><Relationship Id="rId155" Type="http://schemas.openxmlformats.org/officeDocument/2006/relationships/image" Target="../media/d38b71f4_86a5_11e9_8101_003048fd731b_e28853fb_a59b_11ee_a526_047c1617b143155.jpeg"/><Relationship Id="rId156" Type="http://schemas.openxmlformats.org/officeDocument/2006/relationships/image" Target="../media/d38b71f8_86a5_11e9_8101_003048fd731b_e28853ff_a59b_11ee_a526_047c1617b143156.jpeg"/><Relationship Id="rId157" Type="http://schemas.openxmlformats.org/officeDocument/2006/relationships/image" Target="../media/d38b71fc_86a5_11e9_8101_003048fd731b_e2885403_a59b_11ee_a526_047c1617b143157.jpeg"/><Relationship Id="rId158" Type="http://schemas.openxmlformats.org/officeDocument/2006/relationships/image" Target="../media/d38b7200_86a5_11e9_8101_003048fd731b_e915162e_a59b_11ee_a526_047c1617b143158.jpeg"/><Relationship Id="rId159" Type="http://schemas.openxmlformats.org/officeDocument/2006/relationships/image" Target="../media/d38b7204_86a5_11e9_8101_003048fd731b_e9151632_a59b_11ee_a526_047c1617b143159.jpeg"/><Relationship Id="rId160" Type="http://schemas.openxmlformats.org/officeDocument/2006/relationships/image" Target="../media/d38b7208_86a5_11e9_8101_003048fd731b_e9151636_a59b_11ee_a526_047c1617b143160.jpeg"/><Relationship Id="rId161" Type="http://schemas.openxmlformats.org/officeDocument/2006/relationships/image" Target="../media/d38b720c_86a5_11e9_8101_003048fd731b_e915163a_a59b_11ee_a526_047c1617b143161.jpeg"/><Relationship Id="rId162" Type="http://schemas.openxmlformats.org/officeDocument/2006/relationships/image" Target="../media/d38b7210_86a5_11e9_8101_003048fd731b_e915163e_a59b_11ee_a526_047c1617b143162.jpeg"/><Relationship Id="rId163" Type="http://schemas.openxmlformats.org/officeDocument/2006/relationships/image" Target="../media/d38b7214_86a5_11e9_8101_003048fd731b_e9151642_a59b_11ee_a526_047c1617b143163.jpeg"/><Relationship Id="rId164" Type="http://schemas.openxmlformats.org/officeDocument/2006/relationships/image" Target="../media/d38b7218_86a5_11e9_8101_003048fd731b_e9151646_a59b_11ee_a526_047c1617b143164.jpeg"/><Relationship Id="rId165" Type="http://schemas.openxmlformats.org/officeDocument/2006/relationships/image" Target="../media/d38b721c_86a5_11e9_8101_003048fd731b_e915164a_a59b_11ee_a526_047c1617b143165.jpeg"/><Relationship Id="rId166" Type="http://schemas.openxmlformats.org/officeDocument/2006/relationships/image" Target="../media/d38b7220_86a5_11e9_8101_003048fd731b_e915164e_a59b_11ee_a526_047c1617b143166.jpeg"/><Relationship Id="rId167" Type="http://schemas.openxmlformats.org/officeDocument/2006/relationships/image" Target="../media/d38b7224_86a5_11e9_8101_003048fd731b_e9151652_a59b_11ee_a526_047c1617b143167.jpeg"/><Relationship Id="rId168" Type="http://schemas.openxmlformats.org/officeDocument/2006/relationships/image" Target="../media/d38b7228_86a5_11e9_8101_003048fd731b_e9151656_a59b_11ee_a526_047c1617b143168.jpeg"/><Relationship Id="rId169" Type="http://schemas.openxmlformats.org/officeDocument/2006/relationships/image" Target="../media/d38b722c_86a5_11e9_8101_003048fd731b_e915165a_a59b_11ee_a526_047c1617b143169.jpeg"/><Relationship Id="rId170" Type="http://schemas.openxmlformats.org/officeDocument/2006/relationships/image" Target="../media/d38b7230_86a5_11e9_8101_003048fd731b_e915165e_a59b_11ee_a526_047c1617b143170.jpeg"/><Relationship Id="rId171" Type="http://schemas.openxmlformats.org/officeDocument/2006/relationships/image" Target="../media/d38b7234_86a5_11e9_8101_003048fd731b_e9151662_a59b_11ee_a526_047c1617b143171.jpeg"/><Relationship Id="rId172" Type="http://schemas.openxmlformats.org/officeDocument/2006/relationships/image" Target="../media/d38b7238_86a5_11e9_8101_003048fd731b_e9151666_a59b_11ee_a526_047c1617b143172.jpeg"/><Relationship Id="rId173" Type="http://schemas.openxmlformats.org/officeDocument/2006/relationships/image" Target="../media/d38b723c_86a5_11e9_8101_003048fd731b_e915166a_a59b_11ee_a526_047c1617b143173.jpeg"/><Relationship Id="rId174" Type="http://schemas.openxmlformats.org/officeDocument/2006/relationships/image" Target="../media/d38b7240_86a5_11e9_8101_003048fd731b_e915166e_a59b_11ee_a526_047c1617b143174.jpeg"/><Relationship Id="rId175" Type="http://schemas.openxmlformats.org/officeDocument/2006/relationships/image" Target="../media/d38b7244_86a5_11e9_8101_003048fd731b_e9151672_a59b_11ee_a526_047c1617b143175.jpeg"/><Relationship Id="rId176" Type="http://schemas.openxmlformats.org/officeDocument/2006/relationships/image" Target="../media/d38b7248_86a5_11e9_8101_003048fd731b_e9151676_a59b_11ee_a526_047c1617b143176.jpeg"/><Relationship Id="rId177" Type="http://schemas.openxmlformats.org/officeDocument/2006/relationships/image" Target="../media/d38b724c_86a5_11e9_8101_003048fd731b_e915167a_a59b_11ee_a526_047c1617b143177.jpeg"/><Relationship Id="rId178" Type="http://schemas.openxmlformats.org/officeDocument/2006/relationships/image" Target="../media/d38b7250_86a5_11e9_8101_003048fd731b_e915167b_a59b_11ee_a526_047c1617b143178.jpeg"/><Relationship Id="rId179" Type="http://schemas.openxmlformats.org/officeDocument/2006/relationships/image" Target="../media/d38b7254_86a5_11e9_8101_003048fd731b_e915167c_a59b_11ee_a526_047c1617b143179.jpeg"/><Relationship Id="rId180" Type="http://schemas.openxmlformats.org/officeDocument/2006/relationships/image" Target="../media/d38b7258_86a5_11e9_8101_003048fd731b_e915167d_a59b_11ee_a526_047c1617b143180.jpeg"/><Relationship Id="rId181" Type="http://schemas.openxmlformats.org/officeDocument/2006/relationships/image" Target="../media/d38b725c_86a5_11e9_8101_003048fd731b_e915167e_a59b_11ee_a526_047c1617b143181.jpeg"/><Relationship Id="rId182" Type="http://schemas.openxmlformats.org/officeDocument/2006/relationships/image" Target="../media/d38b7260_86a5_11e9_8101_003048fd731b_e915167f_a59b_11ee_a526_047c1617b143182.jpeg"/><Relationship Id="rId183" Type="http://schemas.openxmlformats.org/officeDocument/2006/relationships/image" Target="../media/d38b7264_86a5_11e9_8101_003048fd731b_e9151680_a59b_11ee_a526_047c1617b143183.jpeg"/><Relationship Id="rId184" Type="http://schemas.openxmlformats.org/officeDocument/2006/relationships/image" Target="../media/d38b7268_86a5_11e9_8101_003048fd731b_e9151684_a59b_11ee_a526_047c1617b143184.jpeg"/><Relationship Id="rId185" Type="http://schemas.openxmlformats.org/officeDocument/2006/relationships/image" Target="../media/d38b726c_86a5_11e9_8101_003048fd731b_e9151688_a59b_11ee_a526_047c1617b143185.jpeg"/><Relationship Id="rId186" Type="http://schemas.openxmlformats.org/officeDocument/2006/relationships/image" Target="../media/d38b7270_86a5_11e9_8101_003048fd731b_e915168c_a59b_11ee_a526_047c1617b143186.jpeg"/><Relationship Id="rId187" Type="http://schemas.openxmlformats.org/officeDocument/2006/relationships/image" Target="../media/d38b7274_86a5_11e9_8101_003048fd731b_e9151690_a59b_11ee_a526_047c1617b143187.jpeg"/><Relationship Id="rId188" Type="http://schemas.openxmlformats.org/officeDocument/2006/relationships/image" Target="../media/d38b7278_86a5_11e9_8101_003048fd731b_e9151694_a59b_11ee_a526_047c1617b143188.jpeg"/><Relationship Id="rId189" Type="http://schemas.openxmlformats.org/officeDocument/2006/relationships/image" Target="../media/d38b727a_86a5_11e9_8101_003048fd731b_e9151698_a59b_11ee_a526_047c1617b143189.jpeg"/><Relationship Id="rId190" Type="http://schemas.openxmlformats.org/officeDocument/2006/relationships/image" Target="../media/d38b727c_86a5_11e9_8101_003048fd731b_e915169c_a59b_11ee_a526_047c1617b143190.jpeg"/><Relationship Id="rId191" Type="http://schemas.openxmlformats.org/officeDocument/2006/relationships/image" Target="../media/d38b7280_86a5_11e9_8101_003048fd731b_e91516a0_a59b_11ee_a526_047c1617b143191.jpeg"/><Relationship Id="rId192" Type="http://schemas.openxmlformats.org/officeDocument/2006/relationships/image" Target="../media/d38b7284_86a5_11e9_8101_003048fd731b_e91516a4_a59b_11ee_a526_047c1617b143192.jpeg"/><Relationship Id="rId193" Type="http://schemas.openxmlformats.org/officeDocument/2006/relationships/image" Target="../media/d38b7288_86a5_11e9_8101_003048fd731b_e91516a8_a59b_11ee_a526_047c1617b143193.jpeg"/><Relationship Id="rId194" Type="http://schemas.openxmlformats.org/officeDocument/2006/relationships/image" Target="../media/d38b728c_86a5_11e9_8101_003048fd731b_e91516ac_a59b_11ee_a526_047c1617b143194.jpeg"/><Relationship Id="rId195" Type="http://schemas.openxmlformats.org/officeDocument/2006/relationships/image" Target="../media/d38b7290_86a5_11e9_8101_003048fd731b_e91516b0_a59b_11ee_a526_047c1617b143195.jpeg"/><Relationship Id="rId196" Type="http://schemas.openxmlformats.org/officeDocument/2006/relationships/image" Target="../media/d38b7294_86a5_11e9_8101_003048fd731b_e91516b4_a59b_11ee_a526_047c1617b143196.jpeg"/><Relationship Id="rId197" Type="http://schemas.openxmlformats.org/officeDocument/2006/relationships/image" Target="../media/d38b7296_86a5_11e9_8101_003048fd731b_e91516b8_a59b_11ee_a526_047c1617b143197.jpeg"/><Relationship Id="rId198" Type="http://schemas.openxmlformats.org/officeDocument/2006/relationships/image" Target="../media/d38b7298_86a5_11e9_8101_003048fd731b_e91516bc_a59b_11ee_a526_047c1617b143198.jpeg"/><Relationship Id="rId199" Type="http://schemas.openxmlformats.org/officeDocument/2006/relationships/image" Target="../media/d38b729c_86a5_11e9_8101_003048fd731b_e91516c0_a59b_11ee_a526_047c1617b143199.jpeg"/><Relationship Id="rId200" Type="http://schemas.openxmlformats.org/officeDocument/2006/relationships/image" Target="../media/d38b72a0_86a5_11e9_8101_003048fd731b_e91516c4_a59b_11ee_a526_047c1617b143200.jpeg"/><Relationship Id="rId201" Type="http://schemas.openxmlformats.org/officeDocument/2006/relationships/image" Target="../media/d38b72a4_86a5_11e9_8101_003048fd731b_e91516c8_a59b_11ee_a526_047c1617b143201.jpeg"/><Relationship Id="rId202" Type="http://schemas.openxmlformats.org/officeDocument/2006/relationships/image" Target="../media/d38b72a8_86a5_11e9_8101_003048fd731b_e91516cc_a59b_11ee_a526_047c1617b143202.jpeg"/><Relationship Id="rId203" Type="http://schemas.openxmlformats.org/officeDocument/2006/relationships/image" Target="../media/d38b72ac_86a5_11e9_8101_003048fd731b_e91516d0_a59b_11ee_a526_047c1617b143203.jpeg"/><Relationship Id="rId204" Type="http://schemas.openxmlformats.org/officeDocument/2006/relationships/image" Target="../media/d38b72b0_86a5_11e9_8101_003048fd731b_e91516d4_a59b_11ee_a526_047c1617b143204.jpeg"/><Relationship Id="rId205" Type="http://schemas.openxmlformats.org/officeDocument/2006/relationships/image" Target="../media/d38b72b4_86a5_11e9_8101_003048fd731b_e91516d8_a59b_11ee_a526_047c1617b143205.jpeg"/><Relationship Id="rId206" Type="http://schemas.openxmlformats.org/officeDocument/2006/relationships/image" Target="../media/d38b72b8_86a5_11e9_8101_003048fd731b_e91516dc_a59b_11ee_a526_047c1617b143206.jpeg"/><Relationship Id="rId207" Type="http://schemas.openxmlformats.org/officeDocument/2006/relationships/image" Target="../media/d38b72bc_86a5_11e9_8101_003048fd731b_6949adba_f953_11e9_810b_003048fd731b207.jpeg"/><Relationship Id="rId208" Type="http://schemas.openxmlformats.org/officeDocument/2006/relationships/image" Target="../media/d38b72c0_86a5_11e9_8101_003048fd731b_6949adbb_f953_11e9_810b_003048fd731b208.jpeg"/><Relationship Id="rId209" Type="http://schemas.openxmlformats.org/officeDocument/2006/relationships/image" Target="../media/d38b72c4_86a5_11e9_8101_003048fd731b_6949adbc_f953_11e9_810b_003048fd731b209.jpeg"/><Relationship Id="rId210" Type="http://schemas.openxmlformats.org/officeDocument/2006/relationships/image" Target="../media/d38b72c8_86a5_11e9_8101_003048fd731b_6949adbd_f953_11e9_810b_003048fd731b210.jpeg"/><Relationship Id="rId211" Type="http://schemas.openxmlformats.org/officeDocument/2006/relationships/image" Target="../media/d38b72cc_86a5_11e9_8101_003048fd731b_6949adbe_f953_11e9_810b_003048fd731b211.jpeg"/><Relationship Id="rId212" Type="http://schemas.openxmlformats.org/officeDocument/2006/relationships/image" Target="../media/e04e50af_77ea_11ea_8111_003048fd731b_e91516e0_a59b_11ee_a526_047c1617b143212.jpeg"/><Relationship Id="rId213" Type="http://schemas.openxmlformats.org/officeDocument/2006/relationships/image" Target="../media/e04e50b1_77ea_11ea_8111_003048fd731b_e91516e4_a59b_11ee_a526_047c1617b143213.jpeg"/><Relationship Id="rId214" Type="http://schemas.openxmlformats.org/officeDocument/2006/relationships/image" Target="../media/e04e50b3_77ea_11ea_8111_003048fd731b_e91516e8_a59b_11ee_a526_047c1617b143214.jpeg"/><Relationship Id="rId215" Type="http://schemas.openxmlformats.org/officeDocument/2006/relationships/image" Target="../media/e04e50b5_77ea_11ea_8111_003048fd731b_e91516ec_a59b_11ee_a526_047c1617b143215.jpeg"/><Relationship Id="rId216" Type="http://schemas.openxmlformats.org/officeDocument/2006/relationships/image" Target="../media/e04e50b7_77ea_11ea_8111_003048fd731b_e91516f0_a59b_11ee_a526_047c1617b143216.jpeg"/><Relationship Id="rId217" Type="http://schemas.openxmlformats.org/officeDocument/2006/relationships/image" Target="../media/e04e50b9_77ea_11ea_8111_003048fd731b_e91516f4_a59b_11ee_a526_047c1617b143217.jpeg"/><Relationship Id="rId218" Type="http://schemas.openxmlformats.org/officeDocument/2006/relationships/image" Target="../media/e04e50bb_77ea_11ea_8111_003048fd731b_e91516f8_a59b_11ee_a526_047c1617b143218.jpeg"/><Relationship Id="rId219" Type="http://schemas.openxmlformats.org/officeDocument/2006/relationships/image" Target="../media/e04e50bd_77ea_11ea_8111_003048fd731b_e91516fc_a59b_11ee_a526_047c1617b143219.jpeg"/><Relationship Id="rId220" Type="http://schemas.openxmlformats.org/officeDocument/2006/relationships/image" Target="../media/e04e50bf_77ea_11ea_8111_003048fd731b_e9151700_a59b_11ee_a526_047c1617b143220.jpeg"/><Relationship Id="rId221" Type="http://schemas.openxmlformats.org/officeDocument/2006/relationships/image" Target="../media/e04e50c1_77ea_11ea_8111_003048fd731b_e9151704_a59b_11ee_a526_047c1617b143221.jpeg"/><Relationship Id="rId222" Type="http://schemas.openxmlformats.org/officeDocument/2006/relationships/image" Target="../media/e04e50c3_77ea_11ea_8111_003048fd731b_e9151708_a59b_11ee_a526_047c1617b143222.jpeg"/><Relationship Id="rId223" Type="http://schemas.openxmlformats.org/officeDocument/2006/relationships/image" Target="../media/e04e50c5_77ea_11ea_8111_003048fd731b_e915170c_a59b_11ee_a526_047c1617b143223.jpeg"/><Relationship Id="rId224" Type="http://schemas.openxmlformats.org/officeDocument/2006/relationships/image" Target="../media/e04e50c7_77ea_11ea_8111_003048fd731b_e9151710_a59b_11ee_a526_047c1617b143224.jpeg"/><Relationship Id="rId225" Type="http://schemas.openxmlformats.org/officeDocument/2006/relationships/image" Target="../media/e04e50c9_77ea_11ea_8111_003048fd731b_e9151714_a59b_11ee_a526_047c1617b143225.jpeg"/><Relationship Id="rId226" Type="http://schemas.openxmlformats.org/officeDocument/2006/relationships/image" Target="../media/e04e50cb_77ea_11ea_8111_003048fd731b_e9151718_a59b_11ee_a526_047c1617b143226.jpeg"/><Relationship Id="rId227" Type="http://schemas.openxmlformats.org/officeDocument/2006/relationships/image" Target="../media/e04e50cd_77ea_11ea_8111_003048fd731b_e915171c_a59b_11ee_a526_047c1617b143227.jpeg"/><Relationship Id="rId228" Type="http://schemas.openxmlformats.org/officeDocument/2006/relationships/image" Target="../media/e04e50cf_77ea_11ea_8111_003048fd731b_e9151720_a59b_11ee_a526_047c1617b143228.jpeg"/><Relationship Id="rId229" Type="http://schemas.openxmlformats.org/officeDocument/2006/relationships/image" Target="../media/e04e50d1_77ea_11ea_8111_003048fd731b_e9151724_a59b_11ee_a526_047c1617b143229.jpeg"/><Relationship Id="rId230" Type="http://schemas.openxmlformats.org/officeDocument/2006/relationships/image" Target="../media/e04e50d3_77ea_11ea_8111_003048fd731b_e9151728_a59b_11ee_a526_047c1617b143230.jpeg"/><Relationship Id="rId231" Type="http://schemas.openxmlformats.org/officeDocument/2006/relationships/image" Target="../media/e04e50d5_77ea_11ea_8111_003048fd731b_e915172c_a59b_11ee_a526_047c1617b143231.jpeg"/><Relationship Id="rId232" Type="http://schemas.openxmlformats.org/officeDocument/2006/relationships/image" Target="../media/6d083aa1_3466_11eb_81f3_003048fd731b_e9151730_a59b_11ee_a526_047c1617b143232.jpeg"/><Relationship Id="rId233" Type="http://schemas.openxmlformats.org/officeDocument/2006/relationships/image" Target="../media/6d083aa3_3466_11eb_81f3_003048fd731b_e9151734_a59b_11ee_a526_047c1617b143233.jpeg"/><Relationship Id="rId234" Type="http://schemas.openxmlformats.org/officeDocument/2006/relationships/image" Target="../media/6d083aa5_3466_11eb_81f3_003048fd731b_e9151738_a59b_11ee_a526_047c1617b143234.jpeg"/><Relationship Id="rId235" Type="http://schemas.openxmlformats.org/officeDocument/2006/relationships/image" Target="../media/6d083aa7_3466_11eb_81f3_003048fd731b_e915173c_a59b_11ee_a526_047c1617b143235.jpeg"/><Relationship Id="rId236" Type="http://schemas.openxmlformats.org/officeDocument/2006/relationships/image" Target="../media/6d083aa9_3466_11eb_81f3_003048fd731b_e9151740_a59b_11ee_a526_047c1617b143236.jpeg"/><Relationship Id="rId237" Type="http://schemas.openxmlformats.org/officeDocument/2006/relationships/image" Target="../media/6d083aab_3466_11eb_81f3_003048fd731b_e9151744_a59b_11ee_a526_047c1617b143237.jpeg"/><Relationship Id="rId238" Type="http://schemas.openxmlformats.org/officeDocument/2006/relationships/image" Target="../media/6d083aad_3466_11eb_81f3_003048fd731b_e9151748_a59b_11ee_a526_047c1617b143238.jpeg"/><Relationship Id="rId239" Type="http://schemas.openxmlformats.org/officeDocument/2006/relationships/image" Target="../media/6d083aaf_3466_11eb_81f3_003048fd731b_e915174c_a59b_11ee_a526_047c1617b143239.jpeg"/><Relationship Id="rId240" Type="http://schemas.openxmlformats.org/officeDocument/2006/relationships/image" Target="../media/6d083ab1_3466_11eb_81f3_003048fd731b_e9151750_a59b_11ee_a526_047c1617b143240.jpeg"/><Relationship Id="rId241" Type="http://schemas.openxmlformats.org/officeDocument/2006/relationships/image" Target="../media/6d083ab3_3466_11eb_81f3_003048fd731b_e9151754_a59b_11ee_a526_047c1617b143241.jpeg"/><Relationship Id="rId242" Type="http://schemas.openxmlformats.org/officeDocument/2006/relationships/image" Target="../media/6d083ab5_3466_11eb_81f3_003048fd731b_e9151758_a59b_11ee_a526_047c1617b143242.jpeg"/><Relationship Id="rId243" Type="http://schemas.openxmlformats.org/officeDocument/2006/relationships/image" Target="../media/6d083ab7_3466_11eb_81f3_003048fd731b_e915175c_a59b_11ee_a526_047c1617b143243.jpeg"/><Relationship Id="rId244" Type="http://schemas.openxmlformats.org/officeDocument/2006/relationships/image" Target="../media/6d083ab9_3466_11eb_81f3_003048fd731b_e9151760_a59b_11ee_a526_047c1617b143244.jpeg"/><Relationship Id="rId245" Type="http://schemas.openxmlformats.org/officeDocument/2006/relationships/image" Target="../media/6d083abb_3466_11eb_81f3_003048fd731b_e9151764_a59b_11ee_a526_047c1617b143245.jpeg"/><Relationship Id="rId246" Type="http://schemas.openxmlformats.org/officeDocument/2006/relationships/image" Target="../media/6d083abd_3466_11eb_81f3_003048fd731b_e9151768_a59b_11ee_a526_047c1617b143246.jpeg"/><Relationship Id="rId247" Type="http://schemas.openxmlformats.org/officeDocument/2006/relationships/image" Target="../media/6d083abf_3466_11eb_81f3_003048fd731b_e915176c_a59b_11ee_a526_047c1617b143247.jpeg"/><Relationship Id="rId248" Type="http://schemas.openxmlformats.org/officeDocument/2006/relationships/image" Target="../media/6d083ac1_3466_11eb_81f3_003048fd731b_e915176d_a59b_11ee_a526_047c1617b143248.jpeg"/><Relationship Id="rId249" Type="http://schemas.openxmlformats.org/officeDocument/2006/relationships/image" Target="../media/6d083ac3_3466_11eb_81f3_003048fd731b_e915176e_a59b_11ee_a526_047c1617b143249.jpeg"/><Relationship Id="rId250" Type="http://schemas.openxmlformats.org/officeDocument/2006/relationships/image" Target="../media/6d083ac5_3466_11eb_81f3_003048fd731b_e9151772_a59b_11ee_a526_047c1617b143250.jpeg"/><Relationship Id="rId251" Type="http://schemas.openxmlformats.org/officeDocument/2006/relationships/image" Target="../media/6d083ac7_3466_11eb_81f3_003048fd731b_e9151776_a59b_11ee_a526_047c1617b143251.jpeg"/><Relationship Id="rId252" Type="http://schemas.openxmlformats.org/officeDocument/2006/relationships/image" Target="../media/6d083ac9_3466_11eb_81f3_003048fd731b_e915177a_a59b_11ee_a526_047c1617b143252.jpeg"/><Relationship Id="rId253" Type="http://schemas.openxmlformats.org/officeDocument/2006/relationships/image" Target="../media/6d083acb_3466_11eb_81f3_003048fd731b_e915177e_a59b_11ee_a526_047c1617b143253.jpeg"/><Relationship Id="rId254" Type="http://schemas.openxmlformats.org/officeDocument/2006/relationships/image" Target="../media/6d083acd_3466_11eb_81f3_003048fd731b_e9151782_a59b_11ee_a526_047c1617b143254.jpeg"/><Relationship Id="rId255" Type="http://schemas.openxmlformats.org/officeDocument/2006/relationships/image" Target="../media/6d083acf_3466_11eb_81f3_003048fd731b_e9151786_a59b_11ee_a526_047c1617b143255.jpeg"/><Relationship Id="rId256" Type="http://schemas.openxmlformats.org/officeDocument/2006/relationships/image" Target="../media/6d083ad1_3466_11eb_81f3_003048fd731b_e915178a_a59b_11ee_a526_047c1617b143256.jpeg"/><Relationship Id="rId257" Type="http://schemas.openxmlformats.org/officeDocument/2006/relationships/image" Target="../media/65637d5c_0b65_11ec_831e_003048fd731b_e915178e_a59b_11ee_a526_047c1617b143257.jpeg"/><Relationship Id="rId258" Type="http://schemas.openxmlformats.org/officeDocument/2006/relationships/image" Target="../media/65637d5e_0b65_11ec_831e_003048fd731b_e9151792_a59b_11ee_a526_047c1617b143258.jpeg"/><Relationship Id="rId259" Type="http://schemas.openxmlformats.org/officeDocument/2006/relationships/image" Target="../media/65637d60_0b65_11ec_831e_003048fd731b_e9151796_a59b_11ee_a526_047c1617b143259.jpeg"/><Relationship Id="rId260" Type="http://schemas.openxmlformats.org/officeDocument/2006/relationships/image" Target="../media/65637d62_0b65_11ec_831e_003048fd731b_e915179a_a59b_11ee_a526_047c1617b143260.jpeg"/><Relationship Id="rId261" Type="http://schemas.openxmlformats.org/officeDocument/2006/relationships/image" Target="../media/65637d64_0b65_11ec_831e_003048fd731b_e915179e_a59b_11ee_a526_047c1617b143261.jpeg"/><Relationship Id="rId262" Type="http://schemas.openxmlformats.org/officeDocument/2006/relationships/image" Target="../media/65637d66_0b65_11ec_831e_003048fd731b_e91517a2_a59b_11ee_a526_047c1617b143262.jpeg"/><Relationship Id="rId263" Type="http://schemas.openxmlformats.org/officeDocument/2006/relationships/image" Target="../media/65637d68_0b65_11ec_831e_003048fd731b_e91517a6_a59b_11ee_a526_047c1617b143263.jpeg"/><Relationship Id="rId264" Type="http://schemas.openxmlformats.org/officeDocument/2006/relationships/image" Target="../media/65637d6a_0b65_11ec_831e_003048fd731b_e91517aa_a59b_11ee_a526_047c1617b143264.jpeg"/><Relationship Id="rId265" Type="http://schemas.openxmlformats.org/officeDocument/2006/relationships/image" Target="../media/65637d6c_0b65_11ec_831e_003048fd731b_e91517ae_a59b_11ee_a526_047c1617b143265.jpeg"/><Relationship Id="rId266" Type="http://schemas.openxmlformats.org/officeDocument/2006/relationships/image" Target="../media/65637d6e_0b65_11ec_831e_003048fd731b_e91517b2_a59b_11ee_a526_047c1617b143266.jpeg"/><Relationship Id="rId267" Type="http://schemas.openxmlformats.org/officeDocument/2006/relationships/image" Target="../media/65637d70_0b65_11ec_831e_003048fd731b_e91517b3_a59b_11ee_a526_047c1617b143267.jpeg"/><Relationship Id="rId268" Type="http://schemas.openxmlformats.org/officeDocument/2006/relationships/image" Target="../media/65637d72_0b65_11ec_831e_003048fd731b_e91517b4_a59b_11ee_a526_047c1617b143268.jpeg"/><Relationship Id="rId269" Type="http://schemas.openxmlformats.org/officeDocument/2006/relationships/image" Target="../media/c6a1728d_86a5_11e9_8101_003048fd731b_e28851ce_a59b_11ee_a526_047c1617b143269.jpeg"/><Relationship Id="rId270" Type="http://schemas.openxmlformats.org/officeDocument/2006/relationships/image" Target="../media/c6a1728f_86a5_11e9_8101_003048fd731b_e28851cf_a59b_11ee_a526_047c1617b143270.jpeg"/><Relationship Id="rId271" Type="http://schemas.openxmlformats.org/officeDocument/2006/relationships/image" Target="../media/c6a17291_86a5_11e9_8101_003048fd731b_e28851d0_a59b_11ee_a526_047c1617b143271.jpeg"/><Relationship Id="rId272" Type="http://schemas.openxmlformats.org/officeDocument/2006/relationships/image" Target="../media/c6a17293_86a5_11e9_8101_003048fd731b_e28851d1_a59b_11ee_a526_047c1617b143272.jpeg"/><Relationship Id="rId273" Type="http://schemas.openxmlformats.org/officeDocument/2006/relationships/image" Target="../media/c6a17295_86a5_11e9_8101_003048fd731b_e28851d2_a59b_11ee_a526_047c1617b143273.jpeg"/><Relationship Id="rId274" Type="http://schemas.openxmlformats.org/officeDocument/2006/relationships/image" Target="../media/c6a17297_86a5_11e9_8101_003048fd731b_e28851d3_a59b_11ee_a526_047c1617b143274.jpeg"/><Relationship Id="rId275" Type="http://schemas.openxmlformats.org/officeDocument/2006/relationships/image" Target="../media/c6a17299_86a5_11e9_8101_003048fd731b_e28851d4_a59b_11ee_a526_047c1617b143275.jpeg"/><Relationship Id="rId276" Type="http://schemas.openxmlformats.org/officeDocument/2006/relationships/image" Target="../media/c6a1729b_86a5_11e9_8101_003048fd731b_e28851d5_a59b_11ee_a526_047c1617b143276.jpeg"/><Relationship Id="rId277" Type="http://schemas.openxmlformats.org/officeDocument/2006/relationships/image" Target="../media/60a9d7bf_d53f_11e9_8109_003048fd731b_e28851d6_a59b_11ee_a526_047c1617b143277.jpeg"/><Relationship Id="rId278" Type="http://schemas.openxmlformats.org/officeDocument/2006/relationships/image" Target="../media/60a9d7c4_d53f_11e9_8109_003048fd731b_e28851d7_a59b_11ee_a526_047c1617b143278.jpeg"/><Relationship Id="rId279" Type="http://schemas.openxmlformats.org/officeDocument/2006/relationships/image" Target="../media/60a9d7c7_d53f_11e9_8109_003048fd731b_e28851d8_a59b_11ee_a526_047c1617b143279.jpeg"/><Relationship Id="rId280" Type="http://schemas.openxmlformats.org/officeDocument/2006/relationships/image" Target="../media/60a9d7cc_d53f_11e9_8109_003048fd731b_e28851d9_a59b_11ee_a526_047c1617b143280.jpeg"/><Relationship Id="rId281" Type="http://schemas.openxmlformats.org/officeDocument/2006/relationships/image" Target="../media/60a9d7ce_d53f_11e9_8109_003048fd731b_e28851da_a59b_11ee_a526_047c1617b143281.jpeg"/><Relationship Id="rId282" Type="http://schemas.openxmlformats.org/officeDocument/2006/relationships/image" Target="../media/60a9d7d0_d53f_11e9_8109_003048fd731b_e28851db_a59b_11ee_a526_047c1617b143282.jpeg"/><Relationship Id="rId283" Type="http://schemas.openxmlformats.org/officeDocument/2006/relationships/image" Target="../media/60a9d7d2_d53f_11e9_8109_003048fd731b_e28851dc_a59b_11ee_a526_047c1617b143283.jpeg"/><Relationship Id="rId284" Type="http://schemas.openxmlformats.org/officeDocument/2006/relationships/image" Target="../media/60a9d7d4_d53f_11e9_8109_003048fd731b_e28851dd_a59b_11ee_a526_047c1617b143284.jpeg"/><Relationship Id="rId285" Type="http://schemas.openxmlformats.org/officeDocument/2006/relationships/image" Target="../media/a9089673_d540_11e9_8109_003048fd731b_e28851de_a59b_11ee_a526_047c1617b143285.jpeg"/><Relationship Id="rId286" Type="http://schemas.openxmlformats.org/officeDocument/2006/relationships/image" Target="../media/a9089675_d540_11e9_8109_003048fd731b_e28851df_a59b_11ee_a526_047c1617b143286.jpeg"/><Relationship Id="rId287" Type="http://schemas.openxmlformats.org/officeDocument/2006/relationships/image" Target="../media/a9089677_d540_11e9_8109_003048fd731b_e28851e0_a59b_11ee_a526_047c1617b143287.jpeg"/><Relationship Id="rId288" Type="http://schemas.openxmlformats.org/officeDocument/2006/relationships/image" Target="../media/a9089679_d540_11e9_8109_003048fd731b_e28851e1_a59b_11ee_a526_047c1617b143288.jpeg"/><Relationship Id="rId289" Type="http://schemas.openxmlformats.org/officeDocument/2006/relationships/image" Target="../media/a908967b_d540_11e9_8109_003048fd731b_e28851e2_a59b_11ee_a526_047c1617b143289.jpeg"/><Relationship Id="rId290" Type="http://schemas.openxmlformats.org/officeDocument/2006/relationships/image" Target="../media/a908967d_d540_11e9_8109_003048fd731b_e28851e3_a59b_11ee_a526_047c1617b143290.jpeg"/><Relationship Id="rId291" Type="http://schemas.openxmlformats.org/officeDocument/2006/relationships/image" Target="../media/a908967f_d540_11e9_8109_003048fd731b_e28851e4_a59b_11ee_a526_047c1617b143291.jpeg"/><Relationship Id="rId292" Type="http://schemas.openxmlformats.org/officeDocument/2006/relationships/image" Target="../media/a9089681_d540_11e9_8109_003048fd731b_e28851e5_a59b_11ee_a526_047c1617b143292.jpeg"/><Relationship Id="rId293" Type="http://schemas.openxmlformats.org/officeDocument/2006/relationships/image" Target="../media/a9089683_d540_11e9_8109_003048fd731b_592215d3_11fe_11ef_a5b8_047c1617b143293.jpeg"/><Relationship Id="rId294" Type="http://schemas.openxmlformats.org/officeDocument/2006/relationships/image" Target="../media/a9089685_d540_11e9_8109_003048fd731b_e28851e6_a59b_11ee_a526_047c1617b143294.jpeg"/><Relationship Id="rId295" Type="http://schemas.openxmlformats.org/officeDocument/2006/relationships/image" Target="../media/a9089687_d540_11e9_8109_003048fd731b_e28851e7_a59b_11ee_a526_047c1617b143295.jpeg"/><Relationship Id="rId296" Type="http://schemas.openxmlformats.org/officeDocument/2006/relationships/image" Target="../media/a9089689_d540_11e9_8109_003048fd731b_e28851e8_a59b_11ee_a526_047c1617b143296.jpeg"/><Relationship Id="rId297" Type="http://schemas.openxmlformats.org/officeDocument/2006/relationships/image" Target="../media/a908968b_d540_11e9_8109_003048fd731b_e28851e9_a59b_11ee_a526_047c1617b143297.jpeg"/><Relationship Id="rId298" Type="http://schemas.openxmlformats.org/officeDocument/2006/relationships/image" Target="../media/a908968d_d540_11e9_8109_003048fd731b_e28851ea_a59b_11ee_a526_047c1617b143298.jpeg"/><Relationship Id="rId299" Type="http://schemas.openxmlformats.org/officeDocument/2006/relationships/image" Target="../media/a908968f_d540_11e9_8109_003048fd731b_e28851eb_a59b_11ee_a526_047c1617b143299.jpeg"/><Relationship Id="rId300" Type="http://schemas.openxmlformats.org/officeDocument/2006/relationships/image" Target="../media/a9089691_d540_11e9_8109_003048fd731b_e28851ec_a59b_11ee_a526_047c1617b143300.jpeg"/><Relationship Id="rId301" Type="http://schemas.openxmlformats.org/officeDocument/2006/relationships/image" Target="../media/a9089693_d540_11e9_8109_003048fd731b_e28851ed_a59b_11ee_a526_047c1617b143301.jpeg"/><Relationship Id="rId302" Type="http://schemas.openxmlformats.org/officeDocument/2006/relationships/image" Target="../media/a9089695_d540_11e9_8109_003048fd731b_e28851ee_a59b_11ee_a526_047c1617b143302.jpeg"/><Relationship Id="rId303" Type="http://schemas.openxmlformats.org/officeDocument/2006/relationships/image" Target="../media/a9089697_d540_11e9_8109_003048fd731b_e28851ef_a59b_11ee_a526_047c1617b143303.jpeg"/><Relationship Id="rId304" Type="http://schemas.openxmlformats.org/officeDocument/2006/relationships/image" Target="../media/a9089699_d540_11e9_8109_003048fd731b_e28851f0_a59b_11ee_a526_047c1617b143304.jpeg"/><Relationship Id="rId305" Type="http://schemas.openxmlformats.org/officeDocument/2006/relationships/image" Target="../media/3650f788_f3c8_11eb_82ff_003048fd731b_e28851cc_a59b_11ee_a526_047c1617b143305.jpeg"/><Relationship Id="rId306" Type="http://schemas.openxmlformats.org/officeDocument/2006/relationships/image" Target="../media/3650f78a_f3c8_11eb_82ff_003048fd731b_e28851cd_a59b_11ee_a526_047c1617b143306.jpeg"/><Relationship Id="rId307" Type="http://schemas.openxmlformats.org/officeDocument/2006/relationships/image" Target="../media/394360fd_c40a_11ea_8158_003048fd731b_e91517b5_a59b_11ee_a526_047c1617b143307.jpeg"/><Relationship Id="rId308" Type="http://schemas.openxmlformats.org/officeDocument/2006/relationships/image" Target="../media/394360ff_c40a_11ea_8158_003048fd731b_e91517b7_a59b_11ee_a526_047c1617b143308.jpeg"/><Relationship Id="rId309" Type="http://schemas.openxmlformats.org/officeDocument/2006/relationships/image" Target="../media/39436101_c40a_11ea_8158_003048fd731b_e91517b9_a59b_11ee_a526_047c1617b143309.jpeg"/><Relationship Id="rId310" Type="http://schemas.openxmlformats.org/officeDocument/2006/relationships/image" Target="../media/39436103_c40a_11ea_8158_003048fd731b_e91517bb_a59b_11ee_a526_047c1617b143310.jpeg"/><Relationship Id="rId311" Type="http://schemas.openxmlformats.org/officeDocument/2006/relationships/image" Target="../media/39436105_c40a_11ea_8158_003048fd731b_e91517bd_a59b_11ee_a526_047c1617b143311.jpeg"/><Relationship Id="rId312" Type="http://schemas.openxmlformats.org/officeDocument/2006/relationships/image" Target="../media/39436107_c40a_11ea_8158_003048fd731b_e91517bf_a59b_11ee_a526_047c1617b143312.jpeg"/><Relationship Id="rId313" Type="http://schemas.openxmlformats.org/officeDocument/2006/relationships/image" Target="../media/39436109_c40a_11ea_8158_003048fd731b_e91517c1_a59b_11ee_a526_047c1617b143313.jpeg"/><Relationship Id="rId314" Type="http://schemas.openxmlformats.org/officeDocument/2006/relationships/image" Target="../media/3943610b_c40a_11ea_8158_003048fd731b_e91517c3_a59b_11ee_a526_047c1617b143314.jpeg"/><Relationship Id="rId315" Type="http://schemas.openxmlformats.org/officeDocument/2006/relationships/image" Target="../media/3943610d_c40a_11ea_8158_003048fd731b_e91517c5_a59b_11ee_a526_047c1617b143315.jpeg"/><Relationship Id="rId316" Type="http://schemas.openxmlformats.org/officeDocument/2006/relationships/image" Target="../media/3943610f_c40a_11ea_8158_003048fd731b_e91517c7_a59b_11ee_a526_047c1617b143316.jpeg"/><Relationship Id="rId317" Type="http://schemas.openxmlformats.org/officeDocument/2006/relationships/image" Target="../media/39436111_c40a_11ea_8158_003048fd731b_e91517c9_a59b_11ee_a526_047c1617b143317.jpeg"/><Relationship Id="rId318" Type="http://schemas.openxmlformats.org/officeDocument/2006/relationships/image" Target="../media/39436113_c40a_11ea_8158_003048fd731b_e91517cb_a59b_11ee_a526_047c1617b143318.jpeg"/><Relationship Id="rId319" Type="http://schemas.openxmlformats.org/officeDocument/2006/relationships/image" Target="../media/39436115_c40a_11ea_8158_003048fd731b_e91517cd_a59b_11ee_a526_047c1617b143319.jpeg"/><Relationship Id="rId320" Type="http://schemas.openxmlformats.org/officeDocument/2006/relationships/image" Target="../media/93c0032c_c476_11ea_8158_003048fd731b_e91517cf_a59b_11ee_a526_047c1617b143320.jpeg"/><Relationship Id="rId321" Type="http://schemas.openxmlformats.org/officeDocument/2006/relationships/image" Target="../media/93c0032e_c476_11ea_8158_003048fd731b_e91517d1_a59b_11ee_a526_047c1617b143321.jpeg"/><Relationship Id="rId322" Type="http://schemas.openxmlformats.org/officeDocument/2006/relationships/image" Target="../media/93c00330_c476_11ea_8158_003048fd731b_e91517d3_a59b_11ee_a526_047c1617b143322.jpeg"/><Relationship Id="rId323" Type="http://schemas.openxmlformats.org/officeDocument/2006/relationships/image" Target="../media/93c00332_c476_11ea_8158_003048fd731b_e91517d5_a59b_11ee_a526_047c1617b143323.jpeg"/><Relationship Id="rId324" Type="http://schemas.openxmlformats.org/officeDocument/2006/relationships/image" Target="../media/93c00334_c476_11ea_8158_003048fd731b_e91517d7_a59b_11ee_a526_047c1617b143324.jpeg"/><Relationship Id="rId325" Type="http://schemas.openxmlformats.org/officeDocument/2006/relationships/image" Target="../media/93c00336_c476_11ea_8158_003048fd731b_592215e6_11fe_11ef_a5b8_047c1617b143325.png"/><Relationship Id="rId326" Type="http://schemas.openxmlformats.org/officeDocument/2006/relationships/image" Target="../media/93c00338_c476_11ea_8158_003048fd731b_592215ee_11fe_11ef_a5b8_047c1617b143326.png"/><Relationship Id="rId327" Type="http://schemas.openxmlformats.org/officeDocument/2006/relationships/image" Target="../media/93c0033a_c476_11ea_8158_003048fd731b_592215f4_11fe_11ef_a5b8_047c1617b143327.png"/><Relationship Id="rId328" Type="http://schemas.openxmlformats.org/officeDocument/2006/relationships/image" Target="../media/93c0033c_c476_11ea_8158_003048fd731b_e91517df_a59b_11ee_a526_047c1617b143328.jpeg"/><Relationship Id="rId329" Type="http://schemas.openxmlformats.org/officeDocument/2006/relationships/image" Target="../media/93c0033e_c476_11ea_8158_003048fd731b_e91517e1_a59b_11ee_a526_047c1617b143329.jpeg"/><Relationship Id="rId330" Type="http://schemas.openxmlformats.org/officeDocument/2006/relationships/image" Target="../media/93c00340_c476_11ea_8158_003048fd731b_e91517e3_a59b_11ee_a526_047c1617b143330.jpeg"/><Relationship Id="rId331" Type="http://schemas.openxmlformats.org/officeDocument/2006/relationships/image" Target="../media/93c00342_c476_11ea_8158_003048fd731b_e91517e5_a59b_11ee_a526_047c1617b143331.jpeg"/><Relationship Id="rId332" Type="http://schemas.openxmlformats.org/officeDocument/2006/relationships/image" Target="../media/93c00344_c476_11ea_8158_003048fd731b_e91517e7_a59b_11ee_a526_047c1617b143332.jpeg"/><Relationship Id="rId333" Type="http://schemas.openxmlformats.org/officeDocument/2006/relationships/image" Target="../media/93c00346_c476_11ea_8158_003048fd731b_ae66e545_3fbb_11ef_a5f3_047c1617b143333.png"/><Relationship Id="rId334" Type="http://schemas.openxmlformats.org/officeDocument/2006/relationships/image" Target="../media/93c00348_c476_11ea_8158_003048fd731b_ae66e547_3fbb_11ef_a5f3_047c1617b143334.png"/><Relationship Id="rId335" Type="http://schemas.openxmlformats.org/officeDocument/2006/relationships/image" Target="../media/93c0034a_c476_11ea_8158_003048fd731b_ae66e549_3fbb_11ef_a5f3_047c1617b143335.png"/><Relationship Id="rId336" Type="http://schemas.openxmlformats.org/officeDocument/2006/relationships/image" Target="../media/93c0034c_c476_11ea_8158_003048fd731b_ae66e54d_3fbb_11ef_a5f3_047c1617b143336.png"/><Relationship Id="rId337" Type="http://schemas.openxmlformats.org/officeDocument/2006/relationships/image" Target="../media/93c0034e_c476_11ea_8158_003048fd731b_ae66e54f_3fbb_11ef_a5f3_047c1617b143337.png"/><Relationship Id="rId338" Type="http://schemas.openxmlformats.org/officeDocument/2006/relationships/image" Target="../media/93c00350_c476_11ea_8158_003048fd731b_ae66e54b_3fbb_11ef_a5f3_047c1617b143338.png"/><Relationship Id="rId339" Type="http://schemas.openxmlformats.org/officeDocument/2006/relationships/image" Target="../media/93c00352_c476_11ea_8158_003048fd731b_e91517f5_a59b_11ee_a526_047c1617b143339.jpeg"/><Relationship Id="rId340" Type="http://schemas.openxmlformats.org/officeDocument/2006/relationships/image" Target="../media/93c00354_c476_11ea_8158_003048fd731b_e91517f6_a59b_11ee_a526_047c1617b143340.jpeg"/><Relationship Id="rId341" Type="http://schemas.openxmlformats.org/officeDocument/2006/relationships/image" Target="../media/93c00356_c476_11ea_8158_003048fd731b_e91517f7_a59b_11ee_a526_047c1617b143341.jpeg"/><Relationship Id="rId342" Type="http://schemas.openxmlformats.org/officeDocument/2006/relationships/image" Target="../media/93c00358_c476_11ea_8158_003048fd731b_e91517f8_a59b_11ee_a526_047c1617b143342.jpeg"/><Relationship Id="rId343" Type="http://schemas.openxmlformats.org/officeDocument/2006/relationships/image" Target="../media/93c0035a_c476_11ea_8158_003048fd731b_e91517f9_a59b_11ee_a526_047c1617b143343.jpeg"/><Relationship Id="rId344" Type="http://schemas.openxmlformats.org/officeDocument/2006/relationships/image" Target="../media/93c0035c_c476_11ea_8158_003048fd731b_e91517fa_a59b_11ee_a526_047c1617b143344.jpeg"/><Relationship Id="rId345" Type="http://schemas.openxmlformats.org/officeDocument/2006/relationships/image" Target="../media/93c0035e_c476_11ea_8158_003048fd731b_e91517fb_a59b_11ee_a526_047c1617b143345.jpeg"/><Relationship Id="rId346" Type="http://schemas.openxmlformats.org/officeDocument/2006/relationships/image" Target="../media/93c00360_c476_11ea_8158_003048fd731b_e91517fd_a59b_11ee_a526_047c1617b143346.jpeg"/><Relationship Id="rId347" Type="http://schemas.openxmlformats.org/officeDocument/2006/relationships/image" Target="../media/93c00362_c476_11ea_8158_003048fd731b_e91517ff_a59b_11ee_a526_047c1617b143347.jpeg"/><Relationship Id="rId348" Type="http://schemas.openxmlformats.org/officeDocument/2006/relationships/image" Target="../media/93c00364_c476_11ea_8158_003048fd731b_e9151801_a59b_11ee_a526_047c1617b143348.jpeg"/><Relationship Id="rId349" Type="http://schemas.openxmlformats.org/officeDocument/2006/relationships/image" Target="../media/93c00366_c476_11ea_8158_003048fd731b_e9151803_a59b_11ee_a526_047c1617b143349.jpeg"/><Relationship Id="rId350" Type="http://schemas.openxmlformats.org/officeDocument/2006/relationships/image" Target="../media/93c00368_c476_11ea_8158_003048fd731b_e9151805_a59b_11ee_a526_047c1617b143350.jpeg"/><Relationship Id="rId351" Type="http://schemas.openxmlformats.org/officeDocument/2006/relationships/image" Target="../media/93c0036a_c476_11ea_8158_003048fd731b_e9151807_a59b_11ee_a526_047c1617b143351.jpeg"/><Relationship Id="rId352" Type="http://schemas.openxmlformats.org/officeDocument/2006/relationships/image" Target="../media/93c0036c_c476_11ea_8158_003048fd731b_e9151809_a59b_11ee_a526_047c1617b143352.jpeg"/><Relationship Id="rId353" Type="http://schemas.openxmlformats.org/officeDocument/2006/relationships/image" Target="../media/93c0036e_c476_11ea_8158_003048fd731b_e915180b_a59b_11ee_a526_047c1617b143353.jpeg"/><Relationship Id="rId354" Type="http://schemas.openxmlformats.org/officeDocument/2006/relationships/image" Target="../media/93c00370_c476_11ea_8158_003048fd731b_e915180d_a59b_11ee_a526_047c1617b143354.jpeg"/><Relationship Id="rId355" Type="http://schemas.openxmlformats.org/officeDocument/2006/relationships/image" Target="../media/93c00372_c476_11ea_8158_003048fd731b_e915180f_a59b_11ee_a526_047c1617b143355.jpeg"/><Relationship Id="rId356" Type="http://schemas.openxmlformats.org/officeDocument/2006/relationships/image" Target="../media/93c00374_c476_11ea_8158_003048fd731b_e9151811_a59b_11ee_a526_047c1617b143356.jpeg"/><Relationship Id="rId357" Type="http://schemas.openxmlformats.org/officeDocument/2006/relationships/image" Target="../media/93c00376_c476_11ea_8158_003048fd731b_e9151813_a59b_11ee_a526_047c1617b143357.jpeg"/><Relationship Id="rId358" Type="http://schemas.openxmlformats.org/officeDocument/2006/relationships/image" Target="../media/93c00378_c476_11ea_8158_003048fd731b_e9151815_a59b_11ee_a526_047c1617b143358.jpeg"/><Relationship Id="rId359" Type="http://schemas.openxmlformats.org/officeDocument/2006/relationships/image" Target="../media/93c0037a_c476_11ea_8158_003048fd731b_e9151817_a59b_11ee_a526_047c1617b143359.jpeg"/><Relationship Id="rId360" Type="http://schemas.openxmlformats.org/officeDocument/2006/relationships/image" Target="../media/93c0037c_c476_11ea_8158_003048fd731b_e9151819_a59b_11ee_a526_047c1617b143360.jpeg"/><Relationship Id="rId361" Type="http://schemas.openxmlformats.org/officeDocument/2006/relationships/image" Target="../media/93c0037e_c476_11ea_8158_003048fd731b_e915181b_a59b_11ee_a526_047c1617b143361.jpeg"/><Relationship Id="rId362" Type="http://schemas.openxmlformats.org/officeDocument/2006/relationships/image" Target="../media/93c00380_c476_11ea_8158_003048fd731b_e915181d_a59b_11ee_a526_047c1617b143362.jpeg"/><Relationship Id="rId363" Type="http://schemas.openxmlformats.org/officeDocument/2006/relationships/image" Target="../media/93c00382_c476_11ea_8158_003048fd731b_e915181f_a59b_11ee_a526_047c1617b143363.jpeg"/><Relationship Id="rId364" Type="http://schemas.openxmlformats.org/officeDocument/2006/relationships/image" Target="../media/93c00384_c476_11ea_8158_003048fd731b_e9151821_a59b_11ee_a526_047c1617b143364.jpeg"/><Relationship Id="rId365" Type="http://schemas.openxmlformats.org/officeDocument/2006/relationships/image" Target="../media/93c00386_c476_11ea_8158_003048fd731b_e9151823_a59b_11ee_a526_047c1617b143365.jpeg"/><Relationship Id="rId366" Type="http://schemas.openxmlformats.org/officeDocument/2006/relationships/image" Target="../media/93c00388_c476_11ea_8158_003048fd731b_e9151825_a59b_11ee_a526_047c1617b143366.jpeg"/><Relationship Id="rId367" Type="http://schemas.openxmlformats.org/officeDocument/2006/relationships/image" Target="../media/93c0038a_c476_11ea_8158_003048fd731b_e9151827_a59b_11ee_a526_047c1617b143367.jpeg"/><Relationship Id="rId368" Type="http://schemas.openxmlformats.org/officeDocument/2006/relationships/image" Target="../media/93c0038c_c476_11ea_8158_003048fd731b_e9151829_a59b_11ee_a526_047c1617b143368.jpeg"/><Relationship Id="rId369" Type="http://schemas.openxmlformats.org/officeDocument/2006/relationships/image" Target="../media/93c0038e_c476_11ea_8158_003048fd731b_e915182b_a59b_11ee_a526_047c1617b143369.jpeg"/><Relationship Id="rId370" Type="http://schemas.openxmlformats.org/officeDocument/2006/relationships/image" Target="../media/93c00390_c476_11ea_8158_003048fd731b_ef3088cb_a59b_11ee_a526_047c1617b143370.jpeg"/><Relationship Id="rId371" Type="http://schemas.openxmlformats.org/officeDocument/2006/relationships/image" Target="../media/93c00392_c476_11ea_8158_003048fd731b_ef3088cd_a59b_11ee_a526_047c1617b143371.jpeg"/><Relationship Id="rId372" Type="http://schemas.openxmlformats.org/officeDocument/2006/relationships/image" Target="../media/93c00394_c476_11ea_8158_003048fd731b_ef3088cf_a59b_11ee_a526_047c1617b143372.jpeg"/><Relationship Id="rId373" Type="http://schemas.openxmlformats.org/officeDocument/2006/relationships/image" Target="../media/93c00396_c476_11ea_8158_003048fd731b_ef3088d1_a59b_11ee_a526_047c1617b143373.jpeg"/><Relationship Id="rId374" Type="http://schemas.openxmlformats.org/officeDocument/2006/relationships/image" Target="../media/93c00398_c476_11ea_8158_003048fd731b_ef3088d3_a59b_11ee_a526_047c1617b143374.jpeg"/><Relationship Id="rId375" Type="http://schemas.openxmlformats.org/officeDocument/2006/relationships/image" Target="../media/93c0039a_c476_11ea_8158_003048fd731b_ef3088d5_a59b_11ee_a526_047c1617b143375.jpeg"/><Relationship Id="rId376" Type="http://schemas.openxmlformats.org/officeDocument/2006/relationships/image" Target="../media/93c0039c_c476_11ea_8158_003048fd731b_ef3088d7_a59b_11ee_a526_047c1617b143376.jpeg"/><Relationship Id="rId377" Type="http://schemas.openxmlformats.org/officeDocument/2006/relationships/image" Target="../media/93c0039e_c476_11ea_8158_003048fd731b_ef3088d9_a59b_11ee_a526_047c1617b143377.jpeg"/><Relationship Id="rId378" Type="http://schemas.openxmlformats.org/officeDocument/2006/relationships/image" Target="../media/93c003a0_c476_11ea_8158_003048fd731b_59221604_11fe_11ef_a5b8_047c1617b143378.png"/><Relationship Id="rId379" Type="http://schemas.openxmlformats.org/officeDocument/2006/relationships/image" Target="../media/93c003a2_c476_11ea_8158_003048fd731b_59221606_11fe_11ef_a5b8_047c1617b143379.png"/><Relationship Id="rId380" Type="http://schemas.openxmlformats.org/officeDocument/2006/relationships/image" Target="../media/93c003a4_c476_11ea_8158_003048fd731b_59221608_11fe_11ef_a5b8_047c1617b143380.png"/><Relationship Id="rId381" Type="http://schemas.openxmlformats.org/officeDocument/2006/relationships/image" Target="../media/1fcb317e_5f91_11eb_822d_003048fd731b_ef3088de_a59b_11ee_a526_047c1617b143381.jpeg"/><Relationship Id="rId382" Type="http://schemas.openxmlformats.org/officeDocument/2006/relationships/image" Target="../media/1fcb3180_5f91_11eb_822d_003048fd731b_ef3088e0_a59b_11ee_a526_047c1617b143382.jpeg"/><Relationship Id="rId383" Type="http://schemas.openxmlformats.org/officeDocument/2006/relationships/image" Target="../media/1fcb3182_5f91_11eb_822d_003048fd731b_ef3088e2_a59b_11ee_a526_047c1617b143383.jpeg"/><Relationship Id="rId384" Type="http://schemas.openxmlformats.org/officeDocument/2006/relationships/image" Target="../media/1fcb3184_5f91_11eb_822d_003048fd731b_ef3088e4_a59b_11ee_a526_047c1617b143384.jpeg"/><Relationship Id="rId385" Type="http://schemas.openxmlformats.org/officeDocument/2006/relationships/image" Target="../media/1fcb3186_5f91_11eb_822d_003048fd731b_ef3088e6_a59b_11ee_a526_047c1617b143385.jpeg"/><Relationship Id="rId386" Type="http://schemas.openxmlformats.org/officeDocument/2006/relationships/image" Target="../media/1fcb3188_5f91_11eb_822d_003048fd731b_592215e4_11fe_11ef_a5b8_047c1617b143386.png"/><Relationship Id="rId387" Type="http://schemas.openxmlformats.org/officeDocument/2006/relationships/image" Target="../media/1fcb318a_5f91_11eb_822d_003048fd731b_ef3088ea_a59b_11ee_a526_047c1617b143387.jpeg"/><Relationship Id="rId388" Type="http://schemas.openxmlformats.org/officeDocument/2006/relationships/image" Target="../media/1fcb318c_5f91_11eb_822d_003048fd731b_ef3088ec_a59b_11ee_a526_047c1617b143388.jpeg"/><Relationship Id="rId389" Type="http://schemas.openxmlformats.org/officeDocument/2006/relationships/image" Target="../media/1fcb318e_5f91_11eb_822d_003048fd731b_ef3088ee_a59b_11ee_a526_047c1617b143389.jpeg"/><Relationship Id="rId390" Type="http://schemas.openxmlformats.org/officeDocument/2006/relationships/image" Target="../media/1fcb3190_5f91_11eb_822d_003048fd731b_ef3088f0_a59b_11ee_a526_047c1617b143390.jpeg"/><Relationship Id="rId391" Type="http://schemas.openxmlformats.org/officeDocument/2006/relationships/image" Target="../media/1fcb3192_5f91_11eb_822d_003048fd731b_ef3088f2_a59b_11ee_a526_047c1617b143391.jpeg"/><Relationship Id="rId392" Type="http://schemas.openxmlformats.org/officeDocument/2006/relationships/image" Target="../media/1fcb3196_5f91_11eb_822d_003048fd731b_ef3088f4_a59b_11ee_a526_047c1617b143392.jpeg"/><Relationship Id="rId393" Type="http://schemas.openxmlformats.org/officeDocument/2006/relationships/image" Target="../media/1fcb3198_5f91_11eb_822d_003048fd731b_ef3088f6_a59b_11ee_a526_047c1617b143393.jpeg"/><Relationship Id="rId394" Type="http://schemas.openxmlformats.org/officeDocument/2006/relationships/image" Target="../media/1fcb319a_5f91_11eb_822d_003048fd731b_ef3088f8_a59b_11ee_a526_047c1617b143394.jpeg"/><Relationship Id="rId395" Type="http://schemas.openxmlformats.org/officeDocument/2006/relationships/image" Target="../media/1fcb319c_5f91_11eb_822d_003048fd731b_ef3088fa_a59b_11ee_a526_047c1617b143395.jpeg"/><Relationship Id="rId396" Type="http://schemas.openxmlformats.org/officeDocument/2006/relationships/image" Target="../media/1fcb319e_5f91_11eb_822d_003048fd731b_ef3088fc_a59b_11ee_a526_047c1617b143396.jpeg"/><Relationship Id="rId397" Type="http://schemas.openxmlformats.org/officeDocument/2006/relationships/image" Target="../media/1fcb31a0_5f91_11eb_822d_003048fd731b_ef3088fe_a59b_11ee_a526_047c1617b143397.jpeg"/><Relationship Id="rId398" Type="http://schemas.openxmlformats.org/officeDocument/2006/relationships/image" Target="../media/1fcb31a2_5f91_11eb_822d_003048fd731b_ef308900_a59b_11ee_a526_047c1617b143398.jpeg"/><Relationship Id="rId399" Type="http://schemas.openxmlformats.org/officeDocument/2006/relationships/image" Target="../media/1fcb31a4_5f91_11eb_822d_003048fd731b_ef308902_a59b_11ee_a526_047c1617b143399.jpeg"/><Relationship Id="rId400" Type="http://schemas.openxmlformats.org/officeDocument/2006/relationships/image" Target="../media/1fcb3172_5f91_11eb_822d_003048fd731b_ef308904_a59b_11ee_a526_047c1617b143400.jpeg"/><Relationship Id="rId401" Type="http://schemas.openxmlformats.org/officeDocument/2006/relationships/image" Target="../media/1fcb3174_5f91_11eb_822d_003048fd731b_ef308906_a59b_11ee_a526_047c1617b143401.jpeg"/><Relationship Id="rId402" Type="http://schemas.openxmlformats.org/officeDocument/2006/relationships/image" Target="../media/1fcb3176_5f91_11eb_822d_003048fd731b_ef308908_a59b_11ee_a526_047c1617b143402.jpeg"/><Relationship Id="rId403" Type="http://schemas.openxmlformats.org/officeDocument/2006/relationships/image" Target="../media/1fcb3178_5f91_11eb_822d_003048fd731b_ef30890a_a59b_11ee_a526_047c1617b143403.jpeg"/><Relationship Id="rId404" Type="http://schemas.openxmlformats.org/officeDocument/2006/relationships/image" Target="../media/5e5ea67b_8099_11eb_825c_003048fd731b_ef30890c_a59b_11ee_a526_047c1617b143404.jpeg"/><Relationship Id="rId405" Type="http://schemas.openxmlformats.org/officeDocument/2006/relationships/image" Target="../media/5e5ea67d_8099_11eb_825c_003048fd731b_ef30890d_a59b_11ee_a526_047c1617b143405.jpeg"/><Relationship Id="rId406" Type="http://schemas.openxmlformats.org/officeDocument/2006/relationships/image" Target="../media/5e5ea67f_8099_11eb_825c_003048fd731b_ef30890e_a59b_11ee_a526_047c1617b143406.jpeg"/><Relationship Id="rId407" Type="http://schemas.openxmlformats.org/officeDocument/2006/relationships/image" Target="../media/5e5ea681_8099_11eb_825c_003048fd731b_ef30890f_a59b_11ee_a526_047c1617b143407.jpeg"/><Relationship Id="rId408" Type="http://schemas.openxmlformats.org/officeDocument/2006/relationships/image" Target="../media/5e5ea683_8099_11eb_825c_003048fd731b_ef308910_a59b_11ee_a526_047c1617b143408.jpeg"/><Relationship Id="rId409" Type="http://schemas.openxmlformats.org/officeDocument/2006/relationships/image" Target="../media/5e5ea685_8099_11eb_825c_003048fd731b_ef308911_a59b_11ee_a526_047c1617b143409.jpeg"/><Relationship Id="rId410" Type="http://schemas.openxmlformats.org/officeDocument/2006/relationships/image" Target="../media/3650f78c_f3c8_11eb_82ff_003048fd731b_ef308912_a59b_11ee_a526_047c1617b143410.jpeg"/><Relationship Id="rId411" Type="http://schemas.openxmlformats.org/officeDocument/2006/relationships/image" Target="../media/3650f78e_f3c8_11eb_82ff_003048fd731b_ef308914_a59b_11ee_a526_047c1617b143411.jpeg"/><Relationship Id="rId412" Type="http://schemas.openxmlformats.org/officeDocument/2006/relationships/image" Target="../media/3650f790_f3c8_11eb_82ff_003048fd731b_ef308916_a59b_11ee_a526_047c1617b143412.jpeg"/><Relationship Id="rId413" Type="http://schemas.openxmlformats.org/officeDocument/2006/relationships/image" Target="../media/3650f792_f3c8_11eb_82ff_003048fd731b_ef308918_a59b_11ee_a526_047c1617b143413.jpeg"/><Relationship Id="rId414" Type="http://schemas.openxmlformats.org/officeDocument/2006/relationships/image" Target="../media/3650f794_f3c8_11eb_82ff_003048fd731b_ef30891a_a59b_11ee_a526_047c1617b143414.jpeg"/><Relationship Id="rId415" Type="http://schemas.openxmlformats.org/officeDocument/2006/relationships/image" Target="../media/3650f796_f3c8_11eb_82ff_003048fd731b_ef30891c_a59b_11ee_a526_047c1617b143415.jpeg"/><Relationship Id="rId416" Type="http://schemas.openxmlformats.org/officeDocument/2006/relationships/image" Target="../media/3650f798_f3c8_11eb_82ff_003048fd731b_592215fc_11fe_11ef_a5b8_047c1617b143416.png"/><Relationship Id="rId417" Type="http://schemas.openxmlformats.org/officeDocument/2006/relationships/image" Target="../media/3650f79a_f3c8_11eb_82ff_003048fd731b_592215fe_11fe_11ef_a5b8_047c1617b143417.png"/><Relationship Id="rId418" Type="http://schemas.openxmlformats.org/officeDocument/2006/relationships/image" Target="../media/3650f79c_f3c8_11eb_82ff_003048fd731b_592215ff_11fe_11ef_a5b8_047c1617b143418.png"/><Relationship Id="rId419" Type="http://schemas.openxmlformats.org/officeDocument/2006/relationships/image" Target="../media/3650f79e_f3c8_11eb_82ff_003048fd731b_59221600_11fe_11ef_a5b8_047c1617b143419.png"/><Relationship Id="rId420" Type="http://schemas.openxmlformats.org/officeDocument/2006/relationships/image" Target="../media/3650f7a0_f3c8_11eb_82ff_003048fd731b_59221601_11fe_11ef_a5b8_047c1617b143420.png"/><Relationship Id="rId421" Type="http://schemas.openxmlformats.org/officeDocument/2006/relationships/image" Target="../media/3650f7a2_f3c8_11eb_82ff_003048fd731b_59221602_11fe_11ef_a5b8_047c1617b143421.png"/><Relationship Id="rId422" Type="http://schemas.openxmlformats.org/officeDocument/2006/relationships/image" Target="../media/3650f7a4_f3c8_11eb_82ff_003048fd731b_592215fd_11fe_11ef_a5b8_047c1617b143422.png"/><Relationship Id="rId423" Type="http://schemas.openxmlformats.org/officeDocument/2006/relationships/image" Target="../media/3650f7a6_f3c8_11eb_82ff_003048fd731b_59221603_11fe_11ef_a5b8_047c1617b143423.png"/><Relationship Id="rId424" Type="http://schemas.openxmlformats.org/officeDocument/2006/relationships/image" Target="../media/3650f7a8_f3c8_11eb_82ff_003048fd731b_592215e8_11fe_11ef_a5b8_047c1617b143424.png"/><Relationship Id="rId425" Type="http://schemas.openxmlformats.org/officeDocument/2006/relationships/image" Target="../media/3650f7aa_f3c8_11eb_82ff_003048fd731b_592215ea_11fe_11ef_a5b8_047c1617b143425.png"/><Relationship Id="rId426" Type="http://schemas.openxmlformats.org/officeDocument/2006/relationships/image" Target="../media/3650f7ac_f3c8_11eb_82ff_003048fd731b_592215ec_11fe_11ef_a5b8_047c1617b143426.png"/><Relationship Id="rId427" Type="http://schemas.openxmlformats.org/officeDocument/2006/relationships/image" Target="../media/3650f7ae_f3c8_11eb_82ff_003048fd731b_592215f0_11fe_11ef_a5b8_047c1617b143427.png"/><Relationship Id="rId428" Type="http://schemas.openxmlformats.org/officeDocument/2006/relationships/image" Target="../media/3650f7b0_f3c8_11eb_82ff_003048fd731b_592215f2_11fe_11ef_a5b8_047c1617b143428.png"/><Relationship Id="rId429" Type="http://schemas.openxmlformats.org/officeDocument/2006/relationships/image" Target="../media/3e2d3877_f3c8_11eb_82ff_003048fd731b_592215f6_11fe_11ef_a5b8_047c1617b143429.png"/><Relationship Id="rId430" Type="http://schemas.openxmlformats.org/officeDocument/2006/relationships/image" Target="../media/3e2d3879_f3c8_11eb_82ff_003048fd731b_592215f8_11fe_11ef_a5b8_047c1617b143430.png"/><Relationship Id="rId431" Type="http://schemas.openxmlformats.org/officeDocument/2006/relationships/image" Target="../media/3e2d387b_f3c8_11eb_82ff_003048fd731b_592215fa_11fe_11ef_a5b8_047c1617b143431.png"/><Relationship Id="rId432" Type="http://schemas.openxmlformats.org/officeDocument/2006/relationships/image" Target="../media/3e2d387d_f3c8_11eb_82ff_003048fd731b_ef308936_a59b_11ee_a526_047c1617b143432.jpeg"/><Relationship Id="rId433" Type="http://schemas.openxmlformats.org/officeDocument/2006/relationships/image" Target="../media/3e2d387f_f3c8_11eb_82ff_003048fd731b_ef308938_a59b_11ee_a526_047c1617b143433.jpeg"/><Relationship Id="rId434" Type="http://schemas.openxmlformats.org/officeDocument/2006/relationships/image" Target="../media/3e2d3881_f3c8_11eb_82ff_003048fd731b_ef30893a_a59b_11ee_a526_047c1617b143434.jpeg"/><Relationship Id="rId435" Type="http://schemas.openxmlformats.org/officeDocument/2006/relationships/image" Target="../media/3e2d3883_f3c8_11eb_82ff_003048fd731b_ef30893c_a59b_11ee_a526_047c1617b143435.jpeg"/><Relationship Id="rId436" Type="http://schemas.openxmlformats.org/officeDocument/2006/relationships/image" Target="../media/3e2d3885_f3c8_11eb_82ff_003048fd731b_ef30893e_a59b_11ee_a526_047c1617b143436.jpeg"/><Relationship Id="rId437" Type="http://schemas.openxmlformats.org/officeDocument/2006/relationships/image" Target="../media/3e2d3887_f3c8_11eb_82ff_003048fd731b_ef308940_a59b_11ee_a526_047c1617b143437.jpeg"/><Relationship Id="rId438" Type="http://schemas.openxmlformats.org/officeDocument/2006/relationships/image" Target="../media/3e2d3889_f3c8_11eb_82ff_003048fd731b_ef308942_a59b_11ee_a526_047c1617b143438.jpeg"/><Relationship Id="rId439" Type="http://schemas.openxmlformats.org/officeDocument/2006/relationships/image" Target="../media/3e2d388b_f3c8_11eb_82ff_003048fd731b_ae66e551_3fbb_11ef_a5f3_047c1617b143439.png"/><Relationship Id="rId440" Type="http://schemas.openxmlformats.org/officeDocument/2006/relationships/image" Target="../media/3e2d388d_f3c8_11eb_82ff_003048fd731b_ae66e553_3fbb_11ef_a5f3_047c1617b143440.png"/><Relationship Id="rId441" Type="http://schemas.openxmlformats.org/officeDocument/2006/relationships/image" Target="../media/3e2d388f_f3c8_11eb_82ff_003048fd731b_ae66e555_3fbb_11ef_a5f3_047c1617b143441.png"/><Relationship Id="rId442" Type="http://schemas.openxmlformats.org/officeDocument/2006/relationships/image" Target="../media/3e2d3891_f3c8_11eb_82ff_003048fd731b_ae66e559_3fbb_11ef_a5f3_047c1617b143442.png"/><Relationship Id="rId443" Type="http://schemas.openxmlformats.org/officeDocument/2006/relationships/image" Target="../media/3e2d3893_f3c8_11eb_82ff_003048fd731b_ef30894c_a59b_11ee_a526_047c1617b143443.jpeg"/><Relationship Id="rId444" Type="http://schemas.openxmlformats.org/officeDocument/2006/relationships/image" Target="../media/3e2d3895_f3c8_11eb_82ff_003048fd731b_ef30894d_a59b_11ee_a526_047c1617b143444.jpeg"/><Relationship Id="rId445" Type="http://schemas.openxmlformats.org/officeDocument/2006/relationships/image" Target="../media/3e2d3897_f3c8_11eb_82ff_003048fd731b_ef30894e_a59b_11ee_a526_047c1617b143445.jpeg"/><Relationship Id="rId446" Type="http://schemas.openxmlformats.org/officeDocument/2006/relationships/image" Target="../media/3e2d3899_f3c8_11eb_82ff_003048fd731b_ef30894f_a59b_11ee_a526_047c1617b143446.jpeg"/><Relationship Id="rId447" Type="http://schemas.openxmlformats.org/officeDocument/2006/relationships/image" Target="../media/3e2d389b_f3c8_11eb_82ff_003048fd731b_ef308950_a59b_11ee_a526_047c1617b143447.jpeg"/><Relationship Id="rId448" Type="http://schemas.openxmlformats.org/officeDocument/2006/relationships/image" Target="../media/3e2d389d_f3c8_11eb_82ff_003048fd731b_ef308952_a59b_11ee_a526_047c1617b143448.jpeg"/><Relationship Id="rId449" Type="http://schemas.openxmlformats.org/officeDocument/2006/relationships/image" Target="../media/3e2d389f_f3c8_11eb_82ff_003048fd731b_ef308954_a59b_11ee_a526_047c1617b143449.jpeg"/><Relationship Id="rId450" Type="http://schemas.openxmlformats.org/officeDocument/2006/relationships/image" Target="../media/3e2d38a1_f3c8_11eb_82ff_003048fd731b_ef308956_a59b_11ee_a526_047c1617b143450.jpeg"/><Relationship Id="rId451" Type="http://schemas.openxmlformats.org/officeDocument/2006/relationships/image" Target="../media/3e2d38a3_f3c8_11eb_82ff_003048fd731b_ef308958_a59b_11ee_a526_047c1617b143451.jpeg"/><Relationship Id="rId452" Type="http://schemas.openxmlformats.org/officeDocument/2006/relationships/image" Target="../media/3e2d38a5_f3c8_11eb_82ff_003048fd731b_ef30895a_a59b_11ee_a526_047c1617b143452.jpeg"/><Relationship Id="rId453" Type="http://schemas.openxmlformats.org/officeDocument/2006/relationships/image" Target="../media/3e2d38a7_f3c8_11eb_82ff_003048fd731b_ef30895c_a59b_11ee_a526_047c1617b143453.jpeg"/><Relationship Id="rId454" Type="http://schemas.openxmlformats.org/officeDocument/2006/relationships/image" Target="../media/3e2d38a9_f3c8_11eb_82ff_003048fd731b_ef30895e_a59b_11ee_a526_047c1617b143454.jpeg"/><Relationship Id="rId455" Type="http://schemas.openxmlformats.org/officeDocument/2006/relationships/image" Target="../media/3e2d38ab_f3c8_11eb_82ff_003048fd731b_ef308960_a59b_11ee_a526_047c1617b143455.jpeg"/><Relationship Id="rId456" Type="http://schemas.openxmlformats.org/officeDocument/2006/relationships/image" Target="../media/3e2d38ad_f3c8_11eb_82ff_003048fd731b_ef308962_a59b_11ee_a526_047c1617b143456.jpeg"/><Relationship Id="rId457" Type="http://schemas.openxmlformats.org/officeDocument/2006/relationships/image" Target="../media/3e2d38af_f3c8_11eb_82ff_003048fd731b_ef308964_a59b_11ee_a526_047c1617b143457.jpeg"/><Relationship Id="rId458" Type="http://schemas.openxmlformats.org/officeDocument/2006/relationships/image" Target="../media/3e2d38b1_f3c8_11eb_82ff_003048fd731b_ef308966_a59b_11ee_a526_047c1617b143458.jpeg"/><Relationship Id="rId459" Type="http://schemas.openxmlformats.org/officeDocument/2006/relationships/image" Target="../media/3e2d38b3_f3c8_11eb_82ff_003048fd731b_ef308968_a59b_11ee_a526_047c1617b143459.jpeg"/><Relationship Id="rId460" Type="http://schemas.openxmlformats.org/officeDocument/2006/relationships/image" Target="../media/3e2d38b5_f3c8_11eb_82ff_003048fd731b_ef30896a_a59b_11ee_a526_047c1617b143460.jpeg"/><Relationship Id="rId461" Type="http://schemas.openxmlformats.org/officeDocument/2006/relationships/image" Target="../media/3e2d38b7_f3c8_11eb_82ff_003048fd731b_ef30896c_a59b_11ee_a526_047c1617b143461.jpeg"/><Relationship Id="rId462" Type="http://schemas.openxmlformats.org/officeDocument/2006/relationships/image" Target="../media/3e2d38b9_f3c8_11eb_82ff_003048fd731b_ef30896e_a59b_11ee_a526_047c1617b143462.jpeg"/><Relationship Id="rId463" Type="http://schemas.openxmlformats.org/officeDocument/2006/relationships/image" Target="../media/3e2d38bb_f3c8_11eb_82ff_003048fd731b_ef308970_a59b_11ee_a526_047c1617b143463.jpeg"/><Relationship Id="rId464" Type="http://schemas.openxmlformats.org/officeDocument/2006/relationships/image" Target="../media/3e2d38bd_f3c8_11eb_82ff_003048fd731b_ef308972_a59b_11ee_a526_047c1617b143464.jpeg"/><Relationship Id="rId465" Type="http://schemas.openxmlformats.org/officeDocument/2006/relationships/image" Target="../media/3e2d38bf_f3c8_11eb_82ff_003048fd731b_5922160a_11fe_11ef_a5b8_047c1617b143465.png"/><Relationship Id="rId466" Type="http://schemas.openxmlformats.org/officeDocument/2006/relationships/image" Target="../media/45f592a8_4009_11ec_8370_003048fd731b_ef308975_a59b_11ee_a526_047c1617b143466.jpeg"/><Relationship Id="rId467" Type="http://schemas.openxmlformats.org/officeDocument/2006/relationships/image" Target="../media/45f592aa_4009_11ec_8370_003048fd731b_ef308976_a59b_11ee_a526_047c1617b143467.jpeg"/><Relationship Id="rId468" Type="http://schemas.openxmlformats.org/officeDocument/2006/relationships/image" Target="../media/45f592ac_4009_11ec_8370_003048fd731b_ef308977_a59b_11ee_a526_047c1617b143468.jpeg"/><Relationship Id="rId469" Type="http://schemas.openxmlformats.org/officeDocument/2006/relationships/image" Target="../media/45f592ae_4009_11ec_8370_003048fd731b_ef308978_a59b_11ee_a526_047c1617b143469.jpeg"/><Relationship Id="rId470" Type="http://schemas.openxmlformats.org/officeDocument/2006/relationships/image" Target="../media/45f592b0_4009_11ec_8370_003048fd731b_ef308979_a59b_11ee_a526_047c1617b143470.jpeg"/><Relationship Id="rId471" Type="http://schemas.openxmlformats.org/officeDocument/2006/relationships/image" Target="../media/45f592b2_4009_11ec_8370_003048fd731b_ef30897a_a59b_11ee_a526_047c1617b143471.jpeg"/><Relationship Id="rId472" Type="http://schemas.openxmlformats.org/officeDocument/2006/relationships/image" Target="../media/45f592b4_4009_11ec_8370_003048fd731b_ef30897b_a59b_11ee_a526_047c1617b14347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0" name="Image_78" descr="Image_7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2" name="Image_80" descr="Image_8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3" name="Image_81" descr="Image_8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4" name="Image_82" descr="Image_8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5" name="Image_83" descr="Image_8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6" name="Image_84" descr="Image_8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7" name="Image_85" descr="Image_85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8" name="Image_86" descr="Image_86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9" name="Image_87" descr="Image_8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0" name="Image_88" descr="Image_8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1" name="Image_89" descr="Image_8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2" name="Image_90" descr="Image_9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3" name="Image_91" descr="Image_9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4" name="Image_92" descr="Image_9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5" name="Image_93" descr="Image_9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6" name="Image_94" descr="Image_9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7" name="Image_95" descr="Image_9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8" name="Image_96" descr="Image_9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9" name="Image_97" descr="Image_97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0" name="Image_98" descr="Image_98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1" name="Image_99" descr="Image_99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2" name="Image_100" descr="Image_10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3" name="Image_101" descr="Image_101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4" name="Image_102" descr="Image_102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5" name="Image_103" descr="Image_10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6" name="Image_104" descr="Image_104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7" name="Image_105" descr="Image_105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8" name="Image_106" descr="Image_106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9" name="Image_107" descr="Image_107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0" name="Image_108" descr="Image_108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1" name="Image_109" descr="Image_109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2" name="Image_110" descr="Image_110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3" name="Image_111" descr="Image_111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4" name="Image_112" descr="Image_112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5" name="Image_113" descr="Image_113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6" name="Image_114" descr="Image_114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7" name="Image_115" descr="Image_115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8" name="Image_116" descr="Image_116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9" name="Image_117" descr="Image_117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0" name="Image_118" descr="Image_11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1" name="Image_119" descr="Image_11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2" name="Image_120" descr="Image_12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3" name="Image_121" descr="Image_12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4" name="Image_122" descr="Image_12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5" name="Image_123" descr="Image_12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6" name="Image_124" descr="Image_12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7" name="Image_125" descr="Image_12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8" name="Image_126" descr="Image_12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9" name="Image_127" descr="Image_12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0" name="Image_128" descr="Image_12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1" name="Image_129" descr="Image_12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2" name="Image_130" descr="Image_13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3" name="Image_131" descr="Image_13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4" name="Image_132" descr="Image_13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5" name="Image_133" descr="Image_13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6" name="Image_134" descr="Image_13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7" name="Image_135" descr="Image_13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8" name="Image_136" descr="Image_13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9" name="Image_137" descr="Image_13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0" name="Image_138" descr="Image_138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1" name="Image_139" descr="Image_139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2" name="Image_140" descr="Image_140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3" name="Image_141" descr="Image_141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4" name="Image_142" descr="Image_142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5" name="Image_143" descr="Image_143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6" name="Image_144" descr="Image_144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7" name="Image_145" descr="Image_145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8" name="Image_146" descr="Image_14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9" name="Image_147" descr="Image_14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0" name="Image_148" descr="Image_14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1" name="Image_149" descr="Image_149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2" name="Image_150" descr="Image_150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3" name="Image_151" descr="Image_15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4" name="Image_152" descr="Image_15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5" name="Image_153" descr="Image_153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6" name="Image_154" descr="Image_154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7" name="Image_155" descr="Image_15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8" name="Image_156" descr="Image_15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9" name="Image_157" descr="Image_157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0" name="Image_158" descr="Image_158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1" name="Image_159" descr="Image_159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2" name="Image_160" descr="Image_160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3" name="Image_161" descr="Image_161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4" name="Image_162" descr="Image_162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5" name="Image_163" descr="Image_163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6" name="Image_164" descr="Image_164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7" name="Image_165" descr="Image_165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8" name="Image_166" descr="Image_166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9" name="Image_167" descr="Image_167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0" name="Image_168" descr="Image_168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1" name="Image_169" descr="Image_169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2" name="Image_170" descr="Image_170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3" name="Image_171" descr="Image_171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4" name="Image_172" descr="Image_172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5" name="Image_173" descr="Image_173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6" name="Image_174" descr="Image_174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7" name="Image_175" descr="Image_175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8" name="Image_176" descr="Image_176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9" name="Image_177" descr="Image_177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0" name="Image_178" descr="Image_178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1" name="Image_179" descr="Image_179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2" name="Image_180" descr="Image_180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3" name="Image_181" descr="Image_181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4" name="Image_182" descr="Image_182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5" name="Image_183" descr="Image_183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6" name="Image_184" descr="Image_184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7" name="Image_185" descr="Image_185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8" name="Image_186" descr="Image_186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9" name="Image_187" descr="Image_187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0" name="Image_188" descr="Image_188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1" name="Image_189" descr="Image_189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2" name="Image_190" descr="Image_190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3" name="Image_191" descr="Image_191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4" name="Image_192" descr="Image_192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5" name="Image_193" descr="Image_193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6" name="Image_194" descr="Image_194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7" name="Image_195" descr="Image_195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8" name="Image_196" descr="Image_196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9" name="Image_197" descr="Image_197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0" name="Image_198" descr="Image_198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1" name="Image_199" descr="Image_199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2" name="Image_200" descr="Image_200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3" name="Image_201" descr="Image_201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4" name="Image_202" descr="Image_202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5" name="Image_203" descr="Image_203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6" name="Image_204" descr="Image_204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7" name="Image_205" descr="Image_205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8" name="Image_206" descr="Image_206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9" name="Image_207" descr="Image_207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0" name="Image_208" descr="Image_208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1" name="Image_209" descr="Image_209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2" name="Image_210" descr="Image_210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3" name="Image_211" descr="Image_211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4" name="Image_212" descr="Image_212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5" name="Image_213" descr="Image_213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6" name="Image_214" descr="Image_214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7" name="Image_215" descr="Image_215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8" name="Image_216" descr="Image_216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9" name="Image_217" descr="Image_217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0" name="Image_218" descr="Image_218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1" name="Image_219" descr="Image_219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2" name="Image_220" descr="Image_220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3" name="Image_221" descr="Image_221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4" name="Image_222" descr="Image_222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5" name="Image_223" descr="Image_223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6" name="Image_224" descr="Image_224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7" name="Image_225" descr="Image_225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8" name="Image_226" descr="Image_226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9" name="Image_227" descr="Image_227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0" name="Image_228" descr="Image_228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1" name="Image_229" descr="Image_229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2" name="Image_230" descr="Image_230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3" name="Image_231" descr="Image_231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4" name="Image_232" descr="Image_232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5" name="Image_233" descr="Image_233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6" name="Image_234" descr="Image_234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7" name="Image_235" descr="Image_235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8" name="Image_236" descr="Image_236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9" name="Image_237" descr="Image_237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0" name="Image_238" descr="Image_238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1" name="Image_239" descr="Image_239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2" name="Image_240" descr="Image_240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3" name="Image_241" descr="Image_241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4" name="Image_242" descr="Image_242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5" name="Image_243" descr="Image_243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6" name="Image_244" descr="Image_244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7" name="Image_245" descr="Image_245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8" name="Image_246" descr="Image_246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9" name="Image_247" descr="Image_247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0" name="Image_248" descr="Image_248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1" name="Image_249" descr="Image_249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2" name="Image_250" descr="Image_250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3" name="Image_251" descr="Image_251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4" name="Image_252" descr="Image_252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5" name="Image_253" descr="Image_253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6" name="Image_254" descr="Image_254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7" name="Image_255" descr="Image_255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8" name="Image_256" descr="Image_256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9" name="Image_257" descr="Image_257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0" name="Image_258" descr="Image_258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1" name="Image_259" descr="Image_259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2" name="Image_260" descr="Image_260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3" name="Image_261" descr="Image_261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4" name="Image_262" descr="Image_262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5" name="Image_263" descr="Image_263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6" name="Image_264" descr="Image_264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7" name="Image_265" descr="Image_265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8" name="Image_266" descr="Image_266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9" name="Image_267" descr="Image_267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0" name="Image_268" descr="Image_268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1" name="Image_269" descr="Image_269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2" name="Image_270" descr="Image_270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3" name="Image_271" descr="Image_271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4" name="Image_272" descr="Image_272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5" name="Image_273" descr="Image_273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6" name="Image_274" descr="Image_274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7" name="Image_275" descr="Image_275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8" name="Image_276" descr="Image_276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9" name="Image_278" descr="Image_278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0" name="Image_279" descr="Image_279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1" name="Image_280" descr="Image_280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2" name="Image_281" descr="Image_281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3" name="Image_282" descr="Image_282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4" name="Image_283" descr="Image_283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5" name="Image_284" descr="Image_284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6" name="Image_285" descr="Image_285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77" name="Image_286" descr="Image_286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78" name="Image_287" descr="Image_287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9" name="Image_288" descr="Image_288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0" name="Image_289" descr="Image_289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1" name="Image_290" descr="Image_290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2" name="Image_291" descr="Image_291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3" name="Image_292" descr="Image_292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4" name="Image_293" descr="Image_293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5" name="Image_294" descr="Image_294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6" name="Image_295" descr="Image_295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87" name="Image_296" descr="Image_296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88" name="Image_297" descr="Image_297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9" name="Image_298" descr="Image_298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0" name="Image_299" descr="Image_299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1" name="Image_300" descr="Image_300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2" name="Image_301" descr="Image_301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3" name="Image_302" descr="Image_302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4" name="Image_303" descr="Image_303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95" name="Image_304" descr="Image_304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96" name="Image_305" descr="Image_305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97" name="Image_306" descr="Image_306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98" name="Image_307" descr="Image_307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99" name="Image_308" descr="Image_308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0" name="Image_309" descr="Image_309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1" name="Image_310" descr="Image_310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2" name="Image_311" descr="Image_311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3" name="Image_312" descr="Image_312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04" name="Image_313" descr="Image_313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05" name="Image_315" descr="Image_315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06" name="Image_316" descr="Image_316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07" name="Image_317" descr="Image_317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08" name="Image_318" descr="Image_318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9" name="Image_319" descr="Image_319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10" name="Image_320" descr="Image_320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1" name="Image_321" descr="Image_321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2" name="Image_322" descr="Image_322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3" name="Image_323" descr="Image_323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14" name="Image_324" descr="Image_324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15" name="Image_325" descr="Image_325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16" name="Image_326" descr="Image_326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17" name="Image_327" descr="Image_327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18" name="Image_328" descr="Image_328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9" name="Image_329" descr="Image_329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0" name="Image_330" descr="Image_330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1" name="Image_331" descr="Image_331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2" name="Image_332" descr="Image_332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3" name="Image_333" descr="Image_333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24" name="Image_334" descr="Image_334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25" name="Image_335" descr="Image_335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26" name="Image_336" descr="Image_336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27" name="Image_337" descr="Image_337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28" name="Image_338" descr="Image_338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9" name="Image_339" descr="Image_339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0" name="Image_340" descr="Image_340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1" name="Image_341" descr="Image_341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2" name="Image_342" descr="Image_342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3" name="Image_343" descr="Image_343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34" name="Image_344" descr="Image_344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35" name="Image_345" descr="Image_345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36" name="Image_346" descr="Image_346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37" name="Image_347" descr="Image_347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38" name="Image_348" descr="Image_348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39" name="Image_349" descr="Image_349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0" name="Image_350" descr="Image_350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1" name="Image_351" descr="Image_351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2" name="Image_352" descr="Image_352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3" name="Image_353" descr="Image_353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44" name="Image_354" descr="Image_354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45" name="Image_355" descr="Image_355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46" name="Image_356" descr="Image_356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47" name="Image_357" descr="Image_357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48" name="Image_358" descr="Image_358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49" name="Image_359" descr="Image_359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0" name="Image_360" descr="Image_360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1" name="Image_361" descr="Image_361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2" name="Image_362" descr="Image_362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3" name="Image_363" descr="Image_363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54" name="Image_364" descr="Image_364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55" name="Image_365" descr="Image_365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56" name="Image_366" descr="Image_366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57" name="Image_367" descr="Image_367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58" name="Image_368" descr="Image_368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59" name="Image_369" descr="Image_369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0" name="Image_370" descr="Image_370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1" name="Image_371" descr="Image_371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2" name="Image_372" descr="Image_372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3" name="Image_373" descr="Image_373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64" name="Image_374" descr="Image_374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65" name="Image_375" descr="Image_375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66" name="Image_376" descr="Image_376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67" name="Image_377" descr="Image_377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68" name="Image_378" descr="Image_378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69" name="Image_379" descr="Image_379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0" name="Image_380" descr="Image_380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1" name="Image_381" descr="Image_381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2" name="Image_382" descr="Image_382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3" name="Image_383" descr="Image_383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74" name="Image_384" descr="Image_384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75" name="Image_385" descr="Image_385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76" name="Image_386" descr="Image_386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77" name="Image_387" descr="Image_387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78" name="Image_388" descr="Image_388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79" name="Image_389" descr="Image_389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80" name="Image_390" descr="Image_390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81" name="Image_391" descr="Image_391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82" name="Image_392" descr="Image_392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83" name="Image_393" descr="Image_393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84" name="Image_394" descr="Image_394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85" name="Image_395" descr="Image_395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86" name="Image_396" descr="Image_396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87" name="Image_397" descr="Image_397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88" name="Image_398" descr="Image_398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89" name="Image_399" descr="Image_399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90" name="Image_400" descr="Image_400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91" name="Image_401" descr="Image_401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92" name="Image_402" descr="Image_402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93" name="Image_403" descr="Image_403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94" name="Image_404" descr="Image_404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95" name="Image_405" descr="Image_405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96" name="Image_406" descr="Image_406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97" name="Image_407" descr="Image_407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98" name="Image_408" descr="Image_408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99" name="Image_409" descr="Image_409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400" name="Image_410" descr="Image_410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401" name="Image_411" descr="Image_411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402" name="Image_412" descr="Image_412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403" name="Image_413" descr="Image_413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04" name="Image_414" descr="Image_414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05" name="Image_415" descr="Image_415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06" name="Image_416" descr="Image_416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07" name="Image_417" descr="Image_417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08" name="Image_418" descr="Image_418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09" name="Image_419" descr="Image_419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10" name="Image_420" descr="Image_420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11" name="Image_421" descr="Image_421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12" name="Image_422" descr="Image_422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13" name="Image_423" descr="Image_423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14" name="Image_424" descr="Image_424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15" name="Image_425" descr="Image_425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16" name="Image_426" descr="Image_426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17" name="Image_427" descr="Image_427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18" name="Image_428" descr="Image_428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19" name="Image_429" descr="Image_429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20" name="Image_430" descr="Image_430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21" name="Image_431" descr="Image_431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22" name="Image_432" descr="Image_432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23" name="Image_433" descr="Image_433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24" name="Image_434" descr="Image_434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25" name="Image_435" descr="Image_435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26" name="Image_436" descr="Image_436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27" name="Image_437" descr="Image_437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28" name="Image_438" descr="Image_438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29" name="Image_439" descr="Image_439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30" name="Image_440" descr="Image_440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31" name="Image_441" descr="Image_441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32" name="Image_442" descr="Image_442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33" name="Image_443" descr="Image_443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34" name="Image_444" descr="Image_444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35" name="Image_445" descr="Image_445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36" name="Image_446" descr="Image_446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37" name="Image_447" descr="Image_447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38" name="Image_448" descr="Image_448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39" name="Image_449" descr="Image_449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40" name="Image_450" descr="Image_450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41" name="Image_451" descr="Image_451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42" name="Image_452" descr="Image_452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43" name="Image_453" descr="Image_453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44" name="Image_454" descr="Image_454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45" name="Image_455" descr="Image_455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46" name="Image_456" descr="Image_456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47" name="Image_457" descr="Image_457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48" name="Image_458" descr="Image_458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49" name="Image_459" descr="Image_459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50" name="Image_460" descr="Image_460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51" name="Image_461" descr="Image_461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52" name="Image_462" descr="Image_462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53" name="Image_463" descr="Image_463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54" name="Image_464" descr="Image_464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55" name="Image_465" descr="Image_465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56" name="Image_466" descr="Image_466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57" name="Image_467" descr="Image_467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58" name="Image_468" descr="Image_468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59" name="Image_469" descr="Image_469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60" name="Image_470" descr="Image_470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61" name="Image_471" descr="Image_471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62" name="Image_472" descr="Image_472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63" name="Image_473" descr="Image_473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64" name="Image_474" descr="Image_474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65" name="Image_475" descr="Image_475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66" name="Image_476" descr="Image_476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67" name="Image_477" descr="Image_477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68" name="Image_478" descr="Image_478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69" name="Image_479" descr="Image_479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70" name="Image_480" descr="Image_480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71" name="Image_481" descr="Image_481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72" name="Image_482" descr="Image_482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8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SUM(J2:J482)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829163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J5*313.86</f>
        <v>0</v>
      </c>
      <c r="L5" s="5"/>
    </row>
    <row r="6" spans="1:12" customHeight="1" ht="105" outlineLevel="4">
      <c r="A6" s="1"/>
      <c r="B6" s="1">
        <v>829164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J6*583.10</f>
        <v>0</v>
      </c>
      <c r="L6" s="5"/>
    </row>
    <row r="7" spans="1:12" customHeight="1" ht="105" outlineLevel="4">
      <c r="A7" s="1"/>
      <c r="B7" s="1">
        <v>829165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18</v>
      </c>
      <c r="K7" s="2" t="str">
        <f>J7*748.21</f>
        <v>0</v>
      </c>
      <c r="L7" s="5"/>
    </row>
    <row r="8" spans="1:12" customHeight="1" ht="105" outlineLevel="4">
      <c r="A8" s="1"/>
      <c r="B8" s="1">
        <v>829166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18</v>
      </c>
      <c r="K8" s="2" t="str">
        <f>J8*1044.23</f>
        <v>0</v>
      </c>
      <c r="L8" s="5"/>
    </row>
    <row r="9" spans="1:12" customHeight="1" ht="105" outlineLevel="4">
      <c r="A9" s="1"/>
      <c r="B9" s="1">
        <v>829352</v>
      </c>
      <c r="C9" s="1" t="s">
        <v>31</v>
      </c>
      <c r="D9" s="1" t="s">
        <v>32</v>
      </c>
      <c r="E9" s="2" t="s">
        <v>33</v>
      </c>
      <c r="F9" s="2" t="s">
        <v>16</v>
      </c>
      <c r="G9" s="2">
        <v>0</v>
      </c>
      <c r="H9" s="2">
        <v>0</v>
      </c>
      <c r="I9" s="1">
        <v>0</v>
      </c>
      <c r="J9" s="3" t="s">
        <v>18</v>
      </c>
      <c r="K9" s="2" t="str">
        <f>J9*313.86</f>
        <v>0</v>
      </c>
      <c r="L9" s="5"/>
    </row>
    <row r="10" spans="1:12" customHeight="1" ht="105" outlineLevel="4">
      <c r="A10" s="1"/>
      <c r="B10" s="1">
        <v>829353</v>
      </c>
      <c r="C10" s="1" t="s">
        <v>34</v>
      </c>
      <c r="D10" s="1" t="s">
        <v>35</v>
      </c>
      <c r="E10" s="2" t="s">
        <v>36</v>
      </c>
      <c r="F10" s="2" t="s">
        <v>22</v>
      </c>
      <c r="G10" s="2">
        <v>0</v>
      </c>
      <c r="H10" s="2">
        <v>0</v>
      </c>
      <c r="I10" s="1">
        <v>0</v>
      </c>
      <c r="J10" s="3" t="s">
        <v>18</v>
      </c>
      <c r="K10" s="2" t="str">
        <f>J10*583.10</f>
        <v>0</v>
      </c>
      <c r="L10" s="5"/>
    </row>
    <row r="11" spans="1:12" customHeight="1" ht="105" outlineLevel="4">
      <c r="A11" s="1"/>
      <c r="B11" s="1">
        <v>829354</v>
      </c>
      <c r="C11" s="1" t="s">
        <v>37</v>
      </c>
      <c r="D11" s="1" t="s">
        <v>38</v>
      </c>
      <c r="E11" s="2" t="s">
        <v>39</v>
      </c>
      <c r="F11" s="2" t="s">
        <v>26</v>
      </c>
      <c r="G11" s="2">
        <v>0</v>
      </c>
      <c r="H11" s="2">
        <v>0</v>
      </c>
      <c r="I11" s="1">
        <v>0</v>
      </c>
      <c r="J11" s="3" t="s">
        <v>18</v>
      </c>
      <c r="K11" s="2" t="str">
        <f>J11*748.21</f>
        <v>0</v>
      </c>
      <c r="L11" s="5"/>
    </row>
    <row r="12" spans="1:12" customHeight="1" ht="105" outlineLevel="4">
      <c r="A12" s="1"/>
      <c r="B12" s="1">
        <v>832286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J12*403.11</f>
        <v>0</v>
      </c>
      <c r="L12" s="5"/>
    </row>
    <row r="13" spans="1:12" customHeight="1" ht="105" outlineLevel="4">
      <c r="A13" s="1"/>
      <c r="B13" s="1">
        <v>832287</v>
      </c>
      <c r="C13" s="1" t="s">
        <v>44</v>
      </c>
      <c r="D13" s="1" t="s">
        <v>45</v>
      </c>
      <c r="E13" s="2" t="s">
        <v>46</v>
      </c>
      <c r="F13" s="2" t="s">
        <v>43</v>
      </c>
      <c r="G13" s="2" t="s">
        <v>47</v>
      </c>
      <c r="H13" s="2">
        <v>0</v>
      </c>
      <c r="I13" s="1">
        <v>0</v>
      </c>
      <c r="J13" s="3" t="s">
        <v>18</v>
      </c>
      <c r="K13" s="2" t="str">
        <f>J13*403.11</f>
        <v>0</v>
      </c>
      <c r="L13" s="5"/>
    </row>
    <row r="14" spans="1:12" outlineLevel="2">
      <c r="A14" s="8" t="s">
        <v>48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5"/>
    </row>
    <row r="15" spans="1:12" customHeight="1" ht="105" outlineLevel="4">
      <c r="A15" s="1"/>
      <c r="B15" s="1">
        <v>819857</v>
      </c>
      <c r="C15" s="1" t="s">
        <v>49</v>
      </c>
      <c r="D15" s="1" t="s">
        <v>50</v>
      </c>
      <c r="E15" s="2" t="s">
        <v>51</v>
      </c>
      <c r="F15" s="2" t="s">
        <v>52</v>
      </c>
      <c r="G15" s="2">
        <v>0</v>
      </c>
      <c r="H15" s="2">
        <v>0</v>
      </c>
      <c r="I15" s="1">
        <v>0</v>
      </c>
      <c r="J15" s="3" t="s">
        <v>18</v>
      </c>
      <c r="K15" s="2" t="str">
        <f>J15*305.00</f>
        <v>0</v>
      </c>
      <c r="L15" s="5"/>
    </row>
    <row r="16" spans="1:12" customHeight="1" ht="105" outlineLevel="4">
      <c r="A16" s="1"/>
      <c r="B16" s="1">
        <v>819858</v>
      </c>
      <c r="C16" s="1" t="s">
        <v>53</v>
      </c>
      <c r="D16" s="1" t="s">
        <v>54</v>
      </c>
      <c r="E16" s="2" t="s">
        <v>55</v>
      </c>
      <c r="F16" s="2" t="s">
        <v>56</v>
      </c>
      <c r="G16" s="2" t="s">
        <v>17</v>
      </c>
      <c r="H16" s="2" t="s">
        <v>17</v>
      </c>
      <c r="I16" s="1">
        <v>0</v>
      </c>
      <c r="J16" s="3" t="s">
        <v>18</v>
      </c>
      <c r="K16" s="2" t="str">
        <f>J16*445.00</f>
        <v>0</v>
      </c>
      <c r="L16" s="5"/>
    </row>
    <row r="17" spans="1:12" customHeight="1" ht="105" outlineLevel="4">
      <c r="A17" s="1"/>
      <c r="B17" s="1">
        <v>819859</v>
      </c>
      <c r="C17" s="1" t="s">
        <v>57</v>
      </c>
      <c r="D17" s="1" t="s">
        <v>58</v>
      </c>
      <c r="E17" s="2" t="s">
        <v>59</v>
      </c>
      <c r="F17" s="2" t="s">
        <v>60</v>
      </c>
      <c r="G17" s="2" t="s">
        <v>61</v>
      </c>
      <c r="H17" s="2" t="s">
        <v>62</v>
      </c>
      <c r="I17" s="1">
        <v>0</v>
      </c>
      <c r="J17" s="3" t="s">
        <v>18</v>
      </c>
      <c r="K17" s="2" t="str">
        <f>J17*586.00</f>
        <v>0</v>
      </c>
      <c r="L17" s="5"/>
    </row>
    <row r="18" spans="1:12" customHeight="1" ht="105" outlineLevel="4">
      <c r="A18" s="1"/>
      <c r="B18" s="1">
        <v>819860</v>
      </c>
      <c r="C18" s="1" t="s">
        <v>63</v>
      </c>
      <c r="D18" s="1" t="s">
        <v>64</v>
      </c>
      <c r="E18" s="2" t="s">
        <v>65</v>
      </c>
      <c r="F18" s="2" t="s">
        <v>66</v>
      </c>
      <c r="G18" s="2" t="s">
        <v>17</v>
      </c>
      <c r="H18" s="2" t="s">
        <v>67</v>
      </c>
      <c r="I18" s="1">
        <v>0</v>
      </c>
      <c r="J18" s="3" t="s">
        <v>18</v>
      </c>
      <c r="K18" s="2" t="str">
        <f>J18*796.00</f>
        <v>0</v>
      </c>
      <c r="L18" s="5"/>
    </row>
    <row r="19" spans="1:12" customHeight="1" ht="105" outlineLevel="4">
      <c r="A19" s="1"/>
      <c r="B19" s="1">
        <v>819861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17</v>
      </c>
      <c r="H19" s="2" t="s">
        <v>67</v>
      </c>
      <c r="I19" s="1">
        <v>0</v>
      </c>
      <c r="J19" s="3" t="s">
        <v>18</v>
      </c>
      <c r="K19" s="2" t="str">
        <f>J19*1041.00</f>
        <v>0</v>
      </c>
      <c r="L19" s="5"/>
    </row>
    <row r="20" spans="1:12" customHeight="1" ht="105" outlineLevel="4">
      <c r="A20" s="1"/>
      <c r="B20" s="1">
        <v>819862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61</v>
      </c>
      <c r="H20" s="2" t="s">
        <v>62</v>
      </c>
      <c r="I20" s="1">
        <v>0</v>
      </c>
      <c r="J20" s="3" t="s">
        <v>18</v>
      </c>
      <c r="K20" s="2" t="str">
        <f>J20*1792.00</f>
        <v>0</v>
      </c>
      <c r="L20" s="5"/>
    </row>
    <row r="21" spans="1:12" customHeight="1" ht="105" outlineLevel="4">
      <c r="A21" s="1"/>
      <c r="B21" s="1">
        <v>819863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0</v>
      </c>
      <c r="H21" s="2" t="s">
        <v>47</v>
      </c>
      <c r="I21" s="1">
        <v>0</v>
      </c>
      <c r="J21" s="3" t="s">
        <v>18</v>
      </c>
      <c r="K21" s="2" t="str">
        <f>J21*2105.00</f>
        <v>0</v>
      </c>
      <c r="L21" s="5"/>
    </row>
    <row r="22" spans="1:12" customHeight="1" ht="105" outlineLevel="4">
      <c r="A22" s="1"/>
      <c r="B22" s="1">
        <v>819864</v>
      </c>
      <c r="C22" s="1" t="s">
        <v>80</v>
      </c>
      <c r="D22" s="1" t="s">
        <v>81</v>
      </c>
      <c r="E22" s="2" t="s">
        <v>82</v>
      </c>
      <c r="F22" s="2" t="s">
        <v>83</v>
      </c>
      <c r="G22" s="2">
        <v>0</v>
      </c>
      <c r="H22" s="2">
        <v>0</v>
      </c>
      <c r="I22" s="1">
        <v>0</v>
      </c>
      <c r="J22" s="3" t="s">
        <v>18</v>
      </c>
      <c r="K22" s="2" t="str">
        <f>J22*2917.00</f>
        <v>0</v>
      </c>
      <c r="L22" s="5"/>
    </row>
    <row r="23" spans="1:12" outlineLevel="2">
      <c r="A23" s="8" t="s">
        <v>84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5"/>
    </row>
    <row r="24" spans="1:12" customHeight="1" ht="105" outlineLevel="4">
      <c r="A24" s="1"/>
      <c r="B24" s="1">
        <v>819854</v>
      </c>
      <c r="C24" s="1" t="s">
        <v>85</v>
      </c>
      <c r="D24" s="1" t="s">
        <v>86</v>
      </c>
      <c r="E24" s="2" t="s">
        <v>87</v>
      </c>
      <c r="F24" s="2" t="s">
        <v>88</v>
      </c>
      <c r="G24" s="2" t="s">
        <v>47</v>
      </c>
      <c r="H24" s="2">
        <v>0</v>
      </c>
      <c r="I24" s="1">
        <v>0</v>
      </c>
      <c r="J24" s="3" t="s">
        <v>18</v>
      </c>
      <c r="K24" s="2" t="str">
        <f>J24*154.70</f>
        <v>0</v>
      </c>
      <c r="L24" s="5"/>
    </row>
    <row r="25" spans="1:12" customHeight="1" ht="105" outlineLevel="4">
      <c r="A25" s="1"/>
      <c r="B25" s="1">
        <v>819855</v>
      </c>
      <c r="C25" s="1" t="s">
        <v>89</v>
      </c>
      <c r="D25" s="1" t="s">
        <v>90</v>
      </c>
      <c r="E25" s="2" t="s">
        <v>91</v>
      </c>
      <c r="F25" s="2" t="s">
        <v>92</v>
      </c>
      <c r="G25" s="2" t="s">
        <v>47</v>
      </c>
      <c r="H25" s="2">
        <v>0</v>
      </c>
      <c r="I25" s="1">
        <v>0</v>
      </c>
      <c r="J25" s="3" t="s">
        <v>18</v>
      </c>
      <c r="K25" s="2" t="str">
        <f>J25*232.05</f>
        <v>0</v>
      </c>
      <c r="L25" s="5"/>
    </row>
    <row r="26" spans="1:12" customHeight="1" ht="105" outlineLevel="4">
      <c r="A26" s="1"/>
      <c r="B26" s="1">
        <v>819856</v>
      </c>
      <c r="C26" s="1" t="s">
        <v>93</v>
      </c>
      <c r="D26" s="1" t="s">
        <v>94</v>
      </c>
      <c r="E26" s="2" t="s">
        <v>95</v>
      </c>
      <c r="F26" s="2" t="s">
        <v>96</v>
      </c>
      <c r="G26" s="2" t="s">
        <v>47</v>
      </c>
      <c r="H26" s="2">
        <v>0</v>
      </c>
      <c r="I26" s="1">
        <v>0</v>
      </c>
      <c r="J26" s="3" t="s">
        <v>18</v>
      </c>
      <c r="K26" s="2" t="str">
        <f>J26*364.44</f>
        <v>0</v>
      </c>
      <c r="L26" s="5"/>
    </row>
    <row r="27" spans="1:12" customHeight="1" ht="105" outlineLevel="4">
      <c r="A27" s="1"/>
      <c r="B27" s="1">
        <v>824563</v>
      </c>
      <c r="C27" s="1" t="s">
        <v>97</v>
      </c>
      <c r="D27" s="1" t="s">
        <v>98</v>
      </c>
      <c r="E27" s="2" t="s">
        <v>99</v>
      </c>
      <c r="F27" s="2" t="s">
        <v>100</v>
      </c>
      <c r="G27" s="2" t="s">
        <v>47</v>
      </c>
      <c r="H27" s="2">
        <v>0</v>
      </c>
      <c r="I27" s="1">
        <v>0</v>
      </c>
      <c r="J27" s="3" t="s">
        <v>18</v>
      </c>
      <c r="K27" s="2" t="str">
        <f>J27*523.60</f>
        <v>0</v>
      </c>
      <c r="L27" s="5"/>
    </row>
    <row r="28" spans="1:12" customHeight="1" ht="105" outlineLevel="4">
      <c r="A28" s="1"/>
      <c r="B28" s="1">
        <v>824562</v>
      </c>
      <c r="C28" s="1" t="s">
        <v>101</v>
      </c>
      <c r="D28" s="1" t="s">
        <v>102</v>
      </c>
      <c r="E28" s="2" t="s">
        <v>103</v>
      </c>
      <c r="F28" s="2" t="s">
        <v>104</v>
      </c>
      <c r="G28" s="2" t="s">
        <v>47</v>
      </c>
      <c r="H28" s="2">
        <v>0</v>
      </c>
      <c r="I28" s="1">
        <v>0</v>
      </c>
      <c r="J28" s="3" t="s">
        <v>18</v>
      </c>
      <c r="K28" s="2" t="str">
        <f>J28*199.33</f>
        <v>0</v>
      </c>
      <c r="L28" s="5"/>
    </row>
    <row r="29" spans="1:12" outlineLevel="1">
      <c r="A29" s="7" t="s">
        <v>105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5"/>
    </row>
    <row r="30" spans="1:12" outlineLevel="2">
      <c r="A30" s="8" t="s">
        <v>106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customHeight="1" ht="105" outlineLevel="4">
      <c r="A31" s="1"/>
      <c r="B31" s="1">
        <v>819917</v>
      </c>
      <c r="C31" s="1" t="s">
        <v>107</v>
      </c>
      <c r="D31" s="1" t="s">
        <v>108</v>
      </c>
      <c r="E31" s="2" t="s">
        <v>109</v>
      </c>
      <c r="F31" s="2" t="s">
        <v>110</v>
      </c>
      <c r="G31" s="2">
        <v>0</v>
      </c>
      <c r="H31" s="2" t="s">
        <v>17</v>
      </c>
      <c r="I31" s="1">
        <v>0</v>
      </c>
      <c r="J31" s="3" t="s">
        <v>111</v>
      </c>
      <c r="K31" s="2" t="str">
        <f>J31*429.00</f>
        <v>0</v>
      </c>
      <c r="L31" s="5"/>
    </row>
    <row r="32" spans="1:12" customHeight="1" ht="105" outlineLevel="4">
      <c r="A32" s="1"/>
      <c r="B32" s="1">
        <v>819918</v>
      </c>
      <c r="C32" s="1" t="s">
        <v>112</v>
      </c>
      <c r="D32" s="1" t="s">
        <v>113</v>
      </c>
      <c r="E32" s="2" t="s">
        <v>114</v>
      </c>
      <c r="F32" s="2" t="s">
        <v>115</v>
      </c>
      <c r="G32" s="2">
        <v>0</v>
      </c>
      <c r="H32" s="2" t="s">
        <v>47</v>
      </c>
      <c r="I32" s="1">
        <v>0</v>
      </c>
      <c r="J32" s="3" t="s">
        <v>111</v>
      </c>
      <c r="K32" s="2" t="str">
        <f>J32*372.00</f>
        <v>0</v>
      </c>
      <c r="L32" s="5"/>
    </row>
    <row r="33" spans="1:12" customHeight="1" ht="105" outlineLevel="4">
      <c r="A33" s="1"/>
      <c r="B33" s="1">
        <v>819919</v>
      </c>
      <c r="C33" s="1" t="s">
        <v>116</v>
      </c>
      <c r="D33" s="1" t="s">
        <v>117</v>
      </c>
      <c r="E33" s="2" t="s">
        <v>118</v>
      </c>
      <c r="F33" s="2" t="s">
        <v>119</v>
      </c>
      <c r="G33" s="2">
        <v>0</v>
      </c>
      <c r="H33" s="2">
        <v>0</v>
      </c>
      <c r="I33" s="1">
        <v>0</v>
      </c>
      <c r="J33" s="3" t="s">
        <v>111</v>
      </c>
      <c r="K33" s="2" t="str">
        <f>J33*180.00</f>
        <v>0</v>
      </c>
      <c r="L33" s="5"/>
    </row>
    <row r="34" spans="1:12" customHeight="1" ht="105" outlineLevel="4">
      <c r="A34" s="1"/>
      <c r="B34" s="1">
        <v>819920</v>
      </c>
      <c r="C34" s="1" t="s">
        <v>120</v>
      </c>
      <c r="D34" s="1" t="s">
        <v>121</v>
      </c>
      <c r="E34" s="2" t="s">
        <v>122</v>
      </c>
      <c r="F34" s="2" t="s">
        <v>123</v>
      </c>
      <c r="G34" s="2" t="s">
        <v>124</v>
      </c>
      <c r="H34" s="2" t="s">
        <v>47</v>
      </c>
      <c r="I34" s="1">
        <v>0</v>
      </c>
      <c r="J34" s="3" t="s">
        <v>111</v>
      </c>
      <c r="K34" s="2" t="str">
        <f>J34*366.00</f>
        <v>0</v>
      </c>
      <c r="L34" s="5"/>
    </row>
    <row r="35" spans="1:12" customHeight="1" ht="105" outlineLevel="4">
      <c r="A35" s="1"/>
      <c r="B35" s="1">
        <v>819921</v>
      </c>
      <c r="C35" s="1" t="s">
        <v>125</v>
      </c>
      <c r="D35" s="1" t="s">
        <v>126</v>
      </c>
      <c r="E35" s="2" t="s">
        <v>127</v>
      </c>
      <c r="F35" s="2" t="s">
        <v>128</v>
      </c>
      <c r="G35" s="2" t="s">
        <v>124</v>
      </c>
      <c r="H35" s="2" t="s">
        <v>62</v>
      </c>
      <c r="I35" s="1">
        <v>0</v>
      </c>
      <c r="J35" s="3" t="s">
        <v>111</v>
      </c>
      <c r="K35" s="2" t="str">
        <f>J35*427.00</f>
        <v>0</v>
      </c>
      <c r="L35" s="5"/>
    </row>
    <row r="36" spans="1:12" customHeight="1" ht="105" outlineLevel="4">
      <c r="A36" s="1"/>
      <c r="B36" s="1">
        <v>819922</v>
      </c>
      <c r="C36" s="1" t="s">
        <v>129</v>
      </c>
      <c r="D36" s="1" t="s">
        <v>130</v>
      </c>
      <c r="E36" s="2" t="s">
        <v>131</v>
      </c>
      <c r="F36" s="2" t="s">
        <v>132</v>
      </c>
      <c r="G36" s="2" t="s">
        <v>124</v>
      </c>
      <c r="H36" s="2" t="s">
        <v>62</v>
      </c>
      <c r="I36" s="1">
        <v>0</v>
      </c>
      <c r="J36" s="3" t="s">
        <v>111</v>
      </c>
      <c r="K36" s="2" t="str">
        <f>J36*498.00</f>
        <v>0</v>
      </c>
      <c r="L36" s="5"/>
    </row>
    <row r="37" spans="1:12" customHeight="1" ht="105" outlineLevel="4">
      <c r="A37" s="1"/>
      <c r="B37" s="1">
        <v>819923</v>
      </c>
      <c r="C37" s="1" t="s">
        <v>133</v>
      </c>
      <c r="D37" s="1" t="s">
        <v>134</v>
      </c>
      <c r="E37" s="2" t="s">
        <v>135</v>
      </c>
      <c r="F37" s="2" t="s">
        <v>136</v>
      </c>
      <c r="G37" s="2" t="s">
        <v>124</v>
      </c>
      <c r="H37" s="2" t="s">
        <v>67</v>
      </c>
      <c r="I37" s="1">
        <v>0</v>
      </c>
      <c r="J37" s="3" t="s">
        <v>111</v>
      </c>
      <c r="K37" s="2" t="str">
        <f>J37*433.00</f>
        <v>0</v>
      </c>
      <c r="L37" s="5"/>
    </row>
    <row r="38" spans="1:12" customHeight="1" ht="105" outlineLevel="4">
      <c r="A38" s="1"/>
      <c r="B38" s="1">
        <v>819924</v>
      </c>
      <c r="C38" s="1" t="s">
        <v>137</v>
      </c>
      <c r="D38" s="1" t="s">
        <v>138</v>
      </c>
      <c r="E38" s="2" t="s">
        <v>139</v>
      </c>
      <c r="F38" s="2" t="s">
        <v>140</v>
      </c>
      <c r="G38" s="2" t="s">
        <v>124</v>
      </c>
      <c r="H38" s="2" t="s">
        <v>67</v>
      </c>
      <c r="I38" s="1">
        <v>0</v>
      </c>
      <c r="J38" s="3" t="s">
        <v>111</v>
      </c>
      <c r="K38" s="2" t="str">
        <f>J38*499.00</f>
        <v>0</v>
      </c>
      <c r="L38" s="5"/>
    </row>
    <row r="39" spans="1:12" customHeight="1" ht="105" outlineLevel="4">
      <c r="A39" s="1"/>
      <c r="B39" s="1">
        <v>819925</v>
      </c>
      <c r="C39" s="1" t="s">
        <v>141</v>
      </c>
      <c r="D39" s="1" t="s">
        <v>142</v>
      </c>
      <c r="E39" s="2" t="s">
        <v>143</v>
      </c>
      <c r="F39" s="2" t="s">
        <v>144</v>
      </c>
      <c r="G39" s="2" t="s">
        <v>61</v>
      </c>
      <c r="H39" s="2" t="s">
        <v>67</v>
      </c>
      <c r="I39" s="1">
        <v>0</v>
      </c>
      <c r="J39" s="3" t="s">
        <v>111</v>
      </c>
      <c r="K39" s="2" t="str">
        <f>J39*645.00</f>
        <v>0</v>
      </c>
      <c r="L39" s="5"/>
    </row>
    <row r="40" spans="1:12" customHeight="1" ht="105" outlineLevel="4">
      <c r="A40" s="1"/>
      <c r="B40" s="1">
        <v>819926</v>
      </c>
      <c r="C40" s="1" t="s">
        <v>145</v>
      </c>
      <c r="D40" s="1" t="s">
        <v>146</v>
      </c>
      <c r="E40" s="2" t="s">
        <v>147</v>
      </c>
      <c r="F40" s="2" t="s">
        <v>148</v>
      </c>
      <c r="G40" s="2" t="s">
        <v>124</v>
      </c>
      <c r="H40" s="2" t="s">
        <v>67</v>
      </c>
      <c r="I40" s="1">
        <v>0</v>
      </c>
      <c r="J40" s="3" t="s">
        <v>111</v>
      </c>
      <c r="K40" s="2" t="str">
        <f>J40*854.00</f>
        <v>0</v>
      </c>
      <c r="L40" s="5"/>
    </row>
    <row r="41" spans="1:12" customHeight="1" ht="105" outlineLevel="4">
      <c r="A41" s="1"/>
      <c r="B41" s="1">
        <v>819927</v>
      </c>
      <c r="C41" s="1" t="s">
        <v>149</v>
      </c>
      <c r="D41" s="1" t="s">
        <v>150</v>
      </c>
      <c r="E41" s="2" t="s">
        <v>151</v>
      </c>
      <c r="F41" s="2" t="s">
        <v>152</v>
      </c>
      <c r="G41" s="2">
        <v>0</v>
      </c>
      <c r="H41" s="2" t="s">
        <v>47</v>
      </c>
      <c r="I41" s="1">
        <v>0</v>
      </c>
      <c r="J41" s="3" t="s">
        <v>111</v>
      </c>
      <c r="K41" s="2" t="str">
        <f>J41*949.00</f>
        <v>0</v>
      </c>
      <c r="L41" s="5"/>
    </row>
    <row r="42" spans="1:12" customHeight="1" ht="105" outlineLevel="4">
      <c r="A42" s="1"/>
      <c r="B42" s="1">
        <v>819928</v>
      </c>
      <c r="C42" s="1" t="s">
        <v>153</v>
      </c>
      <c r="D42" s="1" t="s">
        <v>154</v>
      </c>
      <c r="E42" s="2" t="s">
        <v>155</v>
      </c>
      <c r="F42" s="2" t="s">
        <v>156</v>
      </c>
      <c r="G42" s="2">
        <v>0</v>
      </c>
      <c r="H42" s="2" t="s">
        <v>47</v>
      </c>
      <c r="I42" s="1">
        <v>0</v>
      </c>
      <c r="J42" s="3" t="s">
        <v>111</v>
      </c>
      <c r="K42" s="2" t="str">
        <f>J42*1078.00</f>
        <v>0</v>
      </c>
      <c r="L42" s="5"/>
    </row>
    <row r="43" spans="1:12" customHeight="1" ht="105" outlineLevel="4">
      <c r="A43" s="1"/>
      <c r="B43" s="1">
        <v>819929</v>
      </c>
      <c r="C43" s="1" t="s">
        <v>157</v>
      </c>
      <c r="D43" s="1" t="s">
        <v>158</v>
      </c>
      <c r="E43" s="2" t="s">
        <v>159</v>
      </c>
      <c r="F43" s="2" t="s">
        <v>160</v>
      </c>
      <c r="G43" s="2">
        <v>0</v>
      </c>
      <c r="H43" s="2" t="s">
        <v>47</v>
      </c>
      <c r="I43" s="1">
        <v>0</v>
      </c>
      <c r="J43" s="3" t="s">
        <v>111</v>
      </c>
      <c r="K43" s="2" t="str">
        <f>J43*1417.00</f>
        <v>0</v>
      </c>
      <c r="L43" s="5"/>
    </row>
    <row r="44" spans="1:12" customHeight="1" ht="105" outlineLevel="4">
      <c r="A44" s="1"/>
      <c r="B44" s="1">
        <v>819930</v>
      </c>
      <c r="C44" s="1" t="s">
        <v>161</v>
      </c>
      <c r="D44" s="1" t="s">
        <v>162</v>
      </c>
      <c r="E44" s="2" t="s">
        <v>163</v>
      </c>
      <c r="F44" s="2" t="s">
        <v>164</v>
      </c>
      <c r="G44" s="2">
        <v>0</v>
      </c>
      <c r="H44" s="2" t="s">
        <v>47</v>
      </c>
      <c r="I44" s="1">
        <v>0</v>
      </c>
      <c r="J44" s="3" t="s">
        <v>111</v>
      </c>
      <c r="K44" s="2" t="str">
        <f>J44*1951.00</f>
        <v>0</v>
      </c>
      <c r="L44" s="5"/>
    </row>
    <row r="45" spans="1:12" customHeight="1" ht="105" outlineLevel="4">
      <c r="A45" s="1"/>
      <c r="B45" s="1">
        <v>819931</v>
      </c>
      <c r="C45" s="1" t="s">
        <v>165</v>
      </c>
      <c r="D45" s="1" t="s">
        <v>166</v>
      </c>
      <c r="E45" s="2" t="s">
        <v>167</v>
      </c>
      <c r="F45" s="2" t="s">
        <v>168</v>
      </c>
      <c r="G45" s="2">
        <v>0</v>
      </c>
      <c r="H45" s="2">
        <v>0</v>
      </c>
      <c r="I45" s="1">
        <v>0</v>
      </c>
      <c r="J45" s="3" t="s">
        <v>111</v>
      </c>
      <c r="K45" s="2" t="str">
        <f>J45*159.00</f>
        <v>0</v>
      </c>
      <c r="L45" s="5"/>
    </row>
    <row r="46" spans="1:12" customHeight="1" ht="105" outlineLevel="4">
      <c r="A46" s="1"/>
      <c r="B46" s="1">
        <v>819932</v>
      </c>
      <c r="C46" s="1" t="s">
        <v>169</v>
      </c>
      <c r="D46" s="1" t="s">
        <v>170</v>
      </c>
      <c r="E46" s="2" t="s">
        <v>171</v>
      </c>
      <c r="F46" s="2" t="s">
        <v>172</v>
      </c>
      <c r="G46" s="2" t="s">
        <v>124</v>
      </c>
      <c r="H46" s="2" t="s">
        <v>47</v>
      </c>
      <c r="I46" s="1">
        <v>0</v>
      </c>
      <c r="J46" s="3" t="s">
        <v>111</v>
      </c>
      <c r="K46" s="2" t="str">
        <f>J46*287.00</f>
        <v>0</v>
      </c>
      <c r="L46" s="5"/>
    </row>
    <row r="47" spans="1:12" customHeight="1" ht="105" outlineLevel="4">
      <c r="A47" s="1"/>
      <c r="B47" s="1">
        <v>819933</v>
      </c>
      <c r="C47" s="1" t="s">
        <v>173</v>
      </c>
      <c r="D47" s="1" t="s">
        <v>174</v>
      </c>
      <c r="E47" s="2" t="s">
        <v>175</v>
      </c>
      <c r="F47" s="2" t="s">
        <v>176</v>
      </c>
      <c r="G47" s="2" t="s">
        <v>124</v>
      </c>
      <c r="H47" s="2" t="s">
        <v>62</v>
      </c>
      <c r="I47" s="1">
        <v>0</v>
      </c>
      <c r="J47" s="3" t="s">
        <v>111</v>
      </c>
      <c r="K47" s="2" t="str">
        <f>J47*343.00</f>
        <v>0</v>
      </c>
      <c r="L47" s="5"/>
    </row>
    <row r="48" spans="1:12" customHeight="1" ht="105" outlineLevel="4">
      <c r="A48" s="1"/>
      <c r="B48" s="1">
        <v>819934</v>
      </c>
      <c r="C48" s="1" t="s">
        <v>177</v>
      </c>
      <c r="D48" s="1" t="s">
        <v>178</v>
      </c>
      <c r="E48" s="2" t="s">
        <v>179</v>
      </c>
      <c r="F48" s="2" t="s">
        <v>180</v>
      </c>
      <c r="G48" s="2" t="s">
        <v>124</v>
      </c>
      <c r="H48" s="2" t="s">
        <v>47</v>
      </c>
      <c r="I48" s="1">
        <v>0</v>
      </c>
      <c r="J48" s="3" t="s">
        <v>111</v>
      </c>
      <c r="K48" s="2" t="str">
        <f>J48*508.00</f>
        <v>0</v>
      </c>
      <c r="L48" s="5"/>
    </row>
    <row r="49" spans="1:12" customHeight="1" ht="105" outlineLevel="4">
      <c r="A49" s="1"/>
      <c r="B49" s="1">
        <v>819935</v>
      </c>
      <c r="C49" s="1" t="s">
        <v>181</v>
      </c>
      <c r="D49" s="1" t="s">
        <v>182</v>
      </c>
      <c r="E49" s="2" t="s">
        <v>183</v>
      </c>
      <c r="F49" s="2" t="s">
        <v>184</v>
      </c>
      <c r="G49" s="2" t="s">
        <v>61</v>
      </c>
      <c r="H49" s="2" t="s">
        <v>47</v>
      </c>
      <c r="I49" s="1">
        <v>0</v>
      </c>
      <c r="J49" s="3" t="s">
        <v>111</v>
      </c>
      <c r="K49" s="2" t="str">
        <f>J49*339.00</f>
        <v>0</v>
      </c>
      <c r="L49" s="5"/>
    </row>
    <row r="50" spans="1:12" customHeight="1" ht="105" outlineLevel="4">
      <c r="A50" s="1"/>
      <c r="B50" s="1">
        <v>819936</v>
      </c>
      <c r="C50" s="1" t="s">
        <v>185</v>
      </c>
      <c r="D50" s="1" t="s">
        <v>186</v>
      </c>
      <c r="E50" s="2" t="s">
        <v>187</v>
      </c>
      <c r="F50" s="2" t="s">
        <v>188</v>
      </c>
      <c r="G50" s="2" t="s">
        <v>124</v>
      </c>
      <c r="H50" s="2" t="s">
        <v>67</v>
      </c>
      <c r="I50" s="1">
        <v>0</v>
      </c>
      <c r="J50" s="3" t="s">
        <v>111</v>
      </c>
      <c r="K50" s="2" t="str">
        <f>J50*513.00</f>
        <v>0</v>
      </c>
      <c r="L50" s="5"/>
    </row>
    <row r="51" spans="1:12" customHeight="1" ht="105" outlineLevel="4">
      <c r="A51" s="1"/>
      <c r="B51" s="1">
        <v>819937</v>
      </c>
      <c r="C51" s="1" t="s">
        <v>189</v>
      </c>
      <c r="D51" s="1" t="s">
        <v>190</v>
      </c>
      <c r="E51" s="2" t="s">
        <v>191</v>
      </c>
      <c r="F51" s="2" t="s">
        <v>192</v>
      </c>
      <c r="G51" s="2">
        <v>8</v>
      </c>
      <c r="H51" s="2" t="s">
        <v>62</v>
      </c>
      <c r="I51" s="1">
        <v>0</v>
      </c>
      <c r="J51" s="3" t="s">
        <v>111</v>
      </c>
      <c r="K51" s="2" t="str">
        <f>J51*552.00</f>
        <v>0</v>
      </c>
      <c r="L51" s="5"/>
    </row>
    <row r="52" spans="1:12" customHeight="1" ht="105" outlineLevel="4">
      <c r="A52" s="1"/>
      <c r="B52" s="1">
        <v>819938</v>
      </c>
      <c r="C52" s="1" t="s">
        <v>193</v>
      </c>
      <c r="D52" s="1" t="s">
        <v>194</v>
      </c>
      <c r="E52" s="2" t="s">
        <v>195</v>
      </c>
      <c r="F52" s="2" t="s">
        <v>66</v>
      </c>
      <c r="G52" s="2" t="s">
        <v>124</v>
      </c>
      <c r="H52" s="2" t="s">
        <v>67</v>
      </c>
      <c r="I52" s="1">
        <v>0</v>
      </c>
      <c r="J52" s="3" t="s">
        <v>111</v>
      </c>
      <c r="K52" s="2" t="str">
        <f>J52*796.00</f>
        <v>0</v>
      </c>
      <c r="L52" s="5"/>
    </row>
    <row r="53" spans="1:12" customHeight="1" ht="105" outlineLevel="4">
      <c r="A53" s="1"/>
      <c r="B53" s="1">
        <v>819939</v>
      </c>
      <c r="C53" s="1" t="s">
        <v>196</v>
      </c>
      <c r="D53" s="1" t="s">
        <v>197</v>
      </c>
      <c r="E53" s="2" t="s">
        <v>198</v>
      </c>
      <c r="F53" s="2" t="s">
        <v>199</v>
      </c>
      <c r="G53" s="2">
        <v>3</v>
      </c>
      <c r="H53" s="2">
        <v>0</v>
      </c>
      <c r="I53" s="1">
        <v>0</v>
      </c>
      <c r="J53" s="3" t="s">
        <v>111</v>
      </c>
      <c r="K53" s="2" t="str">
        <f>J53*882.00</f>
        <v>0</v>
      </c>
      <c r="L53" s="5"/>
    </row>
    <row r="54" spans="1:12" customHeight="1" ht="105" outlineLevel="4">
      <c r="A54" s="1"/>
      <c r="B54" s="1">
        <v>819940</v>
      </c>
      <c r="C54" s="1" t="s">
        <v>200</v>
      </c>
      <c r="D54" s="1" t="s">
        <v>201</v>
      </c>
      <c r="E54" s="2" t="s">
        <v>202</v>
      </c>
      <c r="F54" s="2" t="s">
        <v>203</v>
      </c>
      <c r="G54" s="2">
        <v>0</v>
      </c>
      <c r="H54" s="2" t="s">
        <v>17</v>
      </c>
      <c r="I54" s="1">
        <v>0</v>
      </c>
      <c r="J54" s="3" t="s">
        <v>111</v>
      </c>
      <c r="K54" s="2" t="str">
        <f>J54*1032.00</f>
        <v>0</v>
      </c>
      <c r="L54" s="5"/>
    </row>
    <row r="55" spans="1:12" customHeight="1" ht="105" outlineLevel="4">
      <c r="A55" s="1"/>
      <c r="B55" s="1">
        <v>819941</v>
      </c>
      <c r="C55" s="1" t="s">
        <v>204</v>
      </c>
      <c r="D55" s="1" t="s">
        <v>205</v>
      </c>
      <c r="E55" s="2" t="s">
        <v>206</v>
      </c>
      <c r="F55" s="2" t="s">
        <v>207</v>
      </c>
      <c r="G55" s="2">
        <v>7</v>
      </c>
      <c r="H55" s="2" t="s">
        <v>17</v>
      </c>
      <c r="I55" s="1">
        <v>0</v>
      </c>
      <c r="J55" s="3" t="s">
        <v>111</v>
      </c>
      <c r="K55" s="2" t="str">
        <f>J55*1381.00</f>
        <v>0</v>
      </c>
      <c r="L55" s="5"/>
    </row>
    <row r="56" spans="1:12" customHeight="1" ht="105" outlineLevel="4">
      <c r="A56" s="1"/>
      <c r="B56" s="1">
        <v>819942</v>
      </c>
      <c r="C56" s="1" t="s">
        <v>208</v>
      </c>
      <c r="D56" s="1" t="s">
        <v>209</v>
      </c>
      <c r="E56" s="2" t="s">
        <v>210</v>
      </c>
      <c r="F56" s="2" t="s">
        <v>211</v>
      </c>
      <c r="G56" s="2">
        <v>0</v>
      </c>
      <c r="H56" s="2" t="s">
        <v>17</v>
      </c>
      <c r="I56" s="1">
        <v>0</v>
      </c>
      <c r="J56" s="3" t="s">
        <v>111</v>
      </c>
      <c r="K56" s="2" t="str">
        <f>J56*1892.00</f>
        <v>0</v>
      </c>
      <c r="L56" s="5"/>
    </row>
    <row r="57" spans="1:12" customHeight="1" ht="105" outlineLevel="4">
      <c r="A57" s="1"/>
      <c r="B57" s="1">
        <v>819943</v>
      </c>
      <c r="C57" s="1" t="s">
        <v>212</v>
      </c>
      <c r="D57" s="1" t="s">
        <v>213</v>
      </c>
      <c r="E57" s="2" t="s">
        <v>214</v>
      </c>
      <c r="F57" s="2" t="s">
        <v>215</v>
      </c>
      <c r="G57" s="2">
        <v>0</v>
      </c>
      <c r="H57" s="2">
        <v>0</v>
      </c>
      <c r="I57" s="1">
        <v>0</v>
      </c>
      <c r="J57" s="3" t="s">
        <v>111</v>
      </c>
      <c r="K57" s="2" t="str">
        <f>J57*96.00</f>
        <v>0</v>
      </c>
      <c r="L57" s="5"/>
    </row>
    <row r="58" spans="1:12" customHeight="1" ht="105" outlineLevel="4">
      <c r="A58" s="1"/>
      <c r="B58" s="1">
        <v>819944</v>
      </c>
      <c r="C58" s="1" t="s">
        <v>216</v>
      </c>
      <c r="D58" s="1" t="s">
        <v>217</v>
      </c>
      <c r="E58" s="2" t="s">
        <v>218</v>
      </c>
      <c r="F58" s="2" t="s">
        <v>219</v>
      </c>
      <c r="G58" s="2">
        <v>0</v>
      </c>
      <c r="H58" s="2">
        <v>0</v>
      </c>
      <c r="I58" s="1">
        <v>0</v>
      </c>
      <c r="J58" s="3" t="s">
        <v>111</v>
      </c>
      <c r="K58" s="2" t="str">
        <f>J58*191.00</f>
        <v>0</v>
      </c>
      <c r="L58" s="5"/>
    </row>
    <row r="59" spans="1:12" customHeight="1" ht="105" outlineLevel="4">
      <c r="A59" s="1"/>
      <c r="B59" s="1">
        <v>819945</v>
      </c>
      <c r="C59" s="1" t="s">
        <v>220</v>
      </c>
      <c r="D59" s="1" t="s">
        <v>221</v>
      </c>
      <c r="E59" s="2" t="s">
        <v>222</v>
      </c>
      <c r="F59" s="2" t="s">
        <v>223</v>
      </c>
      <c r="G59" s="2" t="s">
        <v>61</v>
      </c>
      <c r="H59" s="2" t="s">
        <v>47</v>
      </c>
      <c r="I59" s="1">
        <v>0</v>
      </c>
      <c r="J59" s="3" t="s">
        <v>111</v>
      </c>
      <c r="K59" s="2" t="str">
        <f>J59*170.00</f>
        <v>0</v>
      </c>
      <c r="L59" s="5"/>
    </row>
    <row r="60" spans="1:12" customHeight="1" ht="105" outlineLevel="4">
      <c r="A60" s="1"/>
      <c r="B60" s="1">
        <v>819946</v>
      </c>
      <c r="C60" s="1" t="s">
        <v>224</v>
      </c>
      <c r="D60" s="1" t="s">
        <v>225</v>
      </c>
      <c r="E60" s="2" t="s">
        <v>226</v>
      </c>
      <c r="F60" s="2" t="s">
        <v>227</v>
      </c>
      <c r="G60" s="2" t="s">
        <v>61</v>
      </c>
      <c r="H60" s="2">
        <v>0</v>
      </c>
      <c r="I60" s="1">
        <v>0</v>
      </c>
      <c r="J60" s="3" t="s">
        <v>111</v>
      </c>
      <c r="K60" s="2" t="str">
        <f>J60*282.00</f>
        <v>0</v>
      </c>
      <c r="L60" s="5"/>
    </row>
    <row r="61" spans="1:12" customHeight="1" ht="105" outlineLevel="4">
      <c r="A61" s="1"/>
      <c r="B61" s="1">
        <v>819947</v>
      </c>
      <c r="C61" s="1" t="s">
        <v>228</v>
      </c>
      <c r="D61" s="1" t="s">
        <v>229</v>
      </c>
      <c r="E61" s="2" t="s">
        <v>230</v>
      </c>
      <c r="F61" s="2" t="s">
        <v>231</v>
      </c>
      <c r="G61" s="2" t="s">
        <v>124</v>
      </c>
      <c r="H61" s="2" t="s">
        <v>47</v>
      </c>
      <c r="I61" s="1">
        <v>0</v>
      </c>
      <c r="J61" s="3" t="s">
        <v>111</v>
      </c>
      <c r="K61" s="2" t="str">
        <f>J61*245.00</f>
        <v>0</v>
      </c>
      <c r="L61" s="5"/>
    </row>
    <row r="62" spans="1:12" customHeight="1" ht="105" outlineLevel="4">
      <c r="A62" s="1"/>
      <c r="B62" s="1">
        <v>819948</v>
      </c>
      <c r="C62" s="1" t="s">
        <v>232</v>
      </c>
      <c r="D62" s="1" t="s">
        <v>233</v>
      </c>
      <c r="E62" s="2" t="s">
        <v>234</v>
      </c>
      <c r="F62" s="2" t="s">
        <v>235</v>
      </c>
      <c r="G62" s="2" t="s">
        <v>61</v>
      </c>
      <c r="H62" s="2" t="s">
        <v>47</v>
      </c>
      <c r="I62" s="1">
        <v>0</v>
      </c>
      <c r="J62" s="3" t="s">
        <v>111</v>
      </c>
      <c r="K62" s="2" t="str">
        <f>J62*304.00</f>
        <v>0</v>
      </c>
      <c r="L62" s="5"/>
    </row>
    <row r="63" spans="1:12" customHeight="1" ht="105" outlineLevel="4">
      <c r="A63" s="1"/>
      <c r="B63" s="1">
        <v>819949</v>
      </c>
      <c r="C63" s="1" t="s">
        <v>236</v>
      </c>
      <c r="D63" s="1" t="s">
        <v>237</v>
      </c>
      <c r="E63" s="2" t="s">
        <v>238</v>
      </c>
      <c r="F63" s="2" t="s">
        <v>239</v>
      </c>
      <c r="G63" s="2" t="s">
        <v>61</v>
      </c>
      <c r="H63" s="2" t="s">
        <v>62</v>
      </c>
      <c r="I63" s="1">
        <v>0</v>
      </c>
      <c r="J63" s="3" t="s">
        <v>111</v>
      </c>
      <c r="K63" s="2" t="str">
        <f>J63*333.00</f>
        <v>0</v>
      </c>
      <c r="L63" s="5"/>
    </row>
    <row r="64" spans="1:12" customHeight="1" ht="105" outlineLevel="4">
      <c r="A64" s="1"/>
      <c r="B64" s="1">
        <v>819950</v>
      </c>
      <c r="C64" s="1" t="s">
        <v>240</v>
      </c>
      <c r="D64" s="1" t="s">
        <v>241</v>
      </c>
      <c r="E64" s="2" t="s">
        <v>242</v>
      </c>
      <c r="F64" s="2" t="s">
        <v>243</v>
      </c>
      <c r="G64" s="2" t="s">
        <v>124</v>
      </c>
      <c r="H64" s="2" t="s">
        <v>62</v>
      </c>
      <c r="I64" s="1">
        <v>0</v>
      </c>
      <c r="J64" s="3" t="s">
        <v>111</v>
      </c>
      <c r="K64" s="2" t="str">
        <f>J64*266.00</f>
        <v>0</v>
      </c>
      <c r="L64" s="5"/>
    </row>
    <row r="65" spans="1:12" customHeight="1" ht="105" outlineLevel="4">
      <c r="A65" s="1"/>
      <c r="B65" s="1">
        <v>819951</v>
      </c>
      <c r="C65" s="1" t="s">
        <v>244</v>
      </c>
      <c r="D65" s="1" t="s">
        <v>245</v>
      </c>
      <c r="E65" s="2" t="s">
        <v>246</v>
      </c>
      <c r="F65" s="2" t="s">
        <v>247</v>
      </c>
      <c r="G65" s="2" t="s">
        <v>61</v>
      </c>
      <c r="H65" s="2" t="s">
        <v>124</v>
      </c>
      <c r="I65" s="1">
        <v>0</v>
      </c>
      <c r="J65" s="3" t="s">
        <v>111</v>
      </c>
      <c r="K65" s="2" t="str">
        <f>J65*388.00</f>
        <v>0</v>
      </c>
      <c r="L65" s="5"/>
    </row>
    <row r="66" spans="1:12" customHeight="1" ht="105" outlineLevel="4">
      <c r="A66" s="1"/>
      <c r="B66" s="1">
        <v>819952</v>
      </c>
      <c r="C66" s="1" t="s">
        <v>248</v>
      </c>
      <c r="D66" s="1" t="s">
        <v>249</v>
      </c>
      <c r="E66" s="2" t="s">
        <v>250</v>
      </c>
      <c r="F66" s="2" t="s">
        <v>251</v>
      </c>
      <c r="G66" s="2" t="s">
        <v>61</v>
      </c>
      <c r="H66" s="2" t="s">
        <v>17</v>
      </c>
      <c r="I66" s="1">
        <v>0</v>
      </c>
      <c r="J66" s="3" t="s">
        <v>111</v>
      </c>
      <c r="K66" s="2" t="str">
        <f>J66*408.00</f>
        <v>0</v>
      </c>
      <c r="L66" s="5"/>
    </row>
    <row r="67" spans="1:12" customHeight="1" ht="105" outlineLevel="4">
      <c r="A67" s="1"/>
      <c r="B67" s="1">
        <v>819953</v>
      </c>
      <c r="C67" s="1" t="s">
        <v>252</v>
      </c>
      <c r="D67" s="1" t="s">
        <v>253</v>
      </c>
      <c r="E67" s="2" t="s">
        <v>254</v>
      </c>
      <c r="F67" s="2" t="s">
        <v>255</v>
      </c>
      <c r="G67" s="2" t="s">
        <v>61</v>
      </c>
      <c r="H67" s="2" t="s">
        <v>62</v>
      </c>
      <c r="I67" s="1">
        <v>0</v>
      </c>
      <c r="J67" s="3" t="s">
        <v>111</v>
      </c>
      <c r="K67" s="2" t="str">
        <f>J67*315.00</f>
        <v>0</v>
      </c>
      <c r="L67" s="5"/>
    </row>
    <row r="68" spans="1:12" customHeight="1" ht="105" outlineLevel="4">
      <c r="A68" s="1"/>
      <c r="B68" s="1">
        <v>819954</v>
      </c>
      <c r="C68" s="1" t="s">
        <v>256</v>
      </c>
      <c r="D68" s="1" t="s">
        <v>257</v>
      </c>
      <c r="E68" s="2" t="s">
        <v>258</v>
      </c>
      <c r="F68" s="2" t="s">
        <v>259</v>
      </c>
      <c r="G68" s="2">
        <v>0</v>
      </c>
      <c r="H68" s="2" t="s">
        <v>124</v>
      </c>
      <c r="I68" s="1">
        <v>0</v>
      </c>
      <c r="J68" s="3" t="s">
        <v>111</v>
      </c>
      <c r="K68" s="2" t="str">
        <f>J68*547.00</f>
        <v>0</v>
      </c>
      <c r="L68" s="5"/>
    </row>
    <row r="69" spans="1:12" customHeight="1" ht="105" outlineLevel="4">
      <c r="A69" s="1"/>
      <c r="B69" s="1">
        <v>819955</v>
      </c>
      <c r="C69" s="1" t="s">
        <v>260</v>
      </c>
      <c r="D69" s="1" t="s">
        <v>261</v>
      </c>
      <c r="E69" s="2" t="s">
        <v>262</v>
      </c>
      <c r="F69" s="2" t="s">
        <v>263</v>
      </c>
      <c r="G69" s="2">
        <v>-2</v>
      </c>
      <c r="H69" s="2" t="s">
        <v>47</v>
      </c>
      <c r="I69" s="1">
        <v>0</v>
      </c>
      <c r="J69" s="3" t="s">
        <v>111</v>
      </c>
      <c r="K69" s="2" t="str">
        <f>J69*431.00</f>
        <v>0</v>
      </c>
      <c r="L69" s="5"/>
    </row>
    <row r="70" spans="1:12" customHeight="1" ht="105" outlineLevel="4">
      <c r="A70" s="1"/>
      <c r="B70" s="1">
        <v>819956</v>
      </c>
      <c r="C70" s="1" t="s">
        <v>264</v>
      </c>
      <c r="D70" s="1" t="s">
        <v>265</v>
      </c>
      <c r="E70" s="2" t="s">
        <v>266</v>
      </c>
      <c r="F70" s="2" t="s">
        <v>267</v>
      </c>
      <c r="G70" s="2">
        <v>0</v>
      </c>
      <c r="H70" s="2" t="s">
        <v>17</v>
      </c>
      <c r="I70" s="1">
        <v>0</v>
      </c>
      <c r="J70" s="3" t="s">
        <v>111</v>
      </c>
      <c r="K70" s="2" t="str">
        <f>J70*620.00</f>
        <v>0</v>
      </c>
      <c r="L70" s="5"/>
    </row>
    <row r="71" spans="1:12" customHeight="1" ht="105" outlineLevel="4">
      <c r="A71" s="1"/>
      <c r="B71" s="1">
        <v>819957</v>
      </c>
      <c r="C71" s="1" t="s">
        <v>268</v>
      </c>
      <c r="D71" s="1" t="s">
        <v>269</v>
      </c>
      <c r="E71" s="2" t="s">
        <v>270</v>
      </c>
      <c r="F71" s="2" t="s">
        <v>271</v>
      </c>
      <c r="G71" s="2">
        <v>0</v>
      </c>
      <c r="H71" s="2">
        <v>0</v>
      </c>
      <c r="I71" s="1">
        <v>0</v>
      </c>
      <c r="J71" s="3" t="s">
        <v>111</v>
      </c>
      <c r="K71" s="2" t="str">
        <f>J71*582.00</f>
        <v>0</v>
      </c>
      <c r="L71" s="5"/>
    </row>
    <row r="72" spans="1:12" customHeight="1" ht="105" outlineLevel="4">
      <c r="A72" s="1"/>
      <c r="B72" s="1">
        <v>819958</v>
      </c>
      <c r="C72" s="1" t="s">
        <v>272</v>
      </c>
      <c r="D72" s="1" t="s">
        <v>273</v>
      </c>
      <c r="E72" s="2" t="s">
        <v>274</v>
      </c>
      <c r="F72" s="2" t="s">
        <v>275</v>
      </c>
      <c r="G72" s="2">
        <v>0</v>
      </c>
      <c r="H72" s="2" t="s">
        <v>17</v>
      </c>
      <c r="I72" s="1">
        <v>0</v>
      </c>
      <c r="J72" s="3" t="s">
        <v>111</v>
      </c>
      <c r="K72" s="2" t="str">
        <f>J72*952.00</f>
        <v>0</v>
      </c>
      <c r="L72" s="5"/>
    </row>
    <row r="73" spans="1:12" customHeight="1" ht="105" outlineLevel="4">
      <c r="A73" s="1"/>
      <c r="B73" s="1">
        <v>819959</v>
      </c>
      <c r="C73" s="1" t="s">
        <v>276</v>
      </c>
      <c r="D73" s="1" t="s">
        <v>277</v>
      </c>
      <c r="E73" s="2" t="s">
        <v>278</v>
      </c>
      <c r="F73" s="2" t="s">
        <v>279</v>
      </c>
      <c r="G73" s="2">
        <v>0</v>
      </c>
      <c r="H73" s="2" t="s">
        <v>47</v>
      </c>
      <c r="I73" s="1">
        <v>0</v>
      </c>
      <c r="J73" s="3" t="s">
        <v>111</v>
      </c>
      <c r="K73" s="2" t="str">
        <f>J73*754.00</f>
        <v>0</v>
      </c>
      <c r="L73" s="5"/>
    </row>
    <row r="74" spans="1:12" customHeight="1" ht="105" outlineLevel="4">
      <c r="A74" s="1"/>
      <c r="B74" s="1">
        <v>819960</v>
      </c>
      <c r="C74" s="1" t="s">
        <v>280</v>
      </c>
      <c r="D74" s="1" t="s">
        <v>281</v>
      </c>
      <c r="E74" s="2" t="s">
        <v>282</v>
      </c>
      <c r="F74" s="2" t="s">
        <v>283</v>
      </c>
      <c r="G74" s="2" t="s">
        <v>124</v>
      </c>
      <c r="H74" s="2">
        <v>0</v>
      </c>
      <c r="I74" s="1">
        <v>0</v>
      </c>
      <c r="J74" s="3" t="s">
        <v>111</v>
      </c>
      <c r="K74" s="2" t="str">
        <f>J74*264.00</f>
        <v>0</v>
      </c>
      <c r="L74" s="5"/>
    </row>
    <row r="75" spans="1:12" customHeight="1" ht="105" outlineLevel="4">
      <c r="A75" s="1"/>
      <c r="B75" s="1">
        <v>819961</v>
      </c>
      <c r="C75" s="1" t="s">
        <v>284</v>
      </c>
      <c r="D75" s="1" t="s">
        <v>285</v>
      </c>
      <c r="E75" s="2" t="s">
        <v>286</v>
      </c>
      <c r="F75" s="2" t="s">
        <v>287</v>
      </c>
      <c r="G75" s="2" t="s">
        <v>61</v>
      </c>
      <c r="H75" s="2" t="s">
        <v>47</v>
      </c>
      <c r="I75" s="1">
        <v>0</v>
      </c>
      <c r="J75" s="3" t="s">
        <v>111</v>
      </c>
      <c r="K75" s="2" t="str">
        <f>J75*326.00</f>
        <v>0</v>
      </c>
      <c r="L75" s="5"/>
    </row>
    <row r="76" spans="1:12" customHeight="1" ht="105" outlineLevel="4">
      <c r="A76" s="1"/>
      <c r="B76" s="1">
        <v>819962</v>
      </c>
      <c r="C76" s="1" t="s">
        <v>288</v>
      </c>
      <c r="D76" s="1" t="s">
        <v>289</v>
      </c>
      <c r="E76" s="2" t="s">
        <v>290</v>
      </c>
      <c r="F76" s="2" t="s">
        <v>291</v>
      </c>
      <c r="G76" s="2" t="s">
        <v>61</v>
      </c>
      <c r="H76" s="2">
        <v>0</v>
      </c>
      <c r="I76" s="1">
        <v>0</v>
      </c>
      <c r="J76" s="3" t="s">
        <v>111</v>
      </c>
      <c r="K76" s="2" t="str">
        <f>J76*369.00</f>
        <v>0</v>
      </c>
      <c r="L76" s="5"/>
    </row>
    <row r="77" spans="1:12" customHeight="1" ht="105" outlineLevel="4">
      <c r="A77" s="1"/>
      <c r="B77" s="1">
        <v>819963</v>
      </c>
      <c r="C77" s="1" t="s">
        <v>292</v>
      </c>
      <c r="D77" s="1" t="s">
        <v>293</v>
      </c>
      <c r="E77" s="2" t="s">
        <v>294</v>
      </c>
      <c r="F77" s="2" t="s">
        <v>295</v>
      </c>
      <c r="G77" s="2" t="s">
        <v>61</v>
      </c>
      <c r="H77" s="2" t="s">
        <v>47</v>
      </c>
      <c r="I77" s="1">
        <v>0</v>
      </c>
      <c r="J77" s="3" t="s">
        <v>111</v>
      </c>
      <c r="K77" s="2" t="str">
        <f>J77*562.00</f>
        <v>0</v>
      </c>
      <c r="L77" s="5"/>
    </row>
    <row r="78" spans="1:12" customHeight="1" ht="105" outlineLevel="4">
      <c r="A78" s="1"/>
      <c r="B78" s="1">
        <v>819964</v>
      </c>
      <c r="C78" s="1" t="s">
        <v>296</v>
      </c>
      <c r="D78" s="1" t="s">
        <v>297</v>
      </c>
      <c r="E78" s="2" t="s">
        <v>298</v>
      </c>
      <c r="F78" s="2" t="s">
        <v>299</v>
      </c>
      <c r="G78" s="2">
        <v>0</v>
      </c>
      <c r="H78" s="2" t="s">
        <v>17</v>
      </c>
      <c r="I78" s="1">
        <v>0</v>
      </c>
      <c r="J78" s="3" t="s">
        <v>111</v>
      </c>
      <c r="K78" s="2" t="str">
        <f>J78*593.00</f>
        <v>0</v>
      </c>
      <c r="L78" s="5"/>
    </row>
    <row r="79" spans="1:12" customHeight="1" ht="105" outlineLevel="4">
      <c r="A79" s="1"/>
      <c r="B79" s="1">
        <v>819965</v>
      </c>
      <c r="C79" s="1" t="s">
        <v>300</v>
      </c>
      <c r="D79" s="1" t="s">
        <v>301</v>
      </c>
      <c r="E79" s="2" t="s">
        <v>302</v>
      </c>
      <c r="F79" s="2" t="s">
        <v>144</v>
      </c>
      <c r="G79" s="2">
        <v>0</v>
      </c>
      <c r="H79" s="2" t="s">
        <v>47</v>
      </c>
      <c r="I79" s="1">
        <v>0</v>
      </c>
      <c r="J79" s="3" t="s">
        <v>111</v>
      </c>
      <c r="K79" s="2" t="str">
        <f>J79*645.00</f>
        <v>0</v>
      </c>
      <c r="L79" s="5"/>
    </row>
    <row r="80" spans="1:12" customHeight="1" ht="105" outlineLevel="4">
      <c r="A80" s="1"/>
      <c r="B80" s="1">
        <v>819966</v>
      </c>
      <c r="C80" s="1" t="s">
        <v>303</v>
      </c>
      <c r="D80" s="1" t="s">
        <v>304</v>
      </c>
      <c r="E80" s="2" t="s">
        <v>305</v>
      </c>
      <c r="F80" s="2" t="s">
        <v>306</v>
      </c>
      <c r="G80" s="2">
        <v>0</v>
      </c>
      <c r="H80" s="2" t="s">
        <v>124</v>
      </c>
      <c r="I80" s="1">
        <v>0</v>
      </c>
      <c r="J80" s="3" t="s">
        <v>111</v>
      </c>
      <c r="K80" s="2" t="str">
        <f>J80*1048.00</f>
        <v>0</v>
      </c>
      <c r="L80" s="5"/>
    </row>
    <row r="81" spans="1:12" customHeight="1" ht="105" outlineLevel="4">
      <c r="A81" s="1"/>
      <c r="B81" s="1">
        <v>819967</v>
      </c>
      <c r="C81" s="1" t="s">
        <v>307</v>
      </c>
      <c r="D81" s="1" t="s">
        <v>308</v>
      </c>
      <c r="E81" s="2" t="s">
        <v>309</v>
      </c>
      <c r="F81" s="2" t="s">
        <v>310</v>
      </c>
      <c r="G81" s="2">
        <v>8</v>
      </c>
      <c r="H81" s="2" t="s">
        <v>47</v>
      </c>
      <c r="I81" s="1">
        <v>0</v>
      </c>
      <c r="J81" s="3" t="s">
        <v>111</v>
      </c>
      <c r="K81" s="2" t="str">
        <f>J81*284.00</f>
        <v>0</v>
      </c>
      <c r="L81" s="5"/>
    </row>
    <row r="82" spans="1:12" customHeight="1" ht="105" outlineLevel="4">
      <c r="A82" s="1"/>
      <c r="B82" s="1">
        <v>819968</v>
      </c>
      <c r="C82" s="1" t="s">
        <v>311</v>
      </c>
      <c r="D82" s="1" t="s">
        <v>312</v>
      </c>
      <c r="E82" s="2" t="s">
        <v>313</v>
      </c>
      <c r="F82" s="2" t="s">
        <v>310</v>
      </c>
      <c r="G82" s="2">
        <v>9</v>
      </c>
      <c r="H82" s="2" t="s">
        <v>47</v>
      </c>
      <c r="I82" s="1">
        <v>0</v>
      </c>
      <c r="J82" s="3" t="s">
        <v>111</v>
      </c>
      <c r="K82" s="2" t="str">
        <f>J82*284.00</f>
        <v>0</v>
      </c>
      <c r="L82" s="5"/>
    </row>
    <row r="83" spans="1:12" customHeight="1" ht="105" outlineLevel="4">
      <c r="A83" s="1"/>
      <c r="B83" s="1">
        <v>819969</v>
      </c>
      <c r="C83" s="1" t="s">
        <v>314</v>
      </c>
      <c r="D83" s="1" t="s">
        <v>315</v>
      </c>
      <c r="E83" s="2" t="s">
        <v>316</v>
      </c>
      <c r="F83" s="2" t="s">
        <v>317</v>
      </c>
      <c r="G83" s="2">
        <v>8</v>
      </c>
      <c r="H83" s="2" t="s">
        <v>47</v>
      </c>
      <c r="I83" s="1">
        <v>0</v>
      </c>
      <c r="J83" s="3" t="s">
        <v>111</v>
      </c>
      <c r="K83" s="2" t="str">
        <f>J83*303.00</f>
        <v>0</v>
      </c>
      <c r="L83" s="5"/>
    </row>
    <row r="84" spans="1:12" customHeight="1" ht="105" outlineLevel="4">
      <c r="A84" s="1"/>
      <c r="B84" s="1">
        <v>819970</v>
      </c>
      <c r="C84" s="1" t="s">
        <v>318</v>
      </c>
      <c r="D84" s="1" t="s">
        <v>319</v>
      </c>
      <c r="E84" s="2" t="s">
        <v>320</v>
      </c>
      <c r="F84" s="2" t="s">
        <v>321</v>
      </c>
      <c r="G84" s="2">
        <v>10</v>
      </c>
      <c r="H84" s="2" t="s">
        <v>47</v>
      </c>
      <c r="I84" s="1">
        <v>0</v>
      </c>
      <c r="J84" s="3" t="s">
        <v>111</v>
      </c>
      <c r="K84" s="2" t="str">
        <f>J84*378.00</f>
        <v>0</v>
      </c>
      <c r="L84" s="5"/>
    </row>
    <row r="85" spans="1:12" customHeight="1" ht="105" outlineLevel="4">
      <c r="A85" s="1"/>
      <c r="B85" s="1">
        <v>819971</v>
      </c>
      <c r="C85" s="1" t="s">
        <v>322</v>
      </c>
      <c r="D85" s="1" t="s">
        <v>323</v>
      </c>
      <c r="E85" s="2" t="s">
        <v>324</v>
      </c>
      <c r="F85" s="2" t="s">
        <v>325</v>
      </c>
      <c r="G85" s="2">
        <v>9</v>
      </c>
      <c r="H85" s="2" t="s">
        <v>47</v>
      </c>
      <c r="I85" s="1">
        <v>0</v>
      </c>
      <c r="J85" s="3" t="s">
        <v>111</v>
      </c>
      <c r="K85" s="2" t="str">
        <f>J85*416.00</f>
        <v>0</v>
      </c>
      <c r="L85" s="5"/>
    </row>
    <row r="86" spans="1:12" customHeight="1" ht="105" outlineLevel="4">
      <c r="A86" s="1"/>
      <c r="B86" s="1">
        <v>819972</v>
      </c>
      <c r="C86" s="1" t="s">
        <v>326</v>
      </c>
      <c r="D86" s="1" t="s">
        <v>327</v>
      </c>
      <c r="E86" s="2" t="s">
        <v>328</v>
      </c>
      <c r="F86" s="2" t="s">
        <v>329</v>
      </c>
      <c r="G86" s="2">
        <v>6</v>
      </c>
      <c r="H86" s="2" t="s">
        <v>62</v>
      </c>
      <c r="I86" s="1">
        <v>0</v>
      </c>
      <c r="J86" s="3" t="s">
        <v>111</v>
      </c>
      <c r="K86" s="2" t="str">
        <f>J86*420.00</f>
        <v>0</v>
      </c>
      <c r="L86" s="5"/>
    </row>
    <row r="87" spans="1:12" customHeight="1" ht="105" outlineLevel="4">
      <c r="A87" s="1"/>
      <c r="B87" s="1">
        <v>819973</v>
      </c>
      <c r="C87" s="1" t="s">
        <v>330</v>
      </c>
      <c r="D87" s="1" t="s">
        <v>331</v>
      </c>
      <c r="E87" s="2" t="s">
        <v>332</v>
      </c>
      <c r="F87" s="2" t="s">
        <v>333</v>
      </c>
      <c r="G87" s="2">
        <v>0</v>
      </c>
      <c r="H87" s="2" t="s">
        <v>47</v>
      </c>
      <c r="I87" s="1">
        <v>0</v>
      </c>
      <c r="J87" s="3" t="s">
        <v>111</v>
      </c>
      <c r="K87" s="2" t="str">
        <f>J87*487.00</f>
        <v>0</v>
      </c>
      <c r="L87" s="5"/>
    </row>
    <row r="88" spans="1:12" customHeight="1" ht="105" outlineLevel="4">
      <c r="A88" s="1"/>
      <c r="B88" s="1">
        <v>819974</v>
      </c>
      <c r="C88" s="1" t="s">
        <v>334</v>
      </c>
      <c r="D88" s="1" t="s">
        <v>335</v>
      </c>
      <c r="E88" s="2" t="s">
        <v>336</v>
      </c>
      <c r="F88" s="2" t="s">
        <v>337</v>
      </c>
      <c r="G88" s="2">
        <v>0</v>
      </c>
      <c r="H88" s="2" t="s">
        <v>47</v>
      </c>
      <c r="I88" s="1">
        <v>0</v>
      </c>
      <c r="J88" s="3" t="s">
        <v>111</v>
      </c>
      <c r="K88" s="2" t="str">
        <f>J88*402.00</f>
        <v>0</v>
      </c>
      <c r="L88" s="5"/>
    </row>
    <row r="89" spans="1:12" customHeight="1" ht="105" outlineLevel="4">
      <c r="A89" s="1"/>
      <c r="B89" s="1">
        <v>819975</v>
      </c>
      <c r="C89" s="1" t="s">
        <v>338</v>
      </c>
      <c r="D89" s="1" t="s">
        <v>339</v>
      </c>
      <c r="E89" s="2" t="s">
        <v>340</v>
      </c>
      <c r="F89" s="2" t="s">
        <v>341</v>
      </c>
      <c r="G89" s="2">
        <v>0</v>
      </c>
      <c r="H89" s="2" t="s">
        <v>47</v>
      </c>
      <c r="I89" s="1">
        <v>0</v>
      </c>
      <c r="J89" s="3" t="s">
        <v>111</v>
      </c>
      <c r="K89" s="2" t="str">
        <f>J89*507.00</f>
        <v>0</v>
      </c>
      <c r="L89" s="5"/>
    </row>
    <row r="90" spans="1:12" customHeight="1" ht="105" outlineLevel="4">
      <c r="A90" s="1"/>
      <c r="B90" s="1">
        <v>819976</v>
      </c>
      <c r="C90" s="1" t="s">
        <v>342</v>
      </c>
      <c r="D90" s="1" t="s">
        <v>343</v>
      </c>
      <c r="E90" s="2" t="s">
        <v>344</v>
      </c>
      <c r="F90" s="2" t="s">
        <v>345</v>
      </c>
      <c r="G90" s="2">
        <v>0</v>
      </c>
      <c r="H90" s="2" t="s">
        <v>17</v>
      </c>
      <c r="I90" s="1">
        <v>0</v>
      </c>
      <c r="J90" s="3" t="s">
        <v>111</v>
      </c>
      <c r="K90" s="2" t="str">
        <f>J90*503.00</f>
        <v>0</v>
      </c>
      <c r="L90" s="5"/>
    </row>
    <row r="91" spans="1:12" customHeight="1" ht="105" outlineLevel="4">
      <c r="A91" s="1"/>
      <c r="B91" s="1">
        <v>819977</v>
      </c>
      <c r="C91" s="1" t="s">
        <v>346</v>
      </c>
      <c r="D91" s="1" t="s">
        <v>347</v>
      </c>
      <c r="E91" s="2" t="s">
        <v>348</v>
      </c>
      <c r="F91" s="2" t="s">
        <v>349</v>
      </c>
      <c r="G91" s="2">
        <v>0</v>
      </c>
      <c r="H91" s="2" t="s">
        <v>47</v>
      </c>
      <c r="I91" s="1">
        <v>0</v>
      </c>
      <c r="J91" s="3" t="s">
        <v>111</v>
      </c>
      <c r="K91" s="2" t="str">
        <f>J91*740.00</f>
        <v>0</v>
      </c>
      <c r="L91" s="5"/>
    </row>
    <row r="92" spans="1:12" customHeight="1" ht="105" outlineLevel="4">
      <c r="A92" s="1"/>
      <c r="B92" s="1">
        <v>819978</v>
      </c>
      <c r="C92" s="1" t="s">
        <v>350</v>
      </c>
      <c r="D92" s="1" t="s">
        <v>351</v>
      </c>
      <c r="E92" s="2" t="s">
        <v>352</v>
      </c>
      <c r="F92" s="2" t="s">
        <v>353</v>
      </c>
      <c r="G92" s="2">
        <v>0</v>
      </c>
      <c r="H92" s="2" t="s">
        <v>17</v>
      </c>
      <c r="I92" s="1">
        <v>0</v>
      </c>
      <c r="J92" s="3" t="s">
        <v>111</v>
      </c>
      <c r="K92" s="2" t="str">
        <f>J92*717.00</f>
        <v>0</v>
      </c>
      <c r="L92" s="5"/>
    </row>
    <row r="93" spans="1:12" customHeight="1" ht="105" outlineLevel="4">
      <c r="A93" s="1"/>
      <c r="B93" s="1">
        <v>819979</v>
      </c>
      <c r="C93" s="1" t="s">
        <v>354</v>
      </c>
      <c r="D93" s="1" t="s">
        <v>355</v>
      </c>
      <c r="E93" s="2" t="s">
        <v>356</v>
      </c>
      <c r="F93" s="2" t="s">
        <v>357</v>
      </c>
      <c r="G93" s="2">
        <v>0</v>
      </c>
      <c r="H93" s="2" t="s">
        <v>47</v>
      </c>
      <c r="I93" s="1">
        <v>0</v>
      </c>
      <c r="J93" s="3" t="s">
        <v>111</v>
      </c>
      <c r="K93" s="2" t="str">
        <f>J93*613.00</f>
        <v>0</v>
      </c>
      <c r="L93" s="5"/>
    </row>
    <row r="94" spans="1:12" customHeight="1" ht="105" outlineLevel="4">
      <c r="A94" s="1"/>
      <c r="B94" s="1">
        <v>819980</v>
      </c>
      <c r="C94" s="1" t="s">
        <v>358</v>
      </c>
      <c r="D94" s="1" t="s">
        <v>359</v>
      </c>
      <c r="E94" s="2" t="s">
        <v>360</v>
      </c>
      <c r="F94" s="2" t="s">
        <v>361</v>
      </c>
      <c r="G94" s="2">
        <v>0</v>
      </c>
      <c r="H94" s="2" t="s">
        <v>17</v>
      </c>
      <c r="I94" s="1">
        <v>0</v>
      </c>
      <c r="J94" s="3" t="s">
        <v>111</v>
      </c>
      <c r="K94" s="2" t="str">
        <f>J94*902.00</f>
        <v>0</v>
      </c>
      <c r="L94" s="5"/>
    </row>
    <row r="95" spans="1:12" customHeight="1" ht="105" outlineLevel="4">
      <c r="A95" s="1"/>
      <c r="B95" s="1">
        <v>819981</v>
      </c>
      <c r="C95" s="1" t="s">
        <v>362</v>
      </c>
      <c r="D95" s="1" t="s">
        <v>363</v>
      </c>
      <c r="E95" s="2" t="s">
        <v>364</v>
      </c>
      <c r="F95" s="2" t="s">
        <v>365</v>
      </c>
      <c r="G95" s="2">
        <v>0</v>
      </c>
      <c r="H95" s="2" t="s">
        <v>124</v>
      </c>
      <c r="I95" s="1">
        <v>0</v>
      </c>
      <c r="J95" s="3" t="s">
        <v>111</v>
      </c>
      <c r="K95" s="2" t="str">
        <f>J95*818.00</f>
        <v>0</v>
      </c>
      <c r="L95" s="5"/>
    </row>
    <row r="96" spans="1:12" customHeight="1" ht="105" outlineLevel="4">
      <c r="A96" s="1"/>
      <c r="B96" s="1">
        <v>819982</v>
      </c>
      <c r="C96" s="1" t="s">
        <v>366</v>
      </c>
      <c r="D96" s="1" t="s">
        <v>367</v>
      </c>
      <c r="E96" s="2" t="s">
        <v>368</v>
      </c>
      <c r="F96" s="2" t="s">
        <v>369</v>
      </c>
      <c r="G96" s="2">
        <v>0</v>
      </c>
      <c r="H96" s="2" t="s">
        <v>47</v>
      </c>
      <c r="I96" s="1">
        <v>0</v>
      </c>
      <c r="J96" s="3" t="s">
        <v>111</v>
      </c>
      <c r="K96" s="2" t="str">
        <f>J96*883.00</f>
        <v>0</v>
      </c>
      <c r="L96" s="5"/>
    </row>
    <row r="97" spans="1:12" customHeight="1" ht="105" outlineLevel="4">
      <c r="A97" s="1"/>
      <c r="B97" s="1">
        <v>819983</v>
      </c>
      <c r="C97" s="1" t="s">
        <v>370</v>
      </c>
      <c r="D97" s="1" t="s">
        <v>371</v>
      </c>
      <c r="E97" s="2" t="s">
        <v>372</v>
      </c>
      <c r="F97" s="2" t="s">
        <v>373</v>
      </c>
      <c r="G97" s="2">
        <v>0</v>
      </c>
      <c r="H97" s="2">
        <v>0</v>
      </c>
      <c r="I97" s="1">
        <v>0</v>
      </c>
      <c r="J97" s="3" t="s">
        <v>111</v>
      </c>
      <c r="K97" s="2" t="str">
        <f>J97*171.00</f>
        <v>0</v>
      </c>
      <c r="L97" s="5"/>
    </row>
    <row r="98" spans="1:12" customHeight="1" ht="105" outlineLevel="4">
      <c r="A98" s="1"/>
      <c r="B98" s="1">
        <v>819984</v>
      </c>
      <c r="C98" s="1" t="s">
        <v>374</v>
      </c>
      <c r="D98" s="1" t="s">
        <v>375</v>
      </c>
      <c r="E98" s="2" t="s">
        <v>376</v>
      </c>
      <c r="F98" s="2" t="s">
        <v>263</v>
      </c>
      <c r="G98" s="2" t="s">
        <v>61</v>
      </c>
      <c r="H98" s="2">
        <v>0</v>
      </c>
      <c r="I98" s="1">
        <v>0</v>
      </c>
      <c r="J98" s="3" t="s">
        <v>111</v>
      </c>
      <c r="K98" s="2" t="str">
        <f>J98*431.00</f>
        <v>0</v>
      </c>
      <c r="L98" s="5"/>
    </row>
    <row r="99" spans="1:12" customHeight="1" ht="105" outlineLevel="4">
      <c r="A99" s="1"/>
      <c r="B99" s="1">
        <v>819985</v>
      </c>
      <c r="C99" s="1" t="s">
        <v>377</v>
      </c>
      <c r="D99" s="1" t="s">
        <v>378</v>
      </c>
      <c r="E99" s="2" t="s">
        <v>379</v>
      </c>
      <c r="F99" s="2" t="s">
        <v>380</v>
      </c>
      <c r="G99" s="2">
        <v>8</v>
      </c>
      <c r="H99" s="2" t="s">
        <v>47</v>
      </c>
      <c r="I99" s="1">
        <v>0</v>
      </c>
      <c r="J99" s="3" t="s">
        <v>111</v>
      </c>
      <c r="K99" s="2" t="str">
        <f>J99*588.00</f>
        <v>0</v>
      </c>
      <c r="L99" s="5"/>
    </row>
    <row r="100" spans="1:12" customHeight="1" ht="105" outlineLevel="4">
      <c r="A100" s="1"/>
      <c r="B100" s="1">
        <v>819986</v>
      </c>
      <c r="C100" s="1" t="s">
        <v>381</v>
      </c>
      <c r="D100" s="1" t="s">
        <v>382</v>
      </c>
      <c r="E100" s="2" t="s">
        <v>383</v>
      </c>
      <c r="F100" s="2" t="s">
        <v>384</v>
      </c>
      <c r="G100" s="2" t="s">
        <v>61</v>
      </c>
      <c r="H100" s="2" t="s">
        <v>62</v>
      </c>
      <c r="I100" s="1">
        <v>0</v>
      </c>
      <c r="J100" s="3" t="s">
        <v>111</v>
      </c>
      <c r="K100" s="2" t="str">
        <f>J100*542.00</f>
        <v>0</v>
      </c>
      <c r="L100" s="5"/>
    </row>
    <row r="101" spans="1:12" customHeight="1" ht="105" outlineLevel="4">
      <c r="A101" s="1"/>
      <c r="B101" s="1">
        <v>819987</v>
      </c>
      <c r="C101" s="1" t="s">
        <v>385</v>
      </c>
      <c r="D101" s="1" t="s">
        <v>386</v>
      </c>
      <c r="E101" s="2" t="s">
        <v>387</v>
      </c>
      <c r="F101" s="2" t="s">
        <v>388</v>
      </c>
      <c r="G101" s="2">
        <v>9</v>
      </c>
      <c r="H101" s="2" t="s">
        <v>47</v>
      </c>
      <c r="I101" s="1">
        <v>0</v>
      </c>
      <c r="J101" s="3" t="s">
        <v>111</v>
      </c>
      <c r="K101" s="2" t="str">
        <f>J101*615.00</f>
        <v>0</v>
      </c>
      <c r="L101" s="5"/>
    </row>
    <row r="102" spans="1:12" customHeight="1" ht="105" outlineLevel="4">
      <c r="A102" s="1"/>
      <c r="B102" s="1">
        <v>819988</v>
      </c>
      <c r="C102" s="1" t="s">
        <v>389</v>
      </c>
      <c r="D102" s="1" t="s">
        <v>390</v>
      </c>
      <c r="E102" s="2" t="s">
        <v>391</v>
      </c>
      <c r="F102" s="2" t="s">
        <v>392</v>
      </c>
      <c r="G102" s="2" t="s">
        <v>61</v>
      </c>
      <c r="H102" s="2" t="s">
        <v>47</v>
      </c>
      <c r="I102" s="1">
        <v>0</v>
      </c>
      <c r="J102" s="3" t="s">
        <v>111</v>
      </c>
      <c r="K102" s="2" t="str">
        <f>J102*558.00</f>
        <v>0</v>
      </c>
      <c r="L102" s="5"/>
    </row>
    <row r="103" spans="1:12" customHeight="1" ht="105" outlineLevel="4">
      <c r="A103" s="1"/>
      <c r="B103" s="1">
        <v>819989</v>
      </c>
      <c r="C103" s="1" t="s">
        <v>393</v>
      </c>
      <c r="D103" s="1" t="s">
        <v>394</v>
      </c>
      <c r="E103" s="2" t="s">
        <v>395</v>
      </c>
      <c r="F103" s="2" t="s">
        <v>396</v>
      </c>
      <c r="G103" s="2" t="s">
        <v>61</v>
      </c>
      <c r="H103" s="2" t="s">
        <v>47</v>
      </c>
      <c r="I103" s="1">
        <v>0</v>
      </c>
      <c r="J103" s="3" t="s">
        <v>111</v>
      </c>
      <c r="K103" s="2" t="str">
        <f>J103*639.00</f>
        <v>0</v>
      </c>
      <c r="L103" s="5"/>
    </row>
    <row r="104" spans="1:12" customHeight="1" ht="105" outlineLevel="4">
      <c r="A104" s="1"/>
      <c r="B104" s="1">
        <v>819990</v>
      </c>
      <c r="C104" s="1" t="s">
        <v>397</v>
      </c>
      <c r="D104" s="1" t="s">
        <v>398</v>
      </c>
      <c r="E104" s="2" t="s">
        <v>399</v>
      </c>
      <c r="F104" s="2" t="s">
        <v>400</v>
      </c>
      <c r="G104" s="2">
        <v>7</v>
      </c>
      <c r="H104" s="2" t="s">
        <v>17</v>
      </c>
      <c r="I104" s="1">
        <v>0</v>
      </c>
      <c r="J104" s="3" t="s">
        <v>111</v>
      </c>
      <c r="K104" s="2" t="str">
        <f>J104*724.00</f>
        <v>0</v>
      </c>
      <c r="L104" s="5"/>
    </row>
    <row r="105" spans="1:12" customHeight="1" ht="105" outlineLevel="4">
      <c r="A105" s="1"/>
      <c r="B105" s="1">
        <v>819991</v>
      </c>
      <c r="C105" s="1" t="s">
        <v>401</v>
      </c>
      <c r="D105" s="1" t="s">
        <v>402</v>
      </c>
      <c r="E105" s="2" t="s">
        <v>403</v>
      </c>
      <c r="F105" s="2" t="s">
        <v>404</v>
      </c>
      <c r="G105" s="2">
        <v>3</v>
      </c>
      <c r="H105" s="2" t="s">
        <v>47</v>
      </c>
      <c r="I105" s="1">
        <v>0</v>
      </c>
      <c r="J105" s="3" t="s">
        <v>111</v>
      </c>
      <c r="K105" s="2" t="str">
        <f>J105*875.00</f>
        <v>0</v>
      </c>
      <c r="L105" s="5"/>
    </row>
    <row r="106" spans="1:12" customHeight="1" ht="105" outlineLevel="4">
      <c r="A106" s="1"/>
      <c r="B106" s="1">
        <v>819992</v>
      </c>
      <c r="C106" s="1" t="s">
        <v>405</v>
      </c>
      <c r="D106" s="1" t="s">
        <v>406</v>
      </c>
      <c r="E106" s="2" t="s">
        <v>407</v>
      </c>
      <c r="F106" s="2" t="s">
        <v>408</v>
      </c>
      <c r="G106" s="2">
        <v>0</v>
      </c>
      <c r="H106" s="2" t="s">
        <v>17</v>
      </c>
      <c r="I106" s="1">
        <v>0</v>
      </c>
      <c r="J106" s="3" t="s">
        <v>111</v>
      </c>
      <c r="K106" s="2" t="str">
        <f>J106*956.00</f>
        <v>0</v>
      </c>
      <c r="L106" s="5"/>
    </row>
    <row r="107" spans="1:12" customHeight="1" ht="105" outlineLevel="4">
      <c r="A107" s="1"/>
      <c r="B107" s="1">
        <v>819993</v>
      </c>
      <c r="C107" s="1" t="s">
        <v>409</v>
      </c>
      <c r="D107" s="1" t="s">
        <v>410</v>
      </c>
      <c r="E107" s="2" t="s">
        <v>411</v>
      </c>
      <c r="F107" s="2" t="s">
        <v>412</v>
      </c>
      <c r="G107" s="2">
        <v>0</v>
      </c>
      <c r="H107" s="2" t="s">
        <v>47</v>
      </c>
      <c r="I107" s="1">
        <v>0</v>
      </c>
      <c r="J107" s="3" t="s">
        <v>111</v>
      </c>
      <c r="K107" s="2" t="str">
        <f>J107*1094.00</f>
        <v>0</v>
      </c>
      <c r="L107" s="5"/>
    </row>
    <row r="108" spans="1:12" customHeight="1" ht="105" outlineLevel="4">
      <c r="A108" s="1"/>
      <c r="B108" s="1">
        <v>819994</v>
      </c>
      <c r="C108" s="1" t="s">
        <v>413</v>
      </c>
      <c r="D108" s="1" t="s">
        <v>414</v>
      </c>
      <c r="E108" s="2" t="s">
        <v>415</v>
      </c>
      <c r="F108" s="2" t="s">
        <v>416</v>
      </c>
      <c r="G108" s="2">
        <v>0</v>
      </c>
      <c r="H108" s="2" t="s">
        <v>47</v>
      </c>
      <c r="I108" s="1">
        <v>0</v>
      </c>
      <c r="J108" s="3" t="s">
        <v>111</v>
      </c>
      <c r="K108" s="2" t="str">
        <f>J108*1779.00</f>
        <v>0</v>
      </c>
      <c r="L108" s="5"/>
    </row>
    <row r="109" spans="1:12" customHeight="1" ht="105" outlineLevel="4">
      <c r="A109" s="1"/>
      <c r="B109" s="1">
        <v>819995</v>
      </c>
      <c r="C109" s="1" t="s">
        <v>417</v>
      </c>
      <c r="D109" s="1" t="s">
        <v>418</v>
      </c>
      <c r="E109" s="2" t="s">
        <v>419</v>
      </c>
      <c r="F109" s="2" t="s">
        <v>420</v>
      </c>
      <c r="G109" s="2">
        <v>0</v>
      </c>
      <c r="H109" s="2" t="s">
        <v>47</v>
      </c>
      <c r="I109" s="1">
        <v>0</v>
      </c>
      <c r="J109" s="3" t="s">
        <v>111</v>
      </c>
      <c r="K109" s="2" t="str">
        <f>J109*2297.00</f>
        <v>0</v>
      </c>
      <c r="L109" s="5"/>
    </row>
    <row r="110" spans="1:12" customHeight="1" ht="105" outlineLevel="4">
      <c r="A110" s="1"/>
      <c r="B110" s="1">
        <v>819996</v>
      </c>
      <c r="C110" s="1" t="s">
        <v>421</v>
      </c>
      <c r="D110" s="1" t="s">
        <v>422</v>
      </c>
      <c r="E110" s="2" t="s">
        <v>423</v>
      </c>
      <c r="F110" s="2" t="s">
        <v>184</v>
      </c>
      <c r="G110" s="2" t="s">
        <v>61</v>
      </c>
      <c r="H110" s="2" t="s">
        <v>47</v>
      </c>
      <c r="I110" s="1">
        <v>0</v>
      </c>
      <c r="J110" s="3" t="s">
        <v>111</v>
      </c>
      <c r="K110" s="2" t="str">
        <f>J110*339.00</f>
        <v>0</v>
      </c>
      <c r="L110" s="5"/>
    </row>
    <row r="111" spans="1:12" customHeight="1" ht="105" outlineLevel="4">
      <c r="A111" s="1"/>
      <c r="B111" s="1">
        <v>819997</v>
      </c>
      <c r="C111" s="1" t="s">
        <v>424</v>
      </c>
      <c r="D111" s="1" t="s">
        <v>425</v>
      </c>
      <c r="E111" s="2" t="s">
        <v>426</v>
      </c>
      <c r="F111" s="2" t="s">
        <v>427</v>
      </c>
      <c r="G111" s="2">
        <v>0</v>
      </c>
      <c r="H111" s="2" t="s">
        <v>47</v>
      </c>
      <c r="I111" s="1">
        <v>0</v>
      </c>
      <c r="J111" s="3" t="s">
        <v>111</v>
      </c>
      <c r="K111" s="2" t="str">
        <f>J111*337.00</f>
        <v>0</v>
      </c>
      <c r="L111" s="5"/>
    </row>
    <row r="112" spans="1:12" customHeight="1" ht="105" outlineLevel="4">
      <c r="A112" s="1"/>
      <c r="B112" s="1">
        <v>819998</v>
      </c>
      <c r="C112" s="1" t="s">
        <v>428</v>
      </c>
      <c r="D112" s="1" t="s">
        <v>429</v>
      </c>
      <c r="E112" s="2" t="s">
        <v>430</v>
      </c>
      <c r="F112" s="2" t="s">
        <v>188</v>
      </c>
      <c r="G112" s="2" t="s">
        <v>124</v>
      </c>
      <c r="H112" s="2" t="s">
        <v>47</v>
      </c>
      <c r="I112" s="1">
        <v>0</v>
      </c>
      <c r="J112" s="3" t="s">
        <v>111</v>
      </c>
      <c r="K112" s="2" t="str">
        <f>J112*513.00</f>
        <v>0</v>
      </c>
      <c r="L112" s="5"/>
    </row>
    <row r="113" spans="1:12" customHeight="1" ht="105" outlineLevel="4">
      <c r="A113" s="1"/>
      <c r="B113" s="1">
        <v>819999</v>
      </c>
      <c r="C113" s="1" t="s">
        <v>431</v>
      </c>
      <c r="D113" s="1" t="s">
        <v>432</v>
      </c>
      <c r="E113" s="2" t="s">
        <v>433</v>
      </c>
      <c r="F113" s="2" t="s">
        <v>434</v>
      </c>
      <c r="G113" s="2" t="s">
        <v>61</v>
      </c>
      <c r="H113" s="2" t="s">
        <v>62</v>
      </c>
      <c r="I113" s="1">
        <v>0</v>
      </c>
      <c r="J113" s="3" t="s">
        <v>111</v>
      </c>
      <c r="K113" s="2" t="str">
        <f>J113*451.00</f>
        <v>0</v>
      </c>
      <c r="L113" s="5"/>
    </row>
    <row r="114" spans="1:12" customHeight="1" ht="105" outlineLevel="4">
      <c r="A114" s="1"/>
      <c r="B114" s="1">
        <v>820000</v>
      </c>
      <c r="C114" s="1" t="s">
        <v>435</v>
      </c>
      <c r="D114" s="1" t="s">
        <v>436</v>
      </c>
      <c r="E114" s="2" t="s">
        <v>437</v>
      </c>
      <c r="F114" s="2" t="s">
        <v>438</v>
      </c>
      <c r="G114" s="2" t="s">
        <v>124</v>
      </c>
      <c r="H114" s="2" t="s">
        <v>67</v>
      </c>
      <c r="I114" s="1">
        <v>0</v>
      </c>
      <c r="J114" s="3" t="s">
        <v>111</v>
      </c>
      <c r="K114" s="2" t="str">
        <f>J114*521.00</f>
        <v>0</v>
      </c>
      <c r="L114" s="5"/>
    </row>
    <row r="115" spans="1:12" customHeight="1" ht="105" outlineLevel="4">
      <c r="A115" s="1"/>
      <c r="B115" s="1">
        <v>820001</v>
      </c>
      <c r="C115" s="1" t="s">
        <v>439</v>
      </c>
      <c r="D115" s="1" t="s">
        <v>440</v>
      </c>
      <c r="E115" s="2" t="s">
        <v>441</v>
      </c>
      <c r="F115" s="2" t="s">
        <v>442</v>
      </c>
      <c r="G115" s="2" t="s">
        <v>61</v>
      </c>
      <c r="H115" s="2" t="s">
        <v>62</v>
      </c>
      <c r="I115" s="1">
        <v>0</v>
      </c>
      <c r="J115" s="3" t="s">
        <v>111</v>
      </c>
      <c r="K115" s="2" t="str">
        <f>J115*476.00</f>
        <v>0</v>
      </c>
      <c r="L115" s="5"/>
    </row>
    <row r="116" spans="1:12" customHeight="1" ht="105" outlineLevel="4">
      <c r="A116" s="1"/>
      <c r="B116" s="1">
        <v>820002</v>
      </c>
      <c r="C116" s="1" t="s">
        <v>443</v>
      </c>
      <c r="D116" s="1" t="s">
        <v>444</v>
      </c>
      <c r="E116" s="2" t="s">
        <v>445</v>
      </c>
      <c r="F116" s="2" t="s">
        <v>446</v>
      </c>
      <c r="G116" s="2" t="s">
        <v>47</v>
      </c>
      <c r="H116" s="2" t="s">
        <v>62</v>
      </c>
      <c r="I116" s="1">
        <v>0</v>
      </c>
      <c r="J116" s="3" t="s">
        <v>111</v>
      </c>
      <c r="K116" s="2" t="str">
        <f>J116*602.00</f>
        <v>0</v>
      </c>
      <c r="L116" s="5"/>
    </row>
    <row r="117" spans="1:12" customHeight="1" ht="105" outlineLevel="4">
      <c r="A117" s="1"/>
      <c r="B117" s="1">
        <v>820003</v>
      </c>
      <c r="C117" s="1" t="s">
        <v>447</v>
      </c>
      <c r="D117" s="1" t="s">
        <v>448</v>
      </c>
      <c r="E117" s="2" t="s">
        <v>449</v>
      </c>
      <c r="F117" s="2" t="s">
        <v>450</v>
      </c>
      <c r="G117" s="2" t="s">
        <v>124</v>
      </c>
      <c r="H117" s="2" t="s">
        <v>62</v>
      </c>
      <c r="I117" s="1">
        <v>0</v>
      </c>
      <c r="J117" s="3" t="s">
        <v>111</v>
      </c>
      <c r="K117" s="2" t="str">
        <f>J117*693.00</f>
        <v>0</v>
      </c>
      <c r="L117" s="5"/>
    </row>
    <row r="118" spans="1:12" customHeight="1" ht="105" outlineLevel="4">
      <c r="A118" s="1"/>
      <c r="B118" s="1">
        <v>820004</v>
      </c>
      <c r="C118" s="1" t="s">
        <v>451</v>
      </c>
      <c r="D118" s="1" t="s">
        <v>452</v>
      </c>
      <c r="E118" s="2" t="s">
        <v>453</v>
      </c>
      <c r="F118" s="2" t="s">
        <v>454</v>
      </c>
      <c r="G118" s="2">
        <v>8</v>
      </c>
      <c r="H118" s="2" t="s">
        <v>47</v>
      </c>
      <c r="I118" s="1">
        <v>0</v>
      </c>
      <c r="J118" s="3" t="s">
        <v>111</v>
      </c>
      <c r="K118" s="2" t="str">
        <f>J118*619.00</f>
        <v>0</v>
      </c>
      <c r="L118" s="5"/>
    </row>
    <row r="119" spans="1:12" customHeight="1" ht="105" outlineLevel="4">
      <c r="A119" s="1"/>
      <c r="B119" s="1">
        <v>820005</v>
      </c>
      <c r="C119" s="1" t="s">
        <v>455</v>
      </c>
      <c r="D119" s="1" t="s">
        <v>456</v>
      </c>
      <c r="E119" s="2" t="s">
        <v>457</v>
      </c>
      <c r="F119" s="2" t="s">
        <v>458</v>
      </c>
      <c r="G119" s="2" t="s">
        <v>61</v>
      </c>
      <c r="H119" s="2" t="s">
        <v>62</v>
      </c>
      <c r="I119" s="1">
        <v>0</v>
      </c>
      <c r="J119" s="3" t="s">
        <v>111</v>
      </c>
      <c r="K119" s="2" t="str">
        <f>J119*604.00</f>
        <v>0</v>
      </c>
      <c r="L119" s="5"/>
    </row>
    <row r="120" spans="1:12" customHeight="1" ht="105" outlineLevel="4">
      <c r="A120" s="1"/>
      <c r="B120" s="1">
        <v>820006</v>
      </c>
      <c r="C120" s="1" t="s">
        <v>459</v>
      </c>
      <c r="D120" s="1" t="s">
        <v>460</v>
      </c>
      <c r="E120" s="2" t="s">
        <v>461</v>
      </c>
      <c r="F120" s="2" t="s">
        <v>361</v>
      </c>
      <c r="G120" s="2">
        <v>0</v>
      </c>
      <c r="H120" s="2" t="s">
        <v>47</v>
      </c>
      <c r="I120" s="1">
        <v>0</v>
      </c>
      <c r="J120" s="3" t="s">
        <v>111</v>
      </c>
      <c r="K120" s="2" t="str">
        <f>J120*902.00</f>
        <v>0</v>
      </c>
      <c r="L120" s="5"/>
    </row>
    <row r="121" spans="1:12" customHeight="1" ht="105" outlineLevel="4">
      <c r="A121" s="1"/>
      <c r="B121" s="1">
        <v>820007</v>
      </c>
      <c r="C121" s="1" t="s">
        <v>462</v>
      </c>
      <c r="D121" s="1" t="s">
        <v>463</v>
      </c>
      <c r="E121" s="2" t="s">
        <v>464</v>
      </c>
      <c r="F121" s="2" t="s">
        <v>465</v>
      </c>
      <c r="G121" s="2">
        <v>0</v>
      </c>
      <c r="H121" s="2" t="s">
        <v>17</v>
      </c>
      <c r="I121" s="1">
        <v>0</v>
      </c>
      <c r="J121" s="3" t="s">
        <v>111</v>
      </c>
      <c r="K121" s="2" t="str">
        <f>J121*743.00</f>
        <v>0</v>
      </c>
      <c r="L121" s="5"/>
    </row>
    <row r="122" spans="1:12" customHeight="1" ht="105" outlineLevel="4">
      <c r="A122" s="1"/>
      <c r="B122" s="1">
        <v>820008</v>
      </c>
      <c r="C122" s="1" t="s">
        <v>466</v>
      </c>
      <c r="D122" s="1" t="s">
        <v>467</v>
      </c>
      <c r="E122" s="2" t="s">
        <v>468</v>
      </c>
      <c r="F122" s="2" t="s">
        <v>469</v>
      </c>
      <c r="G122" s="2">
        <v>-18</v>
      </c>
      <c r="H122" s="2" t="s">
        <v>47</v>
      </c>
      <c r="I122" s="1">
        <v>0</v>
      </c>
      <c r="J122" s="3" t="s">
        <v>111</v>
      </c>
      <c r="K122" s="2" t="str">
        <f>J122*798.00</f>
        <v>0</v>
      </c>
      <c r="L122" s="5"/>
    </row>
    <row r="123" spans="1:12" customHeight="1" ht="105" outlineLevel="4">
      <c r="A123" s="1"/>
      <c r="B123" s="1">
        <v>820009</v>
      </c>
      <c r="C123" s="1" t="s">
        <v>470</v>
      </c>
      <c r="D123" s="1" t="s">
        <v>471</v>
      </c>
      <c r="E123" s="2" t="s">
        <v>472</v>
      </c>
      <c r="F123" s="2" t="s">
        <v>473</v>
      </c>
      <c r="G123" s="2">
        <v>0</v>
      </c>
      <c r="H123" s="2" t="s">
        <v>47</v>
      </c>
      <c r="I123" s="1">
        <v>0</v>
      </c>
      <c r="J123" s="3" t="s">
        <v>111</v>
      </c>
      <c r="K123" s="2" t="str">
        <f>J123*840.00</f>
        <v>0</v>
      </c>
      <c r="L123" s="5"/>
    </row>
    <row r="124" spans="1:12" customHeight="1" ht="105" outlineLevel="4">
      <c r="A124" s="1"/>
      <c r="B124" s="1">
        <v>820010</v>
      </c>
      <c r="C124" s="1" t="s">
        <v>474</v>
      </c>
      <c r="D124" s="1" t="s">
        <v>475</v>
      </c>
      <c r="E124" s="2" t="s">
        <v>476</v>
      </c>
      <c r="F124" s="2" t="s">
        <v>477</v>
      </c>
      <c r="G124" s="2">
        <v>0</v>
      </c>
      <c r="H124" s="2" t="s">
        <v>47</v>
      </c>
      <c r="I124" s="1">
        <v>0</v>
      </c>
      <c r="J124" s="3" t="s">
        <v>111</v>
      </c>
      <c r="K124" s="2" t="str">
        <f>J124*1176.00</f>
        <v>0</v>
      </c>
      <c r="L124" s="5"/>
    </row>
    <row r="125" spans="1:12" customHeight="1" ht="105" outlineLevel="4">
      <c r="A125" s="1"/>
      <c r="B125" s="1">
        <v>820011</v>
      </c>
      <c r="C125" s="1" t="s">
        <v>478</v>
      </c>
      <c r="D125" s="1" t="s">
        <v>479</v>
      </c>
      <c r="E125" s="2" t="s">
        <v>480</v>
      </c>
      <c r="F125" s="2" t="s">
        <v>481</v>
      </c>
      <c r="G125" s="2">
        <v>3</v>
      </c>
      <c r="H125" s="2" t="s">
        <v>47</v>
      </c>
      <c r="I125" s="1">
        <v>0</v>
      </c>
      <c r="J125" s="3" t="s">
        <v>111</v>
      </c>
      <c r="K125" s="2" t="str">
        <f>J125*1110.00</f>
        <v>0</v>
      </c>
      <c r="L125" s="5"/>
    </row>
    <row r="126" spans="1:12" customHeight="1" ht="105" outlineLevel="4">
      <c r="A126" s="1"/>
      <c r="B126" s="1">
        <v>820012</v>
      </c>
      <c r="C126" s="1" t="s">
        <v>482</v>
      </c>
      <c r="D126" s="1" t="s">
        <v>483</v>
      </c>
      <c r="E126" s="2" t="s">
        <v>484</v>
      </c>
      <c r="F126" s="2" t="s">
        <v>485</v>
      </c>
      <c r="G126" s="2">
        <v>0</v>
      </c>
      <c r="H126" s="2" t="s">
        <v>124</v>
      </c>
      <c r="I126" s="1">
        <v>0</v>
      </c>
      <c r="J126" s="3" t="s">
        <v>111</v>
      </c>
      <c r="K126" s="2" t="str">
        <f>J126*1640.00</f>
        <v>0</v>
      </c>
      <c r="L126" s="5"/>
    </row>
    <row r="127" spans="1:12" customHeight="1" ht="105" outlineLevel="4">
      <c r="A127" s="1"/>
      <c r="B127" s="1">
        <v>820013</v>
      </c>
      <c r="C127" s="1" t="s">
        <v>486</v>
      </c>
      <c r="D127" s="1" t="s">
        <v>487</v>
      </c>
      <c r="E127" s="2" t="s">
        <v>488</v>
      </c>
      <c r="F127" s="2" t="s">
        <v>489</v>
      </c>
      <c r="G127" s="2">
        <v>0</v>
      </c>
      <c r="H127" s="2" t="s">
        <v>47</v>
      </c>
      <c r="I127" s="1">
        <v>0</v>
      </c>
      <c r="J127" s="3" t="s">
        <v>111</v>
      </c>
      <c r="K127" s="2" t="str">
        <f>J127*1395.00</f>
        <v>0</v>
      </c>
      <c r="L127" s="5"/>
    </row>
    <row r="128" spans="1:12" customHeight="1" ht="105" outlineLevel="4">
      <c r="A128" s="1"/>
      <c r="B128" s="1">
        <v>820014</v>
      </c>
      <c r="C128" s="1" t="s">
        <v>490</v>
      </c>
      <c r="D128" s="1" t="s">
        <v>491</v>
      </c>
      <c r="E128" s="2" t="s">
        <v>492</v>
      </c>
      <c r="F128" s="2" t="s">
        <v>493</v>
      </c>
      <c r="G128" s="2" t="s">
        <v>61</v>
      </c>
      <c r="H128" s="2" t="s">
        <v>47</v>
      </c>
      <c r="I128" s="1">
        <v>0</v>
      </c>
      <c r="J128" s="3" t="s">
        <v>111</v>
      </c>
      <c r="K128" s="2" t="str">
        <f>J128*509.00</f>
        <v>0</v>
      </c>
      <c r="L128" s="5"/>
    </row>
    <row r="129" spans="1:12" customHeight="1" ht="105" outlineLevel="4">
      <c r="A129" s="1"/>
      <c r="B129" s="1">
        <v>820015</v>
      </c>
      <c r="C129" s="1" t="s">
        <v>494</v>
      </c>
      <c r="D129" s="1" t="s">
        <v>495</v>
      </c>
      <c r="E129" s="2" t="s">
        <v>496</v>
      </c>
      <c r="F129" s="2" t="s">
        <v>144</v>
      </c>
      <c r="G129" s="2">
        <v>10</v>
      </c>
      <c r="H129" s="2" t="s">
        <v>47</v>
      </c>
      <c r="I129" s="1">
        <v>0</v>
      </c>
      <c r="J129" s="3" t="s">
        <v>111</v>
      </c>
      <c r="K129" s="2" t="str">
        <f>J129*645.00</f>
        <v>0</v>
      </c>
      <c r="L129" s="5"/>
    </row>
    <row r="130" spans="1:12" customHeight="1" ht="105" outlineLevel="4">
      <c r="A130" s="1"/>
      <c r="B130" s="1">
        <v>820016</v>
      </c>
      <c r="C130" s="1" t="s">
        <v>497</v>
      </c>
      <c r="D130" s="1" t="s">
        <v>498</v>
      </c>
      <c r="E130" s="2" t="s">
        <v>499</v>
      </c>
      <c r="F130" s="2" t="s">
        <v>500</v>
      </c>
      <c r="G130" s="2">
        <v>10</v>
      </c>
      <c r="H130" s="2" t="s">
        <v>47</v>
      </c>
      <c r="I130" s="1">
        <v>0</v>
      </c>
      <c r="J130" s="3" t="s">
        <v>111</v>
      </c>
      <c r="K130" s="2" t="str">
        <f>J130*826.00</f>
        <v>0</v>
      </c>
      <c r="L130" s="5"/>
    </row>
    <row r="131" spans="1:12" customHeight="1" ht="105" outlineLevel="4">
      <c r="A131" s="1"/>
      <c r="B131" s="1">
        <v>820017</v>
      </c>
      <c r="C131" s="1" t="s">
        <v>501</v>
      </c>
      <c r="D131" s="1" t="s">
        <v>502</v>
      </c>
      <c r="E131" s="2" t="s">
        <v>503</v>
      </c>
      <c r="F131" s="2" t="s">
        <v>504</v>
      </c>
      <c r="G131" s="2" t="s">
        <v>61</v>
      </c>
      <c r="H131" s="2" t="s">
        <v>47</v>
      </c>
      <c r="I131" s="1">
        <v>0</v>
      </c>
      <c r="J131" s="3" t="s">
        <v>111</v>
      </c>
      <c r="K131" s="2" t="str">
        <f>J131*671.00</f>
        <v>0</v>
      </c>
      <c r="L131" s="5"/>
    </row>
    <row r="132" spans="1:12" customHeight="1" ht="105" outlineLevel="4">
      <c r="A132" s="1"/>
      <c r="B132" s="1">
        <v>820018</v>
      </c>
      <c r="C132" s="1" t="s">
        <v>505</v>
      </c>
      <c r="D132" s="1" t="s">
        <v>506</v>
      </c>
      <c r="E132" s="2" t="s">
        <v>507</v>
      </c>
      <c r="F132" s="2" t="s">
        <v>508</v>
      </c>
      <c r="G132" s="2">
        <v>7</v>
      </c>
      <c r="H132" s="2" t="s">
        <v>124</v>
      </c>
      <c r="I132" s="1">
        <v>0</v>
      </c>
      <c r="J132" s="3" t="s">
        <v>111</v>
      </c>
      <c r="K132" s="2" t="str">
        <f>J132*785.00</f>
        <v>0</v>
      </c>
      <c r="L132" s="5"/>
    </row>
    <row r="133" spans="1:12" customHeight="1" ht="105" outlineLevel="4">
      <c r="A133" s="1"/>
      <c r="B133" s="1">
        <v>820019</v>
      </c>
      <c r="C133" s="1" t="s">
        <v>509</v>
      </c>
      <c r="D133" s="1" t="s">
        <v>510</v>
      </c>
      <c r="E133" s="2" t="s">
        <v>511</v>
      </c>
      <c r="F133" s="2" t="s">
        <v>512</v>
      </c>
      <c r="G133" s="2" t="s">
        <v>61</v>
      </c>
      <c r="H133" s="2" t="s">
        <v>47</v>
      </c>
      <c r="I133" s="1">
        <v>0</v>
      </c>
      <c r="J133" s="3" t="s">
        <v>111</v>
      </c>
      <c r="K133" s="2" t="str">
        <f>J133*760.00</f>
        <v>0</v>
      </c>
      <c r="L133" s="5"/>
    </row>
    <row r="134" spans="1:12" customHeight="1" ht="105" outlineLevel="4">
      <c r="A134" s="1"/>
      <c r="B134" s="1">
        <v>820020</v>
      </c>
      <c r="C134" s="1" t="s">
        <v>513</v>
      </c>
      <c r="D134" s="1" t="s">
        <v>514</v>
      </c>
      <c r="E134" s="2" t="s">
        <v>515</v>
      </c>
      <c r="F134" s="2" t="s">
        <v>516</v>
      </c>
      <c r="G134" s="2">
        <v>5</v>
      </c>
      <c r="H134" s="2" t="s">
        <v>61</v>
      </c>
      <c r="I134" s="1">
        <v>0</v>
      </c>
      <c r="J134" s="3" t="s">
        <v>111</v>
      </c>
      <c r="K134" s="2" t="str">
        <f>J134*878.00</f>
        <v>0</v>
      </c>
      <c r="L134" s="5"/>
    </row>
    <row r="135" spans="1:12" customHeight="1" ht="105" outlineLevel="4">
      <c r="A135" s="1"/>
      <c r="B135" s="1">
        <v>820021</v>
      </c>
      <c r="C135" s="1" t="s">
        <v>517</v>
      </c>
      <c r="D135" s="1" t="s">
        <v>518</v>
      </c>
      <c r="E135" s="2" t="s">
        <v>519</v>
      </c>
      <c r="F135" s="2" t="s">
        <v>520</v>
      </c>
      <c r="G135" s="2">
        <v>5</v>
      </c>
      <c r="H135" s="2" t="s">
        <v>47</v>
      </c>
      <c r="I135" s="1">
        <v>0</v>
      </c>
      <c r="J135" s="3" t="s">
        <v>111</v>
      </c>
      <c r="K135" s="2" t="str">
        <f>J135*1097.00</f>
        <v>0</v>
      </c>
      <c r="L135" s="5"/>
    </row>
    <row r="136" spans="1:12" customHeight="1" ht="105" outlineLevel="4">
      <c r="A136" s="1"/>
      <c r="B136" s="1">
        <v>820022</v>
      </c>
      <c r="C136" s="1" t="s">
        <v>521</v>
      </c>
      <c r="D136" s="1" t="s">
        <v>522</v>
      </c>
      <c r="E136" s="2" t="s">
        <v>523</v>
      </c>
      <c r="F136" s="2" t="s">
        <v>524</v>
      </c>
      <c r="G136" s="2">
        <v>0</v>
      </c>
      <c r="H136" s="2" t="s">
        <v>47</v>
      </c>
      <c r="I136" s="1">
        <v>0</v>
      </c>
      <c r="J136" s="3" t="s">
        <v>111</v>
      </c>
      <c r="K136" s="2" t="str">
        <f>J136*1204.00</f>
        <v>0</v>
      </c>
      <c r="L136" s="5"/>
    </row>
    <row r="137" spans="1:12" customHeight="1" ht="105" outlineLevel="4">
      <c r="A137" s="1"/>
      <c r="B137" s="1">
        <v>820023</v>
      </c>
      <c r="C137" s="1" t="s">
        <v>525</v>
      </c>
      <c r="D137" s="1" t="s">
        <v>526</v>
      </c>
      <c r="E137" s="2" t="s">
        <v>527</v>
      </c>
      <c r="F137" s="2" t="s">
        <v>528</v>
      </c>
      <c r="G137" s="2">
        <v>0</v>
      </c>
      <c r="H137" s="2" t="s">
        <v>67</v>
      </c>
      <c r="I137" s="1">
        <v>0</v>
      </c>
      <c r="J137" s="3" t="s">
        <v>111</v>
      </c>
      <c r="K137" s="2" t="str">
        <f>J137*1515.00</f>
        <v>0</v>
      </c>
      <c r="L137" s="5"/>
    </row>
    <row r="138" spans="1:12" customHeight="1" ht="105" outlineLevel="4">
      <c r="A138" s="1"/>
      <c r="B138" s="1">
        <v>820024</v>
      </c>
      <c r="C138" s="1" t="s">
        <v>529</v>
      </c>
      <c r="D138" s="1" t="s">
        <v>530</v>
      </c>
      <c r="E138" s="2" t="s">
        <v>531</v>
      </c>
      <c r="F138" s="2" t="s">
        <v>532</v>
      </c>
      <c r="G138" s="2">
        <v>9</v>
      </c>
      <c r="H138" s="2" t="s">
        <v>17</v>
      </c>
      <c r="I138" s="1">
        <v>0</v>
      </c>
      <c r="J138" s="3" t="s">
        <v>111</v>
      </c>
      <c r="K138" s="2" t="str">
        <f>J138*524.00</f>
        <v>0</v>
      </c>
      <c r="L138" s="5"/>
    </row>
    <row r="139" spans="1:12" customHeight="1" ht="105" outlineLevel="4">
      <c r="A139" s="1"/>
      <c r="B139" s="1">
        <v>820025</v>
      </c>
      <c r="C139" s="1" t="s">
        <v>533</v>
      </c>
      <c r="D139" s="1" t="s">
        <v>534</v>
      </c>
      <c r="E139" s="2" t="s">
        <v>535</v>
      </c>
      <c r="F139" s="2" t="s">
        <v>536</v>
      </c>
      <c r="G139" s="2">
        <v>9</v>
      </c>
      <c r="H139" s="2" t="s">
        <v>47</v>
      </c>
      <c r="I139" s="1">
        <v>0</v>
      </c>
      <c r="J139" s="3" t="s">
        <v>111</v>
      </c>
      <c r="K139" s="2" t="str">
        <f>J139*648.00</f>
        <v>0</v>
      </c>
      <c r="L139" s="5"/>
    </row>
    <row r="140" spans="1:12" customHeight="1" ht="105" outlineLevel="4">
      <c r="A140" s="1"/>
      <c r="B140" s="1">
        <v>820026</v>
      </c>
      <c r="C140" s="1" t="s">
        <v>537</v>
      </c>
      <c r="D140" s="1" t="s">
        <v>538</v>
      </c>
      <c r="E140" s="2" t="s">
        <v>539</v>
      </c>
      <c r="F140" s="2" t="s">
        <v>540</v>
      </c>
      <c r="G140" s="2">
        <v>9</v>
      </c>
      <c r="H140" s="2" t="s">
        <v>47</v>
      </c>
      <c r="I140" s="1">
        <v>0</v>
      </c>
      <c r="J140" s="3" t="s">
        <v>111</v>
      </c>
      <c r="K140" s="2" t="str">
        <f>J140*765.00</f>
        <v>0</v>
      </c>
      <c r="L140" s="5"/>
    </row>
    <row r="141" spans="1:12" customHeight="1" ht="105" outlineLevel="4">
      <c r="A141" s="1"/>
      <c r="B141" s="1">
        <v>820027</v>
      </c>
      <c r="C141" s="1" t="s">
        <v>541</v>
      </c>
      <c r="D141" s="1" t="s">
        <v>542</v>
      </c>
      <c r="E141" s="2" t="s">
        <v>543</v>
      </c>
      <c r="F141" s="2" t="s">
        <v>544</v>
      </c>
      <c r="G141" s="2" t="s">
        <v>61</v>
      </c>
      <c r="H141" s="2">
        <v>0</v>
      </c>
      <c r="I141" s="1">
        <v>0</v>
      </c>
      <c r="J141" s="3" t="s">
        <v>111</v>
      </c>
      <c r="K141" s="2" t="str">
        <f>J141*722.00</f>
        <v>0</v>
      </c>
      <c r="L141" s="5"/>
    </row>
    <row r="142" spans="1:12" customHeight="1" ht="105" outlineLevel="4">
      <c r="A142" s="1"/>
      <c r="B142" s="1">
        <v>820028</v>
      </c>
      <c r="C142" s="1" t="s">
        <v>545</v>
      </c>
      <c r="D142" s="1" t="s">
        <v>546</v>
      </c>
      <c r="E142" s="2" t="s">
        <v>547</v>
      </c>
      <c r="F142" s="2" t="s">
        <v>548</v>
      </c>
      <c r="G142" s="2">
        <v>6</v>
      </c>
      <c r="H142" s="2" t="s">
        <v>61</v>
      </c>
      <c r="I142" s="1">
        <v>0</v>
      </c>
      <c r="J142" s="3" t="s">
        <v>111</v>
      </c>
      <c r="K142" s="2" t="str">
        <f>J142*701.00</f>
        <v>0</v>
      </c>
      <c r="L142" s="5"/>
    </row>
    <row r="143" spans="1:12" customHeight="1" ht="105" outlineLevel="4">
      <c r="A143" s="1"/>
      <c r="B143" s="1">
        <v>820029</v>
      </c>
      <c r="C143" s="1" t="s">
        <v>549</v>
      </c>
      <c r="D143" s="1" t="s">
        <v>550</v>
      </c>
      <c r="E143" s="2" t="s">
        <v>551</v>
      </c>
      <c r="F143" s="2" t="s">
        <v>552</v>
      </c>
      <c r="G143" s="2">
        <v>5</v>
      </c>
      <c r="H143" s="2" t="s">
        <v>47</v>
      </c>
      <c r="I143" s="1">
        <v>0</v>
      </c>
      <c r="J143" s="3" t="s">
        <v>111</v>
      </c>
      <c r="K143" s="2" t="str">
        <f>J143*770.00</f>
        <v>0</v>
      </c>
      <c r="L143" s="5"/>
    </row>
    <row r="144" spans="1:12" customHeight="1" ht="105" outlineLevel="4">
      <c r="A144" s="1"/>
      <c r="B144" s="1">
        <v>820030</v>
      </c>
      <c r="C144" s="1" t="s">
        <v>553</v>
      </c>
      <c r="D144" s="1" t="s">
        <v>554</v>
      </c>
      <c r="E144" s="2" t="s">
        <v>555</v>
      </c>
      <c r="F144" s="2" t="s">
        <v>556</v>
      </c>
      <c r="G144" s="2">
        <v>5</v>
      </c>
      <c r="H144" s="2" t="s">
        <v>17</v>
      </c>
      <c r="I144" s="1">
        <v>0</v>
      </c>
      <c r="J144" s="3" t="s">
        <v>111</v>
      </c>
      <c r="K144" s="2" t="str">
        <f>J144*845.00</f>
        <v>0</v>
      </c>
      <c r="L144" s="5"/>
    </row>
    <row r="145" spans="1:12" customHeight="1" ht="105" outlineLevel="4">
      <c r="A145" s="1"/>
      <c r="B145" s="1">
        <v>820031</v>
      </c>
      <c r="C145" s="1" t="s">
        <v>557</v>
      </c>
      <c r="D145" s="1" t="s">
        <v>558</v>
      </c>
      <c r="E145" s="2" t="s">
        <v>559</v>
      </c>
      <c r="F145" s="2" t="s">
        <v>306</v>
      </c>
      <c r="G145" s="2">
        <v>10</v>
      </c>
      <c r="H145" s="2">
        <v>10</v>
      </c>
      <c r="I145" s="1">
        <v>0</v>
      </c>
      <c r="J145" s="3" t="s">
        <v>111</v>
      </c>
      <c r="K145" s="2" t="str">
        <f>J145*1048.00</f>
        <v>0</v>
      </c>
      <c r="L145" s="5"/>
    </row>
    <row r="146" spans="1:12" customHeight="1" ht="105" outlineLevel="4">
      <c r="A146" s="1"/>
      <c r="B146" s="1">
        <v>820032</v>
      </c>
      <c r="C146" s="1" t="s">
        <v>560</v>
      </c>
      <c r="D146" s="1" t="s">
        <v>561</v>
      </c>
      <c r="E146" s="2" t="s">
        <v>562</v>
      </c>
      <c r="F146" s="2" t="s">
        <v>563</v>
      </c>
      <c r="G146" s="2">
        <v>0</v>
      </c>
      <c r="H146" s="2" t="s">
        <v>124</v>
      </c>
      <c r="I146" s="1">
        <v>0</v>
      </c>
      <c r="J146" s="3" t="s">
        <v>111</v>
      </c>
      <c r="K146" s="2" t="str">
        <f>J146*1174.00</f>
        <v>0</v>
      </c>
      <c r="L146" s="5"/>
    </row>
    <row r="147" spans="1:12" customHeight="1" ht="105" outlineLevel="4">
      <c r="A147" s="1"/>
      <c r="B147" s="1">
        <v>820033</v>
      </c>
      <c r="C147" s="1" t="s">
        <v>564</v>
      </c>
      <c r="D147" s="1" t="s">
        <v>565</v>
      </c>
      <c r="E147" s="2" t="s">
        <v>566</v>
      </c>
      <c r="F147" s="2" t="s">
        <v>567</v>
      </c>
      <c r="G147" s="2">
        <v>0</v>
      </c>
      <c r="H147" s="2" t="s">
        <v>62</v>
      </c>
      <c r="I147" s="1">
        <v>0</v>
      </c>
      <c r="J147" s="3" t="s">
        <v>111</v>
      </c>
      <c r="K147" s="2" t="str">
        <f>J147*1702.00</f>
        <v>0</v>
      </c>
      <c r="L147" s="5"/>
    </row>
    <row r="148" spans="1:12" customHeight="1" ht="105" outlineLevel="4">
      <c r="A148" s="1"/>
      <c r="B148" s="1">
        <v>820034</v>
      </c>
      <c r="C148" s="1" t="s">
        <v>568</v>
      </c>
      <c r="D148" s="1" t="s">
        <v>569</v>
      </c>
      <c r="E148" s="2" t="s">
        <v>570</v>
      </c>
      <c r="F148" s="2" t="s">
        <v>571</v>
      </c>
      <c r="G148" s="2" t="s">
        <v>61</v>
      </c>
      <c r="H148" s="2" t="s">
        <v>47</v>
      </c>
      <c r="I148" s="1">
        <v>0</v>
      </c>
      <c r="J148" s="3" t="s">
        <v>111</v>
      </c>
      <c r="K148" s="2" t="str">
        <f>J148*214.00</f>
        <v>0</v>
      </c>
      <c r="L148" s="5"/>
    </row>
    <row r="149" spans="1:12" customHeight="1" ht="105" outlineLevel="4">
      <c r="A149" s="1"/>
      <c r="B149" s="1">
        <v>820035</v>
      </c>
      <c r="C149" s="1" t="s">
        <v>572</v>
      </c>
      <c r="D149" s="1" t="s">
        <v>573</v>
      </c>
      <c r="E149" s="2" t="s">
        <v>574</v>
      </c>
      <c r="F149" s="2" t="s">
        <v>575</v>
      </c>
      <c r="G149" s="2" t="s">
        <v>124</v>
      </c>
      <c r="H149" s="2" t="s">
        <v>47</v>
      </c>
      <c r="I149" s="1">
        <v>0</v>
      </c>
      <c r="J149" s="3" t="s">
        <v>111</v>
      </c>
      <c r="K149" s="2" t="str">
        <f>J149*359.00</f>
        <v>0</v>
      </c>
      <c r="L149" s="5"/>
    </row>
    <row r="150" spans="1:12" customHeight="1" ht="105" outlineLevel="4">
      <c r="A150" s="1"/>
      <c r="B150" s="1">
        <v>820036</v>
      </c>
      <c r="C150" s="1" t="s">
        <v>576</v>
      </c>
      <c r="D150" s="1" t="s">
        <v>577</v>
      </c>
      <c r="E150" s="2" t="s">
        <v>578</v>
      </c>
      <c r="F150" s="2" t="s">
        <v>115</v>
      </c>
      <c r="G150" s="2" t="s">
        <v>124</v>
      </c>
      <c r="H150" s="2" t="s">
        <v>67</v>
      </c>
      <c r="I150" s="1">
        <v>0</v>
      </c>
      <c r="J150" s="3" t="s">
        <v>111</v>
      </c>
      <c r="K150" s="2" t="str">
        <f>J150*372.00</f>
        <v>0</v>
      </c>
      <c r="L150" s="5"/>
    </row>
    <row r="151" spans="1:12" customHeight="1" ht="105" outlineLevel="4">
      <c r="A151" s="1"/>
      <c r="B151" s="1">
        <v>820037</v>
      </c>
      <c r="C151" s="1" t="s">
        <v>579</v>
      </c>
      <c r="D151" s="1" t="s">
        <v>580</v>
      </c>
      <c r="E151" s="2" t="s">
        <v>581</v>
      </c>
      <c r="F151" s="2" t="s">
        <v>341</v>
      </c>
      <c r="G151" s="2" t="s">
        <v>61</v>
      </c>
      <c r="H151" s="2" t="s">
        <v>67</v>
      </c>
      <c r="I151" s="1">
        <v>0</v>
      </c>
      <c r="J151" s="3" t="s">
        <v>111</v>
      </c>
      <c r="K151" s="2" t="str">
        <f>J151*507.00</f>
        <v>0</v>
      </c>
      <c r="L151" s="5"/>
    </row>
    <row r="152" spans="1:12" customHeight="1" ht="105" outlineLevel="4">
      <c r="A152" s="1"/>
      <c r="B152" s="1">
        <v>820038</v>
      </c>
      <c r="C152" s="1" t="s">
        <v>582</v>
      </c>
      <c r="D152" s="1" t="s">
        <v>583</v>
      </c>
      <c r="E152" s="2" t="s">
        <v>584</v>
      </c>
      <c r="F152" s="2" t="s">
        <v>585</v>
      </c>
      <c r="G152" s="2">
        <v>0</v>
      </c>
      <c r="H152" s="2" t="s">
        <v>47</v>
      </c>
      <c r="I152" s="1">
        <v>0</v>
      </c>
      <c r="J152" s="3" t="s">
        <v>111</v>
      </c>
      <c r="K152" s="2" t="str">
        <f>J152*728.00</f>
        <v>0</v>
      </c>
      <c r="L152" s="5"/>
    </row>
    <row r="153" spans="1:12" customHeight="1" ht="105" outlineLevel="4">
      <c r="A153" s="1"/>
      <c r="B153" s="1">
        <v>820039</v>
      </c>
      <c r="C153" s="1" t="s">
        <v>586</v>
      </c>
      <c r="D153" s="1" t="s">
        <v>587</v>
      </c>
      <c r="E153" s="2" t="s">
        <v>588</v>
      </c>
      <c r="F153" s="2" t="s">
        <v>589</v>
      </c>
      <c r="G153" s="2">
        <v>2</v>
      </c>
      <c r="H153" s="2" t="s">
        <v>17</v>
      </c>
      <c r="I153" s="1">
        <v>0</v>
      </c>
      <c r="J153" s="3" t="s">
        <v>111</v>
      </c>
      <c r="K153" s="2" t="str">
        <f>J153*1120.00</f>
        <v>0</v>
      </c>
      <c r="L153" s="5"/>
    </row>
    <row r="154" spans="1:12" customHeight="1" ht="105" outlineLevel="4">
      <c r="A154" s="1"/>
      <c r="B154" s="1">
        <v>820040</v>
      </c>
      <c r="C154" s="1" t="s">
        <v>590</v>
      </c>
      <c r="D154" s="1" t="s">
        <v>591</v>
      </c>
      <c r="E154" s="2" t="s">
        <v>592</v>
      </c>
      <c r="F154" s="2" t="s">
        <v>593</v>
      </c>
      <c r="G154" s="2">
        <v>0</v>
      </c>
      <c r="H154" s="2" t="s">
        <v>124</v>
      </c>
      <c r="I154" s="1">
        <v>0</v>
      </c>
      <c r="J154" s="3" t="s">
        <v>111</v>
      </c>
      <c r="K154" s="2" t="str">
        <f>J154*1331.00</f>
        <v>0</v>
      </c>
      <c r="L154" s="5"/>
    </row>
    <row r="155" spans="1:12" customHeight="1" ht="105" outlineLevel="4">
      <c r="A155" s="1"/>
      <c r="B155" s="1">
        <v>820041</v>
      </c>
      <c r="C155" s="1" t="s">
        <v>594</v>
      </c>
      <c r="D155" s="1" t="s">
        <v>595</v>
      </c>
      <c r="E155" s="2" t="s">
        <v>596</v>
      </c>
      <c r="F155" s="2" t="s">
        <v>597</v>
      </c>
      <c r="G155" s="2">
        <v>0</v>
      </c>
      <c r="H155" s="2">
        <v>0</v>
      </c>
      <c r="I155" s="1">
        <v>0</v>
      </c>
      <c r="J155" s="3" t="s">
        <v>111</v>
      </c>
      <c r="K155" s="2" t="str">
        <f>J155*172.00</f>
        <v>0</v>
      </c>
      <c r="L155" s="5"/>
    </row>
    <row r="156" spans="1:12" customHeight="1" ht="105" outlineLevel="4">
      <c r="A156" s="1"/>
      <c r="B156" s="1">
        <v>820042</v>
      </c>
      <c r="C156" s="1" t="s">
        <v>598</v>
      </c>
      <c r="D156" s="1" t="s">
        <v>599</v>
      </c>
      <c r="E156" s="2" t="s">
        <v>600</v>
      </c>
      <c r="F156" s="2" t="s">
        <v>601</v>
      </c>
      <c r="G156" s="2" t="s">
        <v>17</v>
      </c>
      <c r="H156" s="2" t="s">
        <v>17</v>
      </c>
      <c r="I156" s="1">
        <v>0</v>
      </c>
      <c r="J156" s="3" t="s">
        <v>111</v>
      </c>
      <c r="K156" s="2" t="str">
        <f>J156*230.00</f>
        <v>0</v>
      </c>
      <c r="L156" s="5"/>
    </row>
    <row r="157" spans="1:12" customHeight="1" ht="105" outlineLevel="4">
      <c r="A157" s="1"/>
      <c r="B157" s="1">
        <v>820043</v>
      </c>
      <c r="C157" s="1" t="s">
        <v>602</v>
      </c>
      <c r="D157" s="1" t="s">
        <v>603</v>
      </c>
      <c r="E157" s="2" t="s">
        <v>604</v>
      </c>
      <c r="F157" s="2" t="s">
        <v>605</v>
      </c>
      <c r="G157" s="2" t="s">
        <v>124</v>
      </c>
      <c r="H157" s="2" t="s">
        <v>62</v>
      </c>
      <c r="I157" s="1">
        <v>0</v>
      </c>
      <c r="J157" s="3" t="s">
        <v>111</v>
      </c>
      <c r="K157" s="2" t="str">
        <f>J157*348.00</f>
        <v>0</v>
      </c>
      <c r="L157" s="5"/>
    </row>
    <row r="158" spans="1:12" customHeight="1" ht="105" outlineLevel="4">
      <c r="A158" s="1"/>
      <c r="B158" s="1">
        <v>820044</v>
      </c>
      <c r="C158" s="1" t="s">
        <v>606</v>
      </c>
      <c r="D158" s="1" t="s">
        <v>607</v>
      </c>
      <c r="E158" s="2" t="s">
        <v>608</v>
      </c>
      <c r="F158" s="2" t="s">
        <v>609</v>
      </c>
      <c r="G158" s="2" t="s">
        <v>17</v>
      </c>
      <c r="H158" s="2" t="s">
        <v>67</v>
      </c>
      <c r="I158" s="1">
        <v>0</v>
      </c>
      <c r="J158" s="3" t="s">
        <v>111</v>
      </c>
      <c r="K158" s="2" t="str">
        <f>J158*401.00</f>
        <v>0</v>
      </c>
      <c r="L158" s="5"/>
    </row>
    <row r="159" spans="1:12" customHeight="1" ht="105" outlineLevel="4">
      <c r="A159" s="1"/>
      <c r="B159" s="1">
        <v>820045</v>
      </c>
      <c r="C159" s="1" t="s">
        <v>610</v>
      </c>
      <c r="D159" s="1" t="s">
        <v>611</v>
      </c>
      <c r="E159" s="2" t="s">
        <v>612</v>
      </c>
      <c r="F159" s="2" t="s">
        <v>613</v>
      </c>
      <c r="G159" s="2" t="s">
        <v>124</v>
      </c>
      <c r="H159" s="2" t="s">
        <v>67</v>
      </c>
      <c r="I159" s="1">
        <v>0</v>
      </c>
      <c r="J159" s="3" t="s">
        <v>111</v>
      </c>
      <c r="K159" s="2" t="str">
        <f>J159*551.00</f>
        <v>0</v>
      </c>
      <c r="L159" s="5"/>
    </row>
    <row r="160" spans="1:12" customHeight="1" ht="105" outlineLevel="4">
      <c r="A160" s="1"/>
      <c r="B160" s="1">
        <v>820046</v>
      </c>
      <c r="C160" s="1" t="s">
        <v>614</v>
      </c>
      <c r="D160" s="1" t="s">
        <v>615</v>
      </c>
      <c r="E160" s="2" t="s">
        <v>616</v>
      </c>
      <c r="F160" s="2" t="s">
        <v>617</v>
      </c>
      <c r="G160" s="2">
        <v>-4</v>
      </c>
      <c r="H160" s="2" t="s">
        <v>62</v>
      </c>
      <c r="I160" s="1">
        <v>0</v>
      </c>
      <c r="J160" s="3" t="s">
        <v>111</v>
      </c>
      <c r="K160" s="2" t="str">
        <f>J160*789.00</f>
        <v>0</v>
      </c>
      <c r="L160" s="5"/>
    </row>
    <row r="161" spans="1:12" customHeight="1" ht="105" outlineLevel="4">
      <c r="A161" s="1"/>
      <c r="B161" s="1">
        <v>820047</v>
      </c>
      <c r="C161" s="1" t="s">
        <v>618</v>
      </c>
      <c r="D161" s="1" t="s">
        <v>619</v>
      </c>
      <c r="E161" s="2" t="s">
        <v>620</v>
      </c>
      <c r="F161" s="2" t="s">
        <v>621</v>
      </c>
      <c r="G161" s="2">
        <v>0</v>
      </c>
      <c r="H161" s="2" t="s">
        <v>47</v>
      </c>
      <c r="I161" s="1">
        <v>0</v>
      </c>
      <c r="J161" s="3" t="s">
        <v>111</v>
      </c>
      <c r="K161" s="2" t="str">
        <f>J161*975.00</f>
        <v>0</v>
      </c>
      <c r="L161" s="5"/>
    </row>
    <row r="162" spans="1:12" customHeight="1" ht="105" outlineLevel="4">
      <c r="A162" s="1"/>
      <c r="B162" s="1">
        <v>820048</v>
      </c>
      <c r="C162" s="1" t="s">
        <v>622</v>
      </c>
      <c r="D162" s="1" t="s">
        <v>623</v>
      </c>
      <c r="E162" s="2" t="s">
        <v>624</v>
      </c>
      <c r="F162" s="2" t="s">
        <v>625</v>
      </c>
      <c r="G162" s="2">
        <v>0</v>
      </c>
      <c r="H162" s="2" t="s">
        <v>47</v>
      </c>
      <c r="I162" s="1">
        <v>0</v>
      </c>
      <c r="J162" s="3" t="s">
        <v>111</v>
      </c>
      <c r="K162" s="2" t="str">
        <f>J162*1447.00</f>
        <v>0</v>
      </c>
      <c r="L162" s="5"/>
    </row>
    <row r="163" spans="1:12" customHeight="1" ht="105" outlineLevel="4">
      <c r="A163" s="1"/>
      <c r="B163" s="1">
        <v>820049</v>
      </c>
      <c r="C163" s="1" t="s">
        <v>626</v>
      </c>
      <c r="D163" s="1" t="s">
        <v>627</v>
      </c>
      <c r="E163" s="2" t="s">
        <v>628</v>
      </c>
      <c r="F163" s="2" t="s">
        <v>629</v>
      </c>
      <c r="G163" s="2" t="s">
        <v>61</v>
      </c>
      <c r="H163" s="2" t="s">
        <v>47</v>
      </c>
      <c r="I163" s="1">
        <v>0</v>
      </c>
      <c r="J163" s="3" t="s">
        <v>111</v>
      </c>
      <c r="K163" s="2" t="str">
        <f>J163*449.00</f>
        <v>0</v>
      </c>
      <c r="L163" s="5"/>
    </row>
    <row r="164" spans="1:12" customHeight="1" ht="105" outlineLevel="4">
      <c r="A164" s="1"/>
      <c r="B164" s="1">
        <v>820050</v>
      </c>
      <c r="C164" s="1" t="s">
        <v>630</v>
      </c>
      <c r="D164" s="1" t="s">
        <v>631</v>
      </c>
      <c r="E164" s="2" t="s">
        <v>632</v>
      </c>
      <c r="F164" s="2" t="s">
        <v>633</v>
      </c>
      <c r="G164" s="2" t="s">
        <v>61</v>
      </c>
      <c r="H164" s="2" t="s">
        <v>47</v>
      </c>
      <c r="I164" s="1">
        <v>0</v>
      </c>
      <c r="J164" s="3" t="s">
        <v>111</v>
      </c>
      <c r="K164" s="2" t="str">
        <f>J164*545.00</f>
        <v>0</v>
      </c>
      <c r="L164" s="5"/>
    </row>
    <row r="165" spans="1:12" customHeight="1" ht="105" outlineLevel="4">
      <c r="A165" s="1"/>
      <c r="B165" s="1">
        <v>820051</v>
      </c>
      <c r="C165" s="1" t="s">
        <v>634</v>
      </c>
      <c r="D165" s="1" t="s">
        <v>635</v>
      </c>
      <c r="E165" s="2" t="s">
        <v>636</v>
      </c>
      <c r="F165" s="2" t="s">
        <v>637</v>
      </c>
      <c r="G165" s="2">
        <v>10</v>
      </c>
      <c r="H165" s="2" t="s">
        <v>17</v>
      </c>
      <c r="I165" s="1">
        <v>0</v>
      </c>
      <c r="J165" s="3" t="s">
        <v>111</v>
      </c>
      <c r="K165" s="2" t="str">
        <f>J165*660.00</f>
        <v>0</v>
      </c>
      <c r="L165" s="5"/>
    </row>
    <row r="166" spans="1:12" customHeight="1" ht="105" outlineLevel="4">
      <c r="A166" s="1"/>
      <c r="B166" s="1">
        <v>820052</v>
      </c>
      <c r="C166" s="1" t="s">
        <v>638</v>
      </c>
      <c r="D166" s="1" t="s">
        <v>639</v>
      </c>
      <c r="E166" s="2" t="s">
        <v>640</v>
      </c>
      <c r="F166" s="2" t="s">
        <v>641</v>
      </c>
      <c r="G166" s="2">
        <v>8</v>
      </c>
      <c r="H166" s="2" t="s">
        <v>47</v>
      </c>
      <c r="I166" s="1">
        <v>0</v>
      </c>
      <c r="J166" s="3" t="s">
        <v>111</v>
      </c>
      <c r="K166" s="2" t="str">
        <f>J166*567.00</f>
        <v>0</v>
      </c>
      <c r="L166" s="5"/>
    </row>
    <row r="167" spans="1:12" customHeight="1" ht="105" outlineLevel="4">
      <c r="A167" s="1"/>
      <c r="B167" s="1">
        <v>820053</v>
      </c>
      <c r="C167" s="1" t="s">
        <v>642</v>
      </c>
      <c r="D167" s="1" t="s">
        <v>643</v>
      </c>
      <c r="E167" s="2" t="s">
        <v>644</v>
      </c>
      <c r="F167" s="2" t="s">
        <v>645</v>
      </c>
      <c r="G167" s="2" t="s">
        <v>124</v>
      </c>
      <c r="H167" s="2" t="s">
        <v>47</v>
      </c>
      <c r="I167" s="1">
        <v>0</v>
      </c>
      <c r="J167" s="3" t="s">
        <v>111</v>
      </c>
      <c r="K167" s="2" t="str">
        <f>J167*704.00</f>
        <v>0</v>
      </c>
      <c r="L167" s="5"/>
    </row>
    <row r="168" spans="1:12" customHeight="1" ht="105" outlineLevel="4">
      <c r="A168" s="1"/>
      <c r="B168" s="1">
        <v>820054</v>
      </c>
      <c r="C168" s="1" t="s">
        <v>646</v>
      </c>
      <c r="D168" s="1" t="s">
        <v>647</v>
      </c>
      <c r="E168" s="2" t="s">
        <v>648</v>
      </c>
      <c r="F168" s="2" t="s">
        <v>649</v>
      </c>
      <c r="G168" s="2">
        <v>5</v>
      </c>
      <c r="H168" s="2" t="s">
        <v>47</v>
      </c>
      <c r="I168" s="1">
        <v>0</v>
      </c>
      <c r="J168" s="3" t="s">
        <v>111</v>
      </c>
      <c r="K168" s="2" t="str">
        <f>J168*766.00</f>
        <v>0</v>
      </c>
      <c r="L168" s="5"/>
    </row>
    <row r="169" spans="1:12" customHeight="1" ht="105" outlineLevel="4">
      <c r="A169" s="1"/>
      <c r="B169" s="1">
        <v>820055</v>
      </c>
      <c r="C169" s="1" t="s">
        <v>650</v>
      </c>
      <c r="D169" s="1" t="s">
        <v>651</v>
      </c>
      <c r="E169" s="2" t="s">
        <v>652</v>
      </c>
      <c r="F169" s="2" t="s">
        <v>653</v>
      </c>
      <c r="G169" s="2">
        <v>0</v>
      </c>
      <c r="H169" s="2" t="s">
        <v>47</v>
      </c>
      <c r="I169" s="1">
        <v>0</v>
      </c>
      <c r="J169" s="3" t="s">
        <v>111</v>
      </c>
      <c r="K169" s="2" t="str">
        <f>J169*1128.00</f>
        <v>0</v>
      </c>
      <c r="L169" s="5"/>
    </row>
    <row r="170" spans="1:12" customHeight="1" ht="105" outlineLevel="4">
      <c r="A170" s="1"/>
      <c r="B170" s="1">
        <v>820056</v>
      </c>
      <c r="C170" s="1" t="s">
        <v>654</v>
      </c>
      <c r="D170" s="1" t="s">
        <v>655</v>
      </c>
      <c r="E170" s="2" t="s">
        <v>656</v>
      </c>
      <c r="F170" s="2" t="s">
        <v>657</v>
      </c>
      <c r="G170" s="2" t="s">
        <v>61</v>
      </c>
      <c r="H170" s="2" t="s">
        <v>47</v>
      </c>
      <c r="I170" s="1">
        <v>0</v>
      </c>
      <c r="J170" s="3" t="s">
        <v>111</v>
      </c>
      <c r="K170" s="2" t="str">
        <f>J170*543.00</f>
        <v>0</v>
      </c>
      <c r="L170" s="5"/>
    </row>
    <row r="171" spans="1:12" customHeight="1" ht="105" outlineLevel="4">
      <c r="A171" s="1"/>
      <c r="B171" s="1">
        <v>820057</v>
      </c>
      <c r="C171" s="1" t="s">
        <v>658</v>
      </c>
      <c r="D171" s="1" t="s">
        <v>659</v>
      </c>
      <c r="E171" s="2" t="s">
        <v>660</v>
      </c>
      <c r="F171" s="2" t="s">
        <v>661</v>
      </c>
      <c r="G171" s="2" t="s">
        <v>61</v>
      </c>
      <c r="H171" s="2" t="s">
        <v>17</v>
      </c>
      <c r="I171" s="1">
        <v>0</v>
      </c>
      <c r="J171" s="3" t="s">
        <v>111</v>
      </c>
      <c r="K171" s="2" t="str">
        <f>J171*705.00</f>
        <v>0</v>
      </c>
      <c r="L171" s="5"/>
    </row>
    <row r="172" spans="1:12" customHeight="1" ht="105" outlineLevel="4">
      <c r="A172" s="1"/>
      <c r="B172" s="1">
        <v>820058</v>
      </c>
      <c r="C172" s="1" t="s">
        <v>662</v>
      </c>
      <c r="D172" s="1" t="s">
        <v>663</v>
      </c>
      <c r="E172" s="2" t="s">
        <v>664</v>
      </c>
      <c r="F172" s="2" t="s">
        <v>665</v>
      </c>
      <c r="G172" s="2" t="s">
        <v>61</v>
      </c>
      <c r="H172" s="2" t="s">
        <v>17</v>
      </c>
      <c r="I172" s="1">
        <v>0</v>
      </c>
      <c r="J172" s="3" t="s">
        <v>111</v>
      </c>
      <c r="K172" s="2" t="str">
        <f>J172*464.00</f>
        <v>0</v>
      </c>
      <c r="L172" s="5"/>
    </row>
    <row r="173" spans="1:12" customHeight="1" ht="105" outlineLevel="4">
      <c r="A173" s="1"/>
      <c r="B173" s="1">
        <v>820059</v>
      </c>
      <c r="C173" s="1" t="s">
        <v>666</v>
      </c>
      <c r="D173" s="1" t="s">
        <v>667</v>
      </c>
      <c r="E173" s="2" t="s">
        <v>668</v>
      </c>
      <c r="F173" s="2" t="s">
        <v>669</v>
      </c>
      <c r="G173" s="2">
        <v>6</v>
      </c>
      <c r="H173" s="2" t="s">
        <v>47</v>
      </c>
      <c r="I173" s="1">
        <v>0</v>
      </c>
      <c r="J173" s="3" t="s">
        <v>111</v>
      </c>
      <c r="K173" s="2" t="str">
        <f>J173*581.00</f>
        <v>0</v>
      </c>
      <c r="L173" s="5"/>
    </row>
    <row r="174" spans="1:12" customHeight="1" ht="105" outlineLevel="4">
      <c r="A174" s="1"/>
      <c r="B174" s="1">
        <v>820060</v>
      </c>
      <c r="C174" s="1" t="s">
        <v>670</v>
      </c>
      <c r="D174" s="1" t="s">
        <v>671</v>
      </c>
      <c r="E174" s="2" t="s">
        <v>672</v>
      </c>
      <c r="F174" s="2" t="s">
        <v>673</v>
      </c>
      <c r="G174" s="2" t="s">
        <v>61</v>
      </c>
      <c r="H174" s="2" t="s">
        <v>47</v>
      </c>
      <c r="I174" s="1">
        <v>0</v>
      </c>
      <c r="J174" s="3" t="s">
        <v>111</v>
      </c>
      <c r="K174" s="2" t="str">
        <f>J174*745.00</f>
        <v>0</v>
      </c>
      <c r="L174" s="5"/>
    </row>
    <row r="175" spans="1:12" customHeight="1" ht="105" outlineLevel="4">
      <c r="A175" s="1"/>
      <c r="B175" s="1">
        <v>820061</v>
      </c>
      <c r="C175" s="1" t="s">
        <v>674</v>
      </c>
      <c r="D175" s="1" t="s">
        <v>675</v>
      </c>
      <c r="E175" s="2" t="s">
        <v>676</v>
      </c>
      <c r="F175" s="2" t="s">
        <v>677</v>
      </c>
      <c r="G175" s="2">
        <v>2</v>
      </c>
      <c r="H175" s="2" t="s">
        <v>47</v>
      </c>
      <c r="I175" s="1">
        <v>0</v>
      </c>
      <c r="J175" s="3" t="s">
        <v>111</v>
      </c>
      <c r="K175" s="2" t="str">
        <f>J175*917.00</f>
        <v>0</v>
      </c>
      <c r="L175" s="5"/>
    </row>
    <row r="176" spans="1:12" customHeight="1" ht="105" outlineLevel="4">
      <c r="A176" s="1"/>
      <c r="B176" s="1">
        <v>820062</v>
      </c>
      <c r="C176" s="1" t="s">
        <v>678</v>
      </c>
      <c r="D176" s="1" t="s">
        <v>679</v>
      </c>
      <c r="E176" s="2" t="s">
        <v>680</v>
      </c>
      <c r="F176" s="2" t="s">
        <v>681</v>
      </c>
      <c r="G176" s="2">
        <v>0</v>
      </c>
      <c r="H176" s="2" t="s">
        <v>47</v>
      </c>
      <c r="I176" s="1">
        <v>0</v>
      </c>
      <c r="J176" s="3" t="s">
        <v>111</v>
      </c>
      <c r="K176" s="2" t="str">
        <f>J176*1143.00</f>
        <v>0</v>
      </c>
      <c r="L176" s="5"/>
    </row>
    <row r="177" spans="1:12" customHeight="1" ht="105" outlineLevel="4">
      <c r="A177" s="1"/>
      <c r="B177" s="1">
        <v>820063</v>
      </c>
      <c r="C177" s="1" t="s">
        <v>682</v>
      </c>
      <c r="D177" s="1" t="s">
        <v>683</v>
      </c>
      <c r="E177" s="2" t="s">
        <v>684</v>
      </c>
      <c r="F177" s="2" t="s">
        <v>188</v>
      </c>
      <c r="G177" s="2">
        <v>0</v>
      </c>
      <c r="H177" s="2" t="s">
        <v>47</v>
      </c>
      <c r="I177" s="1">
        <v>0</v>
      </c>
      <c r="J177" s="3" t="s">
        <v>111</v>
      </c>
      <c r="K177" s="2" t="str">
        <f>J177*513.00</f>
        <v>0</v>
      </c>
      <c r="L177" s="5"/>
    </row>
    <row r="178" spans="1:12" customHeight="1" ht="105" outlineLevel="4">
      <c r="A178" s="1"/>
      <c r="B178" s="1">
        <v>820064</v>
      </c>
      <c r="C178" s="1" t="s">
        <v>685</v>
      </c>
      <c r="D178" s="1" t="s">
        <v>686</v>
      </c>
      <c r="E178" s="2" t="s">
        <v>687</v>
      </c>
      <c r="F178" s="2" t="s">
        <v>688</v>
      </c>
      <c r="G178" s="2" t="s">
        <v>61</v>
      </c>
      <c r="H178" s="2" t="s">
        <v>47</v>
      </c>
      <c r="I178" s="1">
        <v>0</v>
      </c>
      <c r="J178" s="3" t="s">
        <v>111</v>
      </c>
      <c r="K178" s="2" t="str">
        <f>J178*732.00</f>
        <v>0</v>
      </c>
      <c r="L178" s="5"/>
    </row>
    <row r="179" spans="1:12" customHeight="1" ht="105" outlineLevel="4">
      <c r="A179" s="1"/>
      <c r="B179" s="1">
        <v>820065</v>
      </c>
      <c r="C179" s="1" t="s">
        <v>689</v>
      </c>
      <c r="D179" s="1" t="s">
        <v>690</v>
      </c>
      <c r="E179" s="2" t="s">
        <v>691</v>
      </c>
      <c r="F179" s="2" t="s">
        <v>692</v>
      </c>
      <c r="G179" s="2">
        <v>5</v>
      </c>
      <c r="H179" s="2" t="s">
        <v>17</v>
      </c>
      <c r="I179" s="1">
        <v>0</v>
      </c>
      <c r="J179" s="3" t="s">
        <v>111</v>
      </c>
      <c r="K179" s="2" t="str">
        <f>J179*805.00</f>
        <v>0</v>
      </c>
      <c r="L179" s="5"/>
    </row>
    <row r="180" spans="1:12" customHeight="1" ht="105" outlineLevel="4">
      <c r="A180" s="1"/>
      <c r="B180" s="1">
        <v>820066</v>
      </c>
      <c r="C180" s="1" t="s">
        <v>693</v>
      </c>
      <c r="D180" s="1" t="s">
        <v>694</v>
      </c>
      <c r="E180" s="2" t="s">
        <v>695</v>
      </c>
      <c r="F180" s="2" t="s">
        <v>696</v>
      </c>
      <c r="G180" s="2">
        <v>9</v>
      </c>
      <c r="H180" s="2" t="s">
        <v>17</v>
      </c>
      <c r="I180" s="1">
        <v>0</v>
      </c>
      <c r="J180" s="3" t="s">
        <v>111</v>
      </c>
      <c r="K180" s="2" t="str">
        <f>J180*936.00</f>
        <v>0</v>
      </c>
      <c r="L180" s="5"/>
    </row>
    <row r="181" spans="1:12" customHeight="1" ht="105" outlineLevel="4">
      <c r="A181" s="1"/>
      <c r="B181" s="1">
        <v>820067</v>
      </c>
      <c r="C181" s="1" t="s">
        <v>697</v>
      </c>
      <c r="D181" s="1" t="s">
        <v>698</v>
      </c>
      <c r="E181" s="2" t="s">
        <v>699</v>
      </c>
      <c r="F181" s="2" t="s">
        <v>700</v>
      </c>
      <c r="G181" s="2">
        <v>10</v>
      </c>
      <c r="H181" s="2" t="s">
        <v>17</v>
      </c>
      <c r="I181" s="1">
        <v>0</v>
      </c>
      <c r="J181" s="3" t="s">
        <v>111</v>
      </c>
      <c r="K181" s="2" t="str">
        <f>J181*948.00</f>
        <v>0</v>
      </c>
      <c r="L181" s="5"/>
    </row>
    <row r="182" spans="1:12" customHeight="1" ht="105" outlineLevel="4">
      <c r="A182" s="1"/>
      <c r="B182" s="1">
        <v>820068</v>
      </c>
      <c r="C182" s="1" t="s">
        <v>701</v>
      </c>
      <c r="D182" s="1" t="s">
        <v>702</v>
      </c>
      <c r="E182" s="2" t="s">
        <v>703</v>
      </c>
      <c r="F182" s="2" t="s">
        <v>704</v>
      </c>
      <c r="G182" s="2" t="s">
        <v>61</v>
      </c>
      <c r="H182" s="2" t="s">
        <v>47</v>
      </c>
      <c r="I182" s="1">
        <v>0</v>
      </c>
      <c r="J182" s="3" t="s">
        <v>111</v>
      </c>
      <c r="K182" s="2" t="str">
        <f>J182*559.00</f>
        <v>0</v>
      </c>
      <c r="L182" s="5"/>
    </row>
    <row r="183" spans="1:12" customHeight="1" ht="105" outlineLevel="4">
      <c r="A183" s="1"/>
      <c r="B183" s="1">
        <v>820069</v>
      </c>
      <c r="C183" s="1" t="s">
        <v>705</v>
      </c>
      <c r="D183" s="1" t="s">
        <v>706</v>
      </c>
      <c r="E183" s="2" t="s">
        <v>707</v>
      </c>
      <c r="F183" s="2" t="s">
        <v>708</v>
      </c>
      <c r="G183" s="2">
        <v>5</v>
      </c>
      <c r="H183" s="2" t="s">
        <v>47</v>
      </c>
      <c r="I183" s="1">
        <v>0</v>
      </c>
      <c r="J183" s="3" t="s">
        <v>111</v>
      </c>
      <c r="K183" s="2" t="str">
        <f>J183*668.00</f>
        <v>0</v>
      </c>
      <c r="L183" s="5"/>
    </row>
    <row r="184" spans="1:12" customHeight="1" ht="105" outlineLevel="4">
      <c r="A184" s="1"/>
      <c r="B184" s="1">
        <v>820070</v>
      </c>
      <c r="C184" s="1" t="s">
        <v>709</v>
      </c>
      <c r="D184" s="1" t="s">
        <v>710</v>
      </c>
      <c r="E184" s="2" t="s">
        <v>711</v>
      </c>
      <c r="F184" s="2" t="s">
        <v>712</v>
      </c>
      <c r="G184" s="2">
        <v>6</v>
      </c>
      <c r="H184" s="2" t="s">
        <v>17</v>
      </c>
      <c r="I184" s="1">
        <v>0</v>
      </c>
      <c r="J184" s="3" t="s">
        <v>111</v>
      </c>
      <c r="K184" s="2" t="str">
        <f>J184*946.00</f>
        <v>0</v>
      </c>
      <c r="L184" s="5"/>
    </row>
    <row r="185" spans="1:12" customHeight="1" ht="105" outlineLevel="4">
      <c r="A185" s="1"/>
      <c r="B185" s="1">
        <v>820071</v>
      </c>
      <c r="C185" s="1" t="s">
        <v>713</v>
      </c>
      <c r="D185" s="1" t="s">
        <v>714</v>
      </c>
      <c r="E185" s="2" t="s">
        <v>715</v>
      </c>
      <c r="F185" s="2" t="s">
        <v>716</v>
      </c>
      <c r="G185" s="2">
        <v>4</v>
      </c>
      <c r="H185" s="2" t="s">
        <v>62</v>
      </c>
      <c r="I185" s="1">
        <v>0</v>
      </c>
      <c r="J185" s="3" t="s">
        <v>111</v>
      </c>
      <c r="K185" s="2" t="str">
        <f>J185*528.00</f>
        <v>0</v>
      </c>
      <c r="L185" s="5"/>
    </row>
    <row r="186" spans="1:12" customHeight="1" ht="105" outlineLevel="4">
      <c r="A186" s="1"/>
      <c r="B186" s="1">
        <v>820072</v>
      </c>
      <c r="C186" s="1" t="s">
        <v>717</v>
      </c>
      <c r="D186" s="1" t="s">
        <v>718</v>
      </c>
      <c r="E186" s="2" t="s">
        <v>719</v>
      </c>
      <c r="F186" s="2" t="s">
        <v>504</v>
      </c>
      <c r="G186" s="2">
        <v>6</v>
      </c>
      <c r="H186" s="2" t="s">
        <v>47</v>
      </c>
      <c r="I186" s="1">
        <v>0</v>
      </c>
      <c r="J186" s="3" t="s">
        <v>111</v>
      </c>
      <c r="K186" s="2" t="str">
        <f>J186*671.00</f>
        <v>0</v>
      </c>
      <c r="L186" s="5"/>
    </row>
    <row r="187" spans="1:12" customHeight="1" ht="105" outlineLevel="4">
      <c r="A187" s="1"/>
      <c r="B187" s="1">
        <v>820073</v>
      </c>
      <c r="C187" s="1" t="s">
        <v>720</v>
      </c>
      <c r="D187" s="1" t="s">
        <v>721</v>
      </c>
      <c r="E187" s="2" t="s">
        <v>722</v>
      </c>
      <c r="F187" s="2" t="s">
        <v>723</v>
      </c>
      <c r="G187" s="2">
        <v>4</v>
      </c>
      <c r="H187" s="2" t="s">
        <v>47</v>
      </c>
      <c r="I187" s="1">
        <v>0</v>
      </c>
      <c r="J187" s="3" t="s">
        <v>111</v>
      </c>
      <c r="K187" s="2" t="str">
        <f>J187*877.00</f>
        <v>0</v>
      </c>
      <c r="L187" s="5"/>
    </row>
    <row r="188" spans="1:12" customHeight="1" ht="105" outlineLevel="4">
      <c r="A188" s="1"/>
      <c r="B188" s="1">
        <v>820074</v>
      </c>
      <c r="C188" s="1" t="s">
        <v>724</v>
      </c>
      <c r="D188" s="1" t="s">
        <v>725</v>
      </c>
      <c r="E188" s="2" t="s">
        <v>726</v>
      </c>
      <c r="F188" s="2" t="s">
        <v>716</v>
      </c>
      <c r="G188" s="2">
        <v>4</v>
      </c>
      <c r="H188" s="2" t="s">
        <v>47</v>
      </c>
      <c r="I188" s="1">
        <v>0</v>
      </c>
      <c r="J188" s="3" t="s">
        <v>111</v>
      </c>
      <c r="K188" s="2" t="str">
        <f>J188*528.00</f>
        <v>0</v>
      </c>
      <c r="L188" s="5"/>
    </row>
    <row r="189" spans="1:12" customHeight="1" ht="105" outlineLevel="4">
      <c r="A189" s="1"/>
      <c r="B189" s="1">
        <v>820075</v>
      </c>
      <c r="C189" s="1" t="s">
        <v>727</v>
      </c>
      <c r="D189" s="1" t="s">
        <v>728</v>
      </c>
      <c r="E189" s="2" t="s">
        <v>729</v>
      </c>
      <c r="F189" s="2" t="s">
        <v>730</v>
      </c>
      <c r="G189" s="2">
        <v>8</v>
      </c>
      <c r="H189" s="2" t="s">
        <v>47</v>
      </c>
      <c r="I189" s="1">
        <v>0</v>
      </c>
      <c r="J189" s="3" t="s">
        <v>111</v>
      </c>
      <c r="K189" s="2" t="str">
        <f>J189*674.00</f>
        <v>0</v>
      </c>
      <c r="L189" s="5"/>
    </row>
    <row r="190" spans="1:12" customHeight="1" ht="105" outlineLevel="4">
      <c r="A190" s="1"/>
      <c r="B190" s="1">
        <v>820076</v>
      </c>
      <c r="C190" s="1" t="s">
        <v>731</v>
      </c>
      <c r="D190" s="1" t="s">
        <v>732</v>
      </c>
      <c r="E190" s="2" t="s">
        <v>733</v>
      </c>
      <c r="F190" s="2" t="s">
        <v>734</v>
      </c>
      <c r="G190" s="2">
        <v>10</v>
      </c>
      <c r="H190" s="2" t="s">
        <v>61</v>
      </c>
      <c r="I190" s="1">
        <v>0</v>
      </c>
      <c r="J190" s="3" t="s">
        <v>111</v>
      </c>
      <c r="K190" s="2" t="str">
        <f>J190*892.00</f>
        <v>0</v>
      </c>
      <c r="L190" s="5"/>
    </row>
    <row r="191" spans="1:12" customHeight="1" ht="105" outlineLevel="4">
      <c r="A191" s="1"/>
      <c r="B191" s="1">
        <v>820077</v>
      </c>
      <c r="C191" s="1" t="s">
        <v>735</v>
      </c>
      <c r="D191" s="1" t="s">
        <v>736</v>
      </c>
      <c r="E191" s="2" t="s">
        <v>737</v>
      </c>
      <c r="F191" s="2" t="s">
        <v>738</v>
      </c>
      <c r="G191" s="2" t="s">
        <v>124</v>
      </c>
      <c r="H191" s="2" t="s">
        <v>47</v>
      </c>
      <c r="I191" s="1">
        <v>0</v>
      </c>
      <c r="J191" s="3" t="s">
        <v>111</v>
      </c>
      <c r="K191" s="2" t="str">
        <f>J191*182.00</f>
        <v>0</v>
      </c>
      <c r="L191" s="5"/>
    </row>
    <row r="192" spans="1:12" customHeight="1" ht="105" outlineLevel="4">
      <c r="A192" s="1"/>
      <c r="B192" s="1">
        <v>820078</v>
      </c>
      <c r="C192" s="1" t="s">
        <v>739</v>
      </c>
      <c r="D192" s="1" t="s">
        <v>740</v>
      </c>
      <c r="E192" s="2" t="s">
        <v>741</v>
      </c>
      <c r="F192" s="2" t="s">
        <v>742</v>
      </c>
      <c r="G192" s="2" t="s">
        <v>61</v>
      </c>
      <c r="H192" s="2" t="s">
        <v>47</v>
      </c>
      <c r="I192" s="1">
        <v>0</v>
      </c>
      <c r="J192" s="3" t="s">
        <v>111</v>
      </c>
      <c r="K192" s="2" t="str">
        <f>J192*311.00</f>
        <v>0</v>
      </c>
      <c r="L192" s="5"/>
    </row>
    <row r="193" spans="1:12" customHeight="1" ht="105" outlineLevel="4">
      <c r="A193" s="1"/>
      <c r="B193" s="1">
        <v>820079</v>
      </c>
      <c r="C193" s="1" t="s">
        <v>743</v>
      </c>
      <c r="D193" s="1" t="s">
        <v>744</v>
      </c>
      <c r="E193" s="2" t="s">
        <v>745</v>
      </c>
      <c r="F193" s="2" t="s">
        <v>746</v>
      </c>
      <c r="G193" s="2" t="s">
        <v>124</v>
      </c>
      <c r="H193" s="2" t="s">
        <v>67</v>
      </c>
      <c r="I193" s="1">
        <v>0</v>
      </c>
      <c r="J193" s="3" t="s">
        <v>111</v>
      </c>
      <c r="K193" s="2" t="str">
        <f>J193*301.00</f>
        <v>0</v>
      </c>
      <c r="L193" s="5"/>
    </row>
    <row r="194" spans="1:12" customHeight="1" ht="105" outlineLevel="4">
      <c r="A194" s="1"/>
      <c r="B194" s="1">
        <v>820080</v>
      </c>
      <c r="C194" s="1" t="s">
        <v>747</v>
      </c>
      <c r="D194" s="1" t="s">
        <v>748</v>
      </c>
      <c r="E194" s="2" t="s">
        <v>749</v>
      </c>
      <c r="F194" s="2" t="s">
        <v>750</v>
      </c>
      <c r="G194" s="2">
        <v>10</v>
      </c>
      <c r="H194" s="2" t="s">
        <v>67</v>
      </c>
      <c r="I194" s="1">
        <v>0</v>
      </c>
      <c r="J194" s="3" t="s">
        <v>111</v>
      </c>
      <c r="K194" s="2" t="str">
        <f>J194*425.00</f>
        <v>0</v>
      </c>
      <c r="L194" s="5"/>
    </row>
    <row r="195" spans="1:12" customHeight="1" ht="105" outlineLevel="4">
      <c r="A195" s="1"/>
      <c r="B195" s="1">
        <v>820081</v>
      </c>
      <c r="C195" s="1" t="s">
        <v>751</v>
      </c>
      <c r="D195" s="1" t="s">
        <v>752</v>
      </c>
      <c r="E195" s="2" t="s">
        <v>753</v>
      </c>
      <c r="F195" s="2" t="s">
        <v>754</v>
      </c>
      <c r="G195" s="2">
        <v>0</v>
      </c>
      <c r="H195" s="2" t="s">
        <v>47</v>
      </c>
      <c r="I195" s="1">
        <v>0</v>
      </c>
      <c r="J195" s="3" t="s">
        <v>111</v>
      </c>
      <c r="K195" s="2" t="str">
        <f>J195*579.00</f>
        <v>0</v>
      </c>
      <c r="L195" s="5"/>
    </row>
    <row r="196" spans="1:12" customHeight="1" ht="105" outlineLevel="4">
      <c r="A196" s="1"/>
      <c r="B196" s="1">
        <v>820082</v>
      </c>
      <c r="C196" s="1" t="s">
        <v>755</v>
      </c>
      <c r="D196" s="1" t="s">
        <v>756</v>
      </c>
      <c r="E196" s="2" t="s">
        <v>757</v>
      </c>
      <c r="F196" s="2" t="s">
        <v>758</v>
      </c>
      <c r="G196" s="2">
        <v>0</v>
      </c>
      <c r="H196" s="2" t="s">
        <v>47</v>
      </c>
      <c r="I196" s="1">
        <v>0</v>
      </c>
      <c r="J196" s="3" t="s">
        <v>111</v>
      </c>
      <c r="K196" s="2" t="str">
        <f>J196*780.00</f>
        <v>0</v>
      </c>
      <c r="L196" s="5"/>
    </row>
    <row r="197" spans="1:12" customHeight="1" ht="105" outlineLevel="4">
      <c r="A197" s="1"/>
      <c r="B197" s="1">
        <v>820083</v>
      </c>
      <c r="C197" s="1" t="s">
        <v>759</v>
      </c>
      <c r="D197" s="1" t="s">
        <v>760</v>
      </c>
      <c r="E197" s="2" t="s">
        <v>761</v>
      </c>
      <c r="F197" s="2" t="s">
        <v>762</v>
      </c>
      <c r="G197" s="2">
        <v>0</v>
      </c>
      <c r="H197" s="2" t="s">
        <v>124</v>
      </c>
      <c r="I197" s="1">
        <v>0</v>
      </c>
      <c r="J197" s="3" t="s">
        <v>111</v>
      </c>
      <c r="K197" s="2" t="str">
        <f>J197*1258.00</f>
        <v>0</v>
      </c>
      <c r="L197" s="5"/>
    </row>
    <row r="198" spans="1:12" customHeight="1" ht="105" outlineLevel="4">
      <c r="A198" s="1"/>
      <c r="B198" s="1">
        <v>820084</v>
      </c>
      <c r="C198" s="1" t="s">
        <v>763</v>
      </c>
      <c r="D198" s="1" t="s">
        <v>764</v>
      </c>
      <c r="E198" s="2" t="s">
        <v>765</v>
      </c>
      <c r="F198" s="2" t="s">
        <v>766</v>
      </c>
      <c r="G198" s="2">
        <v>0</v>
      </c>
      <c r="H198" s="2">
        <v>0</v>
      </c>
      <c r="I198" s="1">
        <v>0</v>
      </c>
      <c r="J198" s="3" t="s">
        <v>111</v>
      </c>
      <c r="K198" s="2" t="str">
        <f>J198*134.00</f>
        <v>0</v>
      </c>
      <c r="L198" s="5"/>
    </row>
    <row r="199" spans="1:12" customHeight="1" ht="105" outlineLevel="4">
      <c r="A199" s="1"/>
      <c r="B199" s="1">
        <v>820085</v>
      </c>
      <c r="C199" s="1" t="s">
        <v>767</v>
      </c>
      <c r="D199" s="1" t="s">
        <v>768</v>
      </c>
      <c r="E199" s="2" t="s">
        <v>769</v>
      </c>
      <c r="F199" s="2" t="s">
        <v>770</v>
      </c>
      <c r="G199" s="2" t="s">
        <v>17</v>
      </c>
      <c r="H199" s="2" t="s">
        <v>47</v>
      </c>
      <c r="I199" s="1">
        <v>0</v>
      </c>
      <c r="J199" s="3" t="s">
        <v>111</v>
      </c>
      <c r="K199" s="2" t="str">
        <f>J199*195.00</f>
        <v>0</v>
      </c>
      <c r="L199" s="5"/>
    </row>
    <row r="200" spans="1:12" customHeight="1" ht="105" outlineLevel="4">
      <c r="A200" s="1"/>
      <c r="B200" s="1">
        <v>820086</v>
      </c>
      <c r="C200" s="1" t="s">
        <v>771</v>
      </c>
      <c r="D200" s="1" t="s">
        <v>772</v>
      </c>
      <c r="E200" s="2" t="s">
        <v>773</v>
      </c>
      <c r="F200" s="2" t="s">
        <v>774</v>
      </c>
      <c r="G200" s="2" t="s">
        <v>17</v>
      </c>
      <c r="H200" s="2" t="s">
        <v>62</v>
      </c>
      <c r="I200" s="1">
        <v>0</v>
      </c>
      <c r="J200" s="3" t="s">
        <v>111</v>
      </c>
      <c r="K200" s="2" t="str">
        <f>J200*310.00</f>
        <v>0</v>
      </c>
      <c r="L200" s="5"/>
    </row>
    <row r="201" spans="1:12" customHeight="1" ht="105" outlineLevel="4">
      <c r="A201" s="1"/>
      <c r="B201" s="1">
        <v>820087</v>
      </c>
      <c r="C201" s="1" t="s">
        <v>775</v>
      </c>
      <c r="D201" s="1" t="s">
        <v>776</v>
      </c>
      <c r="E201" s="2" t="s">
        <v>777</v>
      </c>
      <c r="F201" s="2" t="s">
        <v>778</v>
      </c>
      <c r="G201" s="2" t="s">
        <v>124</v>
      </c>
      <c r="H201" s="2" t="s">
        <v>67</v>
      </c>
      <c r="I201" s="1">
        <v>0</v>
      </c>
      <c r="J201" s="3" t="s">
        <v>111</v>
      </c>
      <c r="K201" s="2" t="str">
        <f>J201*331.00</f>
        <v>0</v>
      </c>
      <c r="L201" s="5"/>
    </row>
    <row r="202" spans="1:12" customHeight="1" ht="105" outlineLevel="4">
      <c r="A202" s="1"/>
      <c r="B202" s="1">
        <v>820088</v>
      </c>
      <c r="C202" s="1" t="s">
        <v>779</v>
      </c>
      <c r="D202" s="1" t="s">
        <v>780</v>
      </c>
      <c r="E202" s="2" t="s">
        <v>781</v>
      </c>
      <c r="F202" s="2" t="s">
        <v>782</v>
      </c>
      <c r="G202" s="2" t="s">
        <v>124</v>
      </c>
      <c r="H202" s="2" t="s">
        <v>62</v>
      </c>
      <c r="I202" s="1">
        <v>0</v>
      </c>
      <c r="J202" s="3" t="s">
        <v>111</v>
      </c>
      <c r="K202" s="2" t="str">
        <f>J202*442.00</f>
        <v>0</v>
      </c>
      <c r="L202" s="5"/>
    </row>
    <row r="203" spans="1:12" customHeight="1" ht="105" outlineLevel="4">
      <c r="A203" s="1"/>
      <c r="B203" s="1">
        <v>820089</v>
      </c>
      <c r="C203" s="1" t="s">
        <v>783</v>
      </c>
      <c r="D203" s="1" t="s">
        <v>784</v>
      </c>
      <c r="E203" s="2" t="s">
        <v>785</v>
      </c>
      <c r="F203" s="2" t="s">
        <v>786</v>
      </c>
      <c r="G203" s="2">
        <v>0</v>
      </c>
      <c r="H203" s="2" t="s">
        <v>47</v>
      </c>
      <c r="I203" s="1">
        <v>0</v>
      </c>
      <c r="J203" s="3" t="s">
        <v>111</v>
      </c>
      <c r="K203" s="2" t="str">
        <f>J203*617.00</f>
        <v>0</v>
      </c>
      <c r="L203" s="5"/>
    </row>
    <row r="204" spans="1:12" customHeight="1" ht="105" outlineLevel="4">
      <c r="A204" s="1"/>
      <c r="B204" s="1">
        <v>820090</v>
      </c>
      <c r="C204" s="1" t="s">
        <v>787</v>
      </c>
      <c r="D204" s="1" t="s">
        <v>788</v>
      </c>
      <c r="E204" s="2" t="s">
        <v>789</v>
      </c>
      <c r="F204" s="2" t="s">
        <v>790</v>
      </c>
      <c r="G204" s="2">
        <v>0</v>
      </c>
      <c r="H204" s="2" t="s">
        <v>124</v>
      </c>
      <c r="I204" s="1">
        <v>0</v>
      </c>
      <c r="J204" s="3" t="s">
        <v>111</v>
      </c>
      <c r="K204" s="2" t="str">
        <f>J204*830.00</f>
        <v>0</v>
      </c>
      <c r="L204" s="5"/>
    </row>
    <row r="205" spans="1:12" customHeight="1" ht="105" outlineLevel="4">
      <c r="A205" s="1"/>
      <c r="B205" s="1">
        <v>820091</v>
      </c>
      <c r="C205" s="1" t="s">
        <v>791</v>
      </c>
      <c r="D205" s="1" t="s">
        <v>792</v>
      </c>
      <c r="E205" s="2" t="s">
        <v>793</v>
      </c>
      <c r="F205" s="2" t="s">
        <v>794</v>
      </c>
      <c r="G205" s="2">
        <v>0</v>
      </c>
      <c r="H205" s="2" t="s">
        <v>124</v>
      </c>
      <c r="I205" s="1">
        <v>0</v>
      </c>
      <c r="J205" s="3" t="s">
        <v>111</v>
      </c>
      <c r="K205" s="2" t="str">
        <f>J205*1194.00</f>
        <v>0</v>
      </c>
      <c r="L205" s="5"/>
    </row>
    <row r="206" spans="1:12" customHeight="1" ht="105" outlineLevel="4">
      <c r="A206" s="1"/>
      <c r="B206" s="1">
        <v>820092</v>
      </c>
      <c r="C206" s="1" t="s">
        <v>795</v>
      </c>
      <c r="D206" s="1" t="s">
        <v>796</v>
      </c>
      <c r="E206" s="2" t="s">
        <v>797</v>
      </c>
      <c r="F206" s="2" t="s">
        <v>184</v>
      </c>
      <c r="G206" s="2" t="s">
        <v>61</v>
      </c>
      <c r="H206" s="2" t="s">
        <v>67</v>
      </c>
      <c r="I206" s="1">
        <v>0</v>
      </c>
      <c r="J206" s="3" t="s">
        <v>111</v>
      </c>
      <c r="K206" s="2" t="str">
        <f>J206*339.00</f>
        <v>0</v>
      </c>
      <c r="L206" s="5"/>
    </row>
    <row r="207" spans="1:12" customHeight="1" ht="105" outlineLevel="4">
      <c r="A207" s="1"/>
      <c r="B207" s="1">
        <v>820093</v>
      </c>
      <c r="C207" s="1" t="s">
        <v>798</v>
      </c>
      <c r="D207" s="1" t="s">
        <v>799</v>
      </c>
      <c r="E207" s="2" t="s">
        <v>800</v>
      </c>
      <c r="F207" s="2" t="s">
        <v>677</v>
      </c>
      <c r="G207" s="2" t="s">
        <v>61</v>
      </c>
      <c r="H207" s="2" t="s">
        <v>61</v>
      </c>
      <c r="I207" s="1">
        <v>0</v>
      </c>
      <c r="J207" s="3" t="s">
        <v>111</v>
      </c>
      <c r="K207" s="2" t="str">
        <f>J207*917.00</f>
        <v>0</v>
      </c>
      <c r="L207" s="5"/>
    </row>
    <row r="208" spans="1:12" customHeight="1" ht="105" outlineLevel="4">
      <c r="A208" s="1"/>
      <c r="B208" s="1">
        <v>820094</v>
      </c>
      <c r="C208" s="1" t="s">
        <v>801</v>
      </c>
      <c r="D208" s="1" t="s">
        <v>802</v>
      </c>
      <c r="E208" s="2" t="s">
        <v>803</v>
      </c>
      <c r="F208" s="2" t="s">
        <v>804</v>
      </c>
      <c r="G208" s="2">
        <v>10</v>
      </c>
      <c r="H208" s="2" t="s">
        <v>47</v>
      </c>
      <c r="I208" s="1">
        <v>0</v>
      </c>
      <c r="J208" s="3" t="s">
        <v>111</v>
      </c>
      <c r="K208" s="2" t="str">
        <f>J208*297.00</f>
        <v>0</v>
      </c>
      <c r="L208" s="5"/>
    </row>
    <row r="209" spans="1:12" customHeight="1" ht="105" outlineLevel="4">
      <c r="A209" s="1"/>
      <c r="B209" s="1">
        <v>820095</v>
      </c>
      <c r="C209" s="1" t="s">
        <v>805</v>
      </c>
      <c r="D209" s="1" t="s">
        <v>806</v>
      </c>
      <c r="E209" s="2" t="s">
        <v>807</v>
      </c>
      <c r="F209" s="2" t="s">
        <v>808</v>
      </c>
      <c r="G209" s="2">
        <v>9</v>
      </c>
      <c r="H209" s="2" t="s">
        <v>47</v>
      </c>
      <c r="I209" s="1">
        <v>0</v>
      </c>
      <c r="J209" s="3" t="s">
        <v>111</v>
      </c>
      <c r="K209" s="2" t="str">
        <f>J209*537.00</f>
        <v>0</v>
      </c>
      <c r="L209" s="5"/>
    </row>
    <row r="210" spans="1:12" customHeight="1" ht="105" outlineLevel="4">
      <c r="A210" s="1"/>
      <c r="B210" s="1">
        <v>820096</v>
      </c>
      <c r="C210" s="1" t="s">
        <v>809</v>
      </c>
      <c r="D210" s="1" t="s">
        <v>810</v>
      </c>
      <c r="E210" s="2" t="s">
        <v>811</v>
      </c>
      <c r="F210" s="2" t="s">
        <v>812</v>
      </c>
      <c r="G210" s="2">
        <v>5</v>
      </c>
      <c r="H210" s="2" t="s">
        <v>124</v>
      </c>
      <c r="I210" s="1">
        <v>0</v>
      </c>
      <c r="J210" s="3" t="s">
        <v>111</v>
      </c>
      <c r="K210" s="2" t="str">
        <f>J210*584.00</f>
        <v>0</v>
      </c>
      <c r="L210" s="5"/>
    </row>
    <row r="211" spans="1:12" customHeight="1" ht="105" outlineLevel="4">
      <c r="A211" s="1"/>
      <c r="B211" s="1">
        <v>820097</v>
      </c>
      <c r="C211" s="1" t="s">
        <v>813</v>
      </c>
      <c r="D211" s="1" t="s">
        <v>814</v>
      </c>
      <c r="E211" s="2" t="s">
        <v>815</v>
      </c>
      <c r="F211" s="2" t="s">
        <v>816</v>
      </c>
      <c r="G211" s="2">
        <v>0</v>
      </c>
      <c r="H211" s="2" t="s">
        <v>124</v>
      </c>
      <c r="I211" s="1">
        <v>0</v>
      </c>
      <c r="J211" s="3" t="s">
        <v>111</v>
      </c>
      <c r="K211" s="2" t="str">
        <f>J211*261.00</f>
        <v>0</v>
      </c>
      <c r="L211" s="5"/>
    </row>
    <row r="212" spans="1:12" customHeight="1" ht="105" outlineLevel="4">
      <c r="A212" s="1"/>
      <c r="B212" s="1">
        <v>820098</v>
      </c>
      <c r="C212" s="1" t="s">
        <v>817</v>
      </c>
      <c r="D212" s="1" t="s">
        <v>818</v>
      </c>
      <c r="E212" s="2" t="s">
        <v>819</v>
      </c>
      <c r="F212" s="2" t="s">
        <v>239</v>
      </c>
      <c r="G212" s="2" t="s">
        <v>61</v>
      </c>
      <c r="H212" s="2" t="s">
        <v>47</v>
      </c>
      <c r="I212" s="1">
        <v>0</v>
      </c>
      <c r="J212" s="3" t="s">
        <v>111</v>
      </c>
      <c r="K212" s="2" t="str">
        <f>J212*333.00</f>
        <v>0</v>
      </c>
      <c r="L212" s="5"/>
    </row>
    <row r="213" spans="1:12" customHeight="1" ht="105" outlineLevel="4">
      <c r="A213" s="1"/>
      <c r="B213" s="1">
        <v>820099</v>
      </c>
      <c r="C213" s="1" t="s">
        <v>820</v>
      </c>
      <c r="D213" s="1" t="s">
        <v>821</v>
      </c>
      <c r="E213" s="2" t="s">
        <v>822</v>
      </c>
      <c r="F213" s="2" t="s">
        <v>345</v>
      </c>
      <c r="G213" s="2">
        <v>10</v>
      </c>
      <c r="H213" s="2" t="s">
        <v>47</v>
      </c>
      <c r="I213" s="1">
        <v>0</v>
      </c>
      <c r="J213" s="3" t="s">
        <v>111</v>
      </c>
      <c r="K213" s="2" t="str">
        <f>J213*503.00</f>
        <v>0</v>
      </c>
      <c r="L213" s="5"/>
    </row>
    <row r="214" spans="1:12" customHeight="1" ht="105" outlineLevel="4">
      <c r="A214" s="1"/>
      <c r="B214" s="1">
        <v>820100</v>
      </c>
      <c r="C214" s="1" t="s">
        <v>823</v>
      </c>
      <c r="D214" s="1" t="s">
        <v>824</v>
      </c>
      <c r="E214" s="2" t="s">
        <v>825</v>
      </c>
      <c r="F214" s="2" t="s">
        <v>826</v>
      </c>
      <c r="G214" s="2">
        <v>10</v>
      </c>
      <c r="H214" s="2" t="s">
        <v>47</v>
      </c>
      <c r="I214" s="1">
        <v>0</v>
      </c>
      <c r="J214" s="3" t="s">
        <v>111</v>
      </c>
      <c r="K214" s="2" t="str">
        <f>J214*563.00</f>
        <v>0</v>
      </c>
      <c r="L214" s="5"/>
    </row>
    <row r="215" spans="1:12" customHeight="1" ht="105" outlineLevel="4">
      <c r="A215" s="1"/>
      <c r="B215" s="1">
        <v>820101</v>
      </c>
      <c r="C215" s="1" t="s">
        <v>827</v>
      </c>
      <c r="D215" s="1" t="s">
        <v>828</v>
      </c>
      <c r="E215" s="2" t="s">
        <v>829</v>
      </c>
      <c r="F215" s="2" t="s">
        <v>830</v>
      </c>
      <c r="G215" s="2">
        <v>0</v>
      </c>
      <c r="H215" s="2" t="s">
        <v>47</v>
      </c>
      <c r="I215" s="1">
        <v>0</v>
      </c>
      <c r="J215" s="3" t="s">
        <v>111</v>
      </c>
      <c r="K215" s="2" t="str">
        <f>J215*10.00</f>
        <v>0</v>
      </c>
      <c r="L215" s="5"/>
    </row>
    <row r="216" spans="1:12" customHeight="1" ht="105" outlineLevel="4">
      <c r="A216" s="1"/>
      <c r="B216" s="1">
        <v>820102</v>
      </c>
      <c r="C216" s="1" t="s">
        <v>831</v>
      </c>
      <c r="D216" s="1" t="s">
        <v>832</v>
      </c>
      <c r="E216" s="2" t="s">
        <v>833</v>
      </c>
      <c r="F216" s="2" t="s">
        <v>834</v>
      </c>
      <c r="G216" s="2" t="s">
        <v>124</v>
      </c>
      <c r="H216" s="2" t="s">
        <v>62</v>
      </c>
      <c r="I216" s="1">
        <v>0</v>
      </c>
      <c r="J216" s="3" t="s">
        <v>111</v>
      </c>
      <c r="K216" s="2" t="str">
        <f>J216*13.00</f>
        <v>0</v>
      </c>
      <c r="L216" s="5"/>
    </row>
    <row r="217" spans="1:12" customHeight="1" ht="105" outlineLevel="4">
      <c r="A217" s="1"/>
      <c r="B217" s="1">
        <v>820103</v>
      </c>
      <c r="C217" s="1" t="s">
        <v>835</v>
      </c>
      <c r="D217" s="1" t="s">
        <v>836</v>
      </c>
      <c r="E217" s="2" t="s">
        <v>837</v>
      </c>
      <c r="F217" s="2" t="s">
        <v>838</v>
      </c>
      <c r="G217" s="2" t="s">
        <v>17</v>
      </c>
      <c r="H217" s="2" t="s">
        <v>67</v>
      </c>
      <c r="I217" s="1">
        <v>0</v>
      </c>
      <c r="J217" s="3" t="s">
        <v>111</v>
      </c>
      <c r="K217" s="2" t="str">
        <f>J217*24.00</f>
        <v>0</v>
      </c>
      <c r="L217" s="5"/>
    </row>
    <row r="218" spans="1:12" customHeight="1" ht="105" outlineLevel="4">
      <c r="A218" s="1"/>
      <c r="B218" s="1">
        <v>820104</v>
      </c>
      <c r="C218" s="1" t="s">
        <v>839</v>
      </c>
      <c r="D218" s="1" t="s">
        <v>840</v>
      </c>
      <c r="E218" s="2" t="s">
        <v>841</v>
      </c>
      <c r="F218" s="2" t="s">
        <v>842</v>
      </c>
      <c r="G218" s="2" t="s">
        <v>124</v>
      </c>
      <c r="H218" s="2" t="s">
        <v>47</v>
      </c>
      <c r="I218" s="1">
        <v>0</v>
      </c>
      <c r="J218" s="3" t="s">
        <v>111</v>
      </c>
      <c r="K218" s="2" t="str">
        <f>J218*31.00</f>
        <v>0</v>
      </c>
      <c r="L218" s="5"/>
    </row>
    <row r="219" spans="1:12" customHeight="1" ht="105" outlineLevel="4">
      <c r="A219" s="1"/>
      <c r="B219" s="1">
        <v>820105</v>
      </c>
      <c r="C219" s="1" t="s">
        <v>843</v>
      </c>
      <c r="D219" s="1" t="s">
        <v>844</v>
      </c>
      <c r="E219" s="2" t="s">
        <v>845</v>
      </c>
      <c r="F219" s="2" t="s">
        <v>846</v>
      </c>
      <c r="G219" s="2">
        <v>0</v>
      </c>
      <c r="H219" s="2" t="s">
        <v>47</v>
      </c>
      <c r="I219" s="1">
        <v>0</v>
      </c>
      <c r="J219" s="3" t="s">
        <v>111</v>
      </c>
      <c r="K219" s="2" t="str">
        <f>J219*41.00</f>
        <v>0</v>
      </c>
      <c r="L219" s="5"/>
    </row>
    <row r="220" spans="1:12" customHeight="1" ht="105" outlineLevel="4">
      <c r="A220" s="1"/>
      <c r="B220" s="1">
        <v>825529</v>
      </c>
      <c r="C220" s="1" t="s">
        <v>847</v>
      </c>
      <c r="D220" s="1" t="s">
        <v>848</v>
      </c>
      <c r="E220" s="2" t="s">
        <v>849</v>
      </c>
      <c r="F220" s="2" t="s">
        <v>605</v>
      </c>
      <c r="G220" s="2" t="s">
        <v>61</v>
      </c>
      <c r="H220" s="2" t="s">
        <v>47</v>
      </c>
      <c r="I220" s="1">
        <v>0</v>
      </c>
      <c r="J220" s="3" t="s">
        <v>111</v>
      </c>
      <c r="K220" s="2" t="str">
        <f>J220*348.00</f>
        <v>0</v>
      </c>
      <c r="L220" s="5"/>
    </row>
    <row r="221" spans="1:12" customHeight="1" ht="105" outlineLevel="4">
      <c r="A221" s="1"/>
      <c r="B221" s="1">
        <v>825530</v>
      </c>
      <c r="C221" s="1" t="s">
        <v>850</v>
      </c>
      <c r="D221" s="1" t="s">
        <v>851</v>
      </c>
      <c r="E221" s="2" t="s">
        <v>852</v>
      </c>
      <c r="F221" s="2" t="s">
        <v>750</v>
      </c>
      <c r="G221" s="2" t="s">
        <v>124</v>
      </c>
      <c r="H221" s="2" t="s">
        <v>47</v>
      </c>
      <c r="I221" s="1">
        <v>0</v>
      </c>
      <c r="J221" s="3" t="s">
        <v>111</v>
      </c>
      <c r="K221" s="2" t="str">
        <f>J221*425.00</f>
        <v>0</v>
      </c>
      <c r="L221" s="5"/>
    </row>
    <row r="222" spans="1:12" customHeight="1" ht="105" outlineLevel="4">
      <c r="A222" s="1"/>
      <c r="B222" s="1">
        <v>825531</v>
      </c>
      <c r="C222" s="1" t="s">
        <v>853</v>
      </c>
      <c r="D222" s="1" t="s">
        <v>854</v>
      </c>
      <c r="E222" s="2" t="s">
        <v>855</v>
      </c>
      <c r="F222" s="2" t="s">
        <v>434</v>
      </c>
      <c r="G222" s="2" t="s">
        <v>61</v>
      </c>
      <c r="H222" s="2" t="s">
        <v>47</v>
      </c>
      <c r="I222" s="1">
        <v>0</v>
      </c>
      <c r="J222" s="3" t="s">
        <v>111</v>
      </c>
      <c r="K222" s="2" t="str">
        <f>J222*451.00</f>
        <v>0</v>
      </c>
      <c r="L222" s="5"/>
    </row>
    <row r="223" spans="1:12" customHeight="1" ht="105" outlineLevel="4">
      <c r="A223" s="1"/>
      <c r="B223" s="1">
        <v>825532</v>
      </c>
      <c r="C223" s="1" t="s">
        <v>856</v>
      </c>
      <c r="D223" s="1" t="s">
        <v>857</v>
      </c>
      <c r="E223" s="2" t="s">
        <v>858</v>
      </c>
      <c r="F223" s="2" t="s">
        <v>859</v>
      </c>
      <c r="G223" s="2" t="s">
        <v>61</v>
      </c>
      <c r="H223" s="2" t="s">
        <v>47</v>
      </c>
      <c r="I223" s="1">
        <v>0</v>
      </c>
      <c r="J223" s="3" t="s">
        <v>111</v>
      </c>
      <c r="K223" s="2" t="str">
        <f>J223*437.00</f>
        <v>0</v>
      </c>
      <c r="L223" s="5"/>
    </row>
    <row r="224" spans="1:12" customHeight="1" ht="105" outlineLevel="4">
      <c r="A224" s="1"/>
      <c r="B224" s="1">
        <v>825533</v>
      </c>
      <c r="C224" s="1" t="s">
        <v>860</v>
      </c>
      <c r="D224" s="1" t="s">
        <v>861</v>
      </c>
      <c r="E224" s="2" t="s">
        <v>862</v>
      </c>
      <c r="F224" s="2" t="s">
        <v>863</v>
      </c>
      <c r="G224" s="2" t="s">
        <v>61</v>
      </c>
      <c r="H224" s="2" t="s">
        <v>47</v>
      </c>
      <c r="I224" s="1">
        <v>0</v>
      </c>
      <c r="J224" s="3" t="s">
        <v>111</v>
      </c>
      <c r="K224" s="2" t="str">
        <f>J224*539.00</f>
        <v>0</v>
      </c>
      <c r="L224" s="5"/>
    </row>
    <row r="225" spans="1:12" customHeight="1" ht="105" outlineLevel="4">
      <c r="A225" s="1"/>
      <c r="B225" s="1">
        <v>825534</v>
      </c>
      <c r="C225" s="1" t="s">
        <v>864</v>
      </c>
      <c r="D225" s="1" t="s">
        <v>865</v>
      </c>
      <c r="E225" s="2" t="s">
        <v>866</v>
      </c>
      <c r="F225" s="2" t="s">
        <v>458</v>
      </c>
      <c r="G225" s="2">
        <v>4</v>
      </c>
      <c r="H225" s="2" t="s">
        <v>47</v>
      </c>
      <c r="I225" s="1">
        <v>0</v>
      </c>
      <c r="J225" s="3" t="s">
        <v>111</v>
      </c>
      <c r="K225" s="2" t="str">
        <f>J225*604.00</f>
        <v>0</v>
      </c>
      <c r="L225" s="5"/>
    </row>
    <row r="226" spans="1:12" customHeight="1" ht="105" outlineLevel="4">
      <c r="A226" s="1"/>
      <c r="B226" s="1">
        <v>825535</v>
      </c>
      <c r="C226" s="1" t="s">
        <v>867</v>
      </c>
      <c r="D226" s="1" t="s">
        <v>868</v>
      </c>
      <c r="E226" s="2" t="s">
        <v>869</v>
      </c>
      <c r="F226" s="2" t="s">
        <v>870</v>
      </c>
      <c r="G226" s="2">
        <v>3</v>
      </c>
      <c r="H226" s="2" t="s">
        <v>47</v>
      </c>
      <c r="I226" s="1">
        <v>0</v>
      </c>
      <c r="J226" s="3" t="s">
        <v>111</v>
      </c>
      <c r="K226" s="2" t="str">
        <f>J226*806.00</f>
        <v>0</v>
      </c>
      <c r="L226" s="5"/>
    </row>
    <row r="227" spans="1:12" customHeight="1" ht="105" outlineLevel="4">
      <c r="A227" s="1"/>
      <c r="B227" s="1">
        <v>825536</v>
      </c>
      <c r="C227" s="1" t="s">
        <v>871</v>
      </c>
      <c r="D227" s="1" t="s">
        <v>872</v>
      </c>
      <c r="E227" s="2" t="s">
        <v>873</v>
      </c>
      <c r="F227" s="2" t="s">
        <v>874</v>
      </c>
      <c r="G227" s="2">
        <v>0</v>
      </c>
      <c r="H227" s="2" t="s">
        <v>17</v>
      </c>
      <c r="I227" s="1">
        <v>0</v>
      </c>
      <c r="J227" s="3" t="s">
        <v>111</v>
      </c>
      <c r="K227" s="2" t="str">
        <f>J227*1088.00</f>
        <v>0</v>
      </c>
      <c r="L227" s="5"/>
    </row>
    <row r="228" spans="1:12" customHeight="1" ht="105" outlineLevel="4">
      <c r="A228" s="1"/>
      <c r="B228" s="1">
        <v>825537</v>
      </c>
      <c r="C228" s="1" t="s">
        <v>875</v>
      </c>
      <c r="D228" s="1" t="s">
        <v>876</v>
      </c>
      <c r="E228" s="2" t="s">
        <v>877</v>
      </c>
      <c r="F228" s="2" t="s">
        <v>878</v>
      </c>
      <c r="G228" s="2">
        <v>0</v>
      </c>
      <c r="H228" s="2">
        <v>0</v>
      </c>
      <c r="I228" s="1">
        <v>0</v>
      </c>
      <c r="J228" s="3" t="s">
        <v>111</v>
      </c>
      <c r="K228" s="2" t="str">
        <f>J228*1279.00</f>
        <v>0</v>
      </c>
      <c r="L228" s="5"/>
    </row>
    <row r="229" spans="1:12" customHeight="1" ht="105" outlineLevel="4">
      <c r="A229" s="1"/>
      <c r="B229" s="1">
        <v>825538</v>
      </c>
      <c r="C229" s="1" t="s">
        <v>879</v>
      </c>
      <c r="D229" s="1" t="s">
        <v>880</v>
      </c>
      <c r="E229" s="2" t="s">
        <v>881</v>
      </c>
      <c r="F229" s="2" t="s">
        <v>882</v>
      </c>
      <c r="G229" s="2">
        <v>0</v>
      </c>
      <c r="H229" s="2">
        <v>0</v>
      </c>
      <c r="I229" s="1">
        <v>0</v>
      </c>
      <c r="J229" s="3" t="s">
        <v>111</v>
      </c>
      <c r="K229" s="2" t="str">
        <f>J229*2215.00</f>
        <v>0</v>
      </c>
      <c r="L229" s="5"/>
    </row>
    <row r="230" spans="1:12" customHeight="1" ht="105" outlineLevel="4">
      <c r="A230" s="1"/>
      <c r="B230" s="1">
        <v>825539</v>
      </c>
      <c r="C230" s="1" t="s">
        <v>883</v>
      </c>
      <c r="D230" s="1" t="s">
        <v>884</v>
      </c>
      <c r="E230" s="2" t="s">
        <v>885</v>
      </c>
      <c r="F230" s="2" t="s">
        <v>243</v>
      </c>
      <c r="G230" s="2" t="s">
        <v>61</v>
      </c>
      <c r="H230" s="2" t="s">
        <v>17</v>
      </c>
      <c r="I230" s="1">
        <v>0</v>
      </c>
      <c r="J230" s="3" t="s">
        <v>111</v>
      </c>
      <c r="K230" s="2" t="str">
        <f>J230*266.00</f>
        <v>0</v>
      </c>
      <c r="L230" s="5"/>
    </row>
    <row r="231" spans="1:12" customHeight="1" ht="105" outlineLevel="4">
      <c r="A231" s="1"/>
      <c r="B231" s="1">
        <v>825540</v>
      </c>
      <c r="C231" s="1" t="s">
        <v>886</v>
      </c>
      <c r="D231" s="1" t="s">
        <v>887</v>
      </c>
      <c r="E231" s="2" t="s">
        <v>888</v>
      </c>
      <c r="F231" s="2" t="s">
        <v>889</v>
      </c>
      <c r="G231" s="2" t="s">
        <v>61</v>
      </c>
      <c r="H231" s="2" t="s">
        <v>47</v>
      </c>
      <c r="I231" s="1">
        <v>0</v>
      </c>
      <c r="J231" s="3" t="s">
        <v>111</v>
      </c>
      <c r="K231" s="2" t="str">
        <f>J231*313.00</f>
        <v>0</v>
      </c>
      <c r="L231" s="5"/>
    </row>
    <row r="232" spans="1:12" customHeight="1" ht="105" outlineLevel="4">
      <c r="A232" s="1"/>
      <c r="B232" s="1">
        <v>825541</v>
      </c>
      <c r="C232" s="1" t="s">
        <v>890</v>
      </c>
      <c r="D232" s="1" t="s">
        <v>891</v>
      </c>
      <c r="E232" s="2" t="s">
        <v>892</v>
      </c>
      <c r="F232" s="2" t="s">
        <v>893</v>
      </c>
      <c r="G232" s="2">
        <v>10</v>
      </c>
      <c r="H232" s="2" t="s">
        <v>47</v>
      </c>
      <c r="I232" s="1">
        <v>0</v>
      </c>
      <c r="J232" s="3" t="s">
        <v>111</v>
      </c>
      <c r="K232" s="2" t="str">
        <f>J232*477.00</f>
        <v>0</v>
      </c>
      <c r="L232" s="5"/>
    </row>
    <row r="233" spans="1:12" customHeight="1" ht="105" outlineLevel="4">
      <c r="A233" s="1"/>
      <c r="B233" s="1">
        <v>825542</v>
      </c>
      <c r="C233" s="1" t="s">
        <v>894</v>
      </c>
      <c r="D233" s="1" t="s">
        <v>895</v>
      </c>
      <c r="E233" s="2" t="s">
        <v>896</v>
      </c>
      <c r="F233" s="2" t="s">
        <v>897</v>
      </c>
      <c r="G233" s="2" t="s">
        <v>61</v>
      </c>
      <c r="H233" s="2" t="s">
        <v>17</v>
      </c>
      <c r="I233" s="1">
        <v>0</v>
      </c>
      <c r="J233" s="3" t="s">
        <v>111</v>
      </c>
      <c r="K233" s="2" t="str">
        <f>J233*345.00</f>
        <v>0</v>
      </c>
      <c r="L233" s="5"/>
    </row>
    <row r="234" spans="1:12" customHeight="1" ht="105" outlineLevel="4">
      <c r="A234" s="1"/>
      <c r="B234" s="1">
        <v>825543</v>
      </c>
      <c r="C234" s="1" t="s">
        <v>898</v>
      </c>
      <c r="D234" s="1" t="s">
        <v>899</v>
      </c>
      <c r="E234" s="2" t="s">
        <v>900</v>
      </c>
      <c r="F234" s="2" t="s">
        <v>333</v>
      </c>
      <c r="G234" s="2">
        <v>8</v>
      </c>
      <c r="H234" s="2" t="s">
        <v>47</v>
      </c>
      <c r="I234" s="1">
        <v>0</v>
      </c>
      <c r="J234" s="3" t="s">
        <v>111</v>
      </c>
      <c r="K234" s="2" t="str">
        <f>J234*487.00</f>
        <v>0</v>
      </c>
      <c r="L234" s="5"/>
    </row>
    <row r="235" spans="1:12" customHeight="1" ht="105" outlineLevel="4">
      <c r="A235" s="1"/>
      <c r="B235" s="1">
        <v>825544</v>
      </c>
      <c r="C235" s="1" t="s">
        <v>901</v>
      </c>
      <c r="D235" s="1" t="s">
        <v>902</v>
      </c>
      <c r="E235" s="2" t="s">
        <v>903</v>
      </c>
      <c r="F235" s="2" t="s">
        <v>904</v>
      </c>
      <c r="G235" s="2">
        <v>8</v>
      </c>
      <c r="H235" s="2" t="s">
        <v>17</v>
      </c>
      <c r="I235" s="1">
        <v>0</v>
      </c>
      <c r="J235" s="3" t="s">
        <v>111</v>
      </c>
      <c r="K235" s="2" t="str">
        <f>J235*557.00</f>
        <v>0</v>
      </c>
      <c r="L235" s="5"/>
    </row>
    <row r="236" spans="1:12" customHeight="1" ht="105" outlineLevel="4">
      <c r="A236" s="1"/>
      <c r="B236" s="1">
        <v>825545</v>
      </c>
      <c r="C236" s="1" t="s">
        <v>905</v>
      </c>
      <c r="D236" s="1" t="s">
        <v>906</v>
      </c>
      <c r="E236" s="2" t="s">
        <v>907</v>
      </c>
      <c r="F236" s="2" t="s">
        <v>908</v>
      </c>
      <c r="G236" s="2">
        <v>5</v>
      </c>
      <c r="H236" s="2" t="s">
        <v>47</v>
      </c>
      <c r="I236" s="1">
        <v>0</v>
      </c>
      <c r="J236" s="3" t="s">
        <v>111</v>
      </c>
      <c r="K236" s="2" t="str">
        <f>J236*862.00</f>
        <v>0</v>
      </c>
      <c r="L236" s="5"/>
    </row>
    <row r="237" spans="1:12" customHeight="1" ht="105" outlineLevel="4">
      <c r="A237" s="1"/>
      <c r="B237" s="1">
        <v>825546</v>
      </c>
      <c r="C237" s="1" t="s">
        <v>909</v>
      </c>
      <c r="D237" s="1" t="s">
        <v>910</v>
      </c>
      <c r="E237" s="2" t="s">
        <v>911</v>
      </c>
      <c r="F237" s="2" t="s">
        <v>912</v>
      </c>
      <c r="G237" s="2">
        <v>0</v>
      </c>
      <c r="H237" s="2">
        <v>0</v>
      </c>
      <c r="I237" s="1">
        <v>0</v>
      </c>
      <c r="J237" s="3" t="s">
        <v>111</v>
      </c>
      <c r="K237" s="2" t="str">
        <f>J237*943.00</f>
        <v>0</v>
      </c>
      <c r="L237" s="5"/>
    </row>
    <row r="238" spans="1:12" customHeight="1" ht="105" outlineLevel="4">
      <c r="A238" s="1"/>
      <c r="B238" s="1">
        <v>825547</v>
      </c>
      <c r="C238" s="1" t="s">
        <v>913</v>
      </c>
      <c r="D238" s="1" t="s">
        <v>914</v>
      </c>
      <c r="E238" s="2" t="s">
        <v>915</v>
      </c>
      <c r="F238" s="2" t="s">
        <v>916</v>
      </c>
      <c r="G238" s="2">
        <v>0</v>
      </c>
      <c r="H238" s="2">
        <v>0</v>
      </c>
      <c r="I238" s="1">
        <v>0</v>
      </c>
      <c r="J238" s="3" t="s">
        <v>111</v>
      </c>
      <c r="K238" s="2" t="str">
        <f>J238*1288.00</f>
        <v>0</v>
      </c>
      <c r="L238" s="5"/>
    </row>
    <row r="239" spans="1:12" customHeight="1" ht="105" outlineLevel="4">
      <c r="A239" s="1"/>
      <c r="B239" s="1">
        <v>825548</v>
      </c>
      <c r="C239" s="1" t="s">
        <v>917</v>
      </c>
      <c r="D239" s="1" t="s">
        <v>918</v>
      </c>
      <c r="E239" s="2" t="s">
        <v>919</v>
      </c>
      <c r="F239" s="2" t="s">
        <v>920</v>
      </c>
      <c r="G239" s="2">
        <v>0</v>
      </c>
      <c r="H239" s="2">
        <v>0</v>
      </c>
      <c r="I239" s="1">
        <v>0</v>
      </c>
      <c r="J239" s="3" t="s">
        <v>111</v>
      </c>
      <c r="K239" s="2" t="str">
        <f>J239*1713.00</f>
        <v>0</v>
      </c>
      <c r="L239" s="5"/>
    </row>
    <row r="240" spans="1:12" customHeight="1" ht="105" outlineLevel="4">
      <c r="A240" s="1"/>
      <c r="B240" s="1">
        <v>832356</v>
      </c>
      <c r="C240" s="1" t="s">
        <v>921</v>
      </c>
      <c r="D240" s="1" t="s">
        <v>922</v>
      </c>
      <c r="E240" s="2" t="s">
        <v>923</v>
      </c>
      <c r="F240" s="2" t="s">
        <v>924</v>
      </c>
      <c r="G240" s="2" t="s">
        <v>61</v>
      </c>
      <c r="H240" s="2" t="s">
        <v>47</v>
      </c>
      <c r="I240" s="1">
        <v>0</v>
      </c>
      <c r="J240" s="3" t="s">
        <v>111</v>
      </c>
      <c r="K240" s="2" t="str">
        <f>J240*512.00</f>
        <v>0</v>
      </c>
      <c r="L240" s="5"/>
    </row>
    <row r="241" spans="1:12" customHeight="1" ht="105" outlineLevel="4">
      <c r="A241" s="1"/>
      <c r="B241" s="1">
        <v>832357</v>
      </c>
      <c r="C241" s="1" t="s">
        <v>925</v>
      </c>
      <c r="D241" s="1" t="s">
        <v>926</v>
      </c>
      <c r="E241" s="2" t="s">
        <v>927</v>
      </c>
      <c r="F241" s="2" t="s">
        <v>928</v>
      </c>
      <c r="G241" s="2" t="s">
        <v>61</v>
      </c>
      <c r="H241" s="2" t="s">
        <v>47</v>
      </c>
      <c r="I241" s="1">
        <v>0</v>
      </c>
      <c r="J241" s="3" t="s">
        <v>111</v>
      </c>
      <c r="K241" s="2" t="str">
        <f>J241*731.00</f>
        <v>0</v>
      </c>
      <c r="L241" s="5"/>
    </row>
    <row r="242" spans="1:12" customHeight="1" ht="105" outlineLevel="4">
      <c r="A242" s="1"/>
      <c r="B242" s="1">
        <v>836303</v>
      </c>
      <c r="C242" s="1" t="s">
        <v>929</v>
      </c>
      <c r="D242" s="1" t="s">
        <v>930</v>
      </c>
      <c r="E242" s="2" t="s">
        <v>931</v>
      </c>
      <c r="F242" s="2" t="s">
        <v>932</v>
      </c>
      <c r="G242" s="2" t="s">
        <v>61</v>
      </c>
      <c r="H242" s="2" t="s">
        <v>47</v>
      </c>
      <c r="I242" s="1">
        <v>0</v>
      </c>
      <c r="J242" s="3" t="s">
        <v>111</v>
      </c>
      <c r="K242" s="2" t="str">
        <f>J242*481.00</f>
        <v>0</v>
      </c>
      <c r="L242" s="5"/>
    </row>
    <row r="243" spans="1:12" customHeight="1" ht="105" outlineLevel="4">
      <c r="A243" s="1"/>
      <c r="B243" s="1">
        <v>836304</v>
      </c>
      <c r="C243" s="1" t="s">
        <v>933</v>
      </c>
      <c r="D243" s="1" t="s">
        <v>934</v>
      </c>
      <c r="E243" s="2" t="s">
        <v>935</v>
      </c>
      <c r="F243" s="2" t="s">
        <v>585</v>
      </c>
      <c r="G243" s="2">
        <v>8</v>
      </c>
      <c r="H243" s="2" t="s">
        <v>124</v>
      </c>
      <c r="I243" s="1">
        <v>0</v>
      </c>
      <c r="J243" s="3" t="s">
        <v>111</v>
      </c>
      <c r="K243" s="2" t="str">
        <f>J243*728.00</f>
        <v>0</v>
      </c>
      <c r="L243" s="5"/>
    </row>
    <row r="244" spans="1:12" customHeight="1" ht="105" outlineLevel="4">
      <c r="A244" s="1"/>
      <c r="B244" s="1">
        <v>836305</v>
      </c>
      <c r="C244" s="1" t="s">
        <v>936</v>
      </c>
      <c r="D244" s="1" t="s">
        <v>937</v>
      </c>
      <c r="E244" s="2" t="s">
        <v>938</v>
      </c>
      <c r="F244" s="2" t="s">
        <v>939</v>
      </c>
      <c r="G244" s="2">
        <v>4</v>
      </c>
      <c r="H244" s="2" t="s">
        <v>47</v>
      </c>
      <c r="I244" s="1">
        <v>0</v>
      </c>
      <c r="J244" s="3" t="s">
        <v>111</v>
      </c>
      <c r="K244" s="2" t="str">
        <f>J244*769.00</f>
        <v>0</v>
      </c>
      <c r="L244" s="5"/>
    </row>
    <row r="245" spans="1:12" customHeight="1" ht="105" outlineLevel="4">
      <c r="A245" s="1"/>
      <c r="B245" s="1">
        <v>836306</v>
      </c>
      <c r="C245" s="1" t="s">
        <v>940</v>
      </c>
      <c r="D245" s="1" t="s">
        <v>941</v>
      </c>
      <c r="E245" s="2" t="s">
        <v>942</v>
      </c>
      <c r="F245" s="2" t="s">
        <v>943</v>
      </c>
      <c r="G245" s="2">
        <v>0</v>
      </c>
      <c r="H245" s="2" t="s">
        <v>47</v>
      </c>
      <c r="I245" s="1">
        <v>0</v>
      </c>
      <c r="J245" s="3" t="s">
        <v>111</v>
      </c>
      <c r="K245" s="2" t="str">
        <f>J245*1216.00</f>
        <v>0</v>
      </c>
      <c r="L245" s="5"/>
    </row>
    <row r="246" spans="1:12" customHeight="1" ht="105" outlineLevel="4">
      <c r="A246" s="1"/>
      <c r="B246" s="1">
        <v>836307</v>
      </c>
      <c r="C246" s="1" t="s">
        <v>944</v>
      </c>
      <c r="D246" s="1" t="s">
        <v>945</v>
      </c>
      <c r="E246" s="2" t="s">
        <v>946</v>
      </c>
      <c r="F246" s="2" t="s">
        <v>947</v>
      </c>
      <c r="G246" s="2">
        <v>0</v>
      </c>
      <c r="H246" s="2" t="s">
        <v>17</v>
      </c>
      <c r="I246" s="1">
        <v>0</v>
      </c>
      <c r="J246" s="3" t="s">
        <v>111</v>
      </c>
      <c r="K246" s="2" t="str">
        <f>J246*1310.00</f>
        <v>0</v>
      </c>
      <c r="L246" s="5"/>
    </row>
    <row r="247" spans="1:12" customHeight="1" ht="105" outlineLevel="4">
      <c r="A247" s="1"/>
      <c r="B247" s="1">
        <v>836308</v>
      </c>
      <c r="C247" s="1" t="s">
        <v>948</v>
      </c>
      <c r="D247" s="1" t="s">
        <v>949</v>
      </c>
      <c r="E247" s="2" t="s">
        <v>950</v>
      </c>
      <c r="F247" s="2" t="s">
        <v>951</v>
      </c>
      <c r="G247" s="2">
        <v>0</v>
      </c>
      <c r="H247" s="2" t="s">
        <v>47</v>
      </c>
      <c r="I247" s="1">
        <v>0</v>
      </c>
      <c r="J247" s="3" t="s">
        <v>111</v>
      </c>
      <c r="K247" s="2" t="str">
        <f>J247*1491.00</f>
        <v>0</v>
      </c>
      <c r="L247" s="5"/>
    </row>
    <row r="248" spans="1:12" customHeight="1" ht="105" outlineLevel="4">
      <c r="A248" s="1"/>
      <c r="B248" s="1">
        <v>836309</v>
      </c>
      <c r="C248" s="1" t="s">
        <v>952</v>
      </c>
      <c r="D248" s="1" t="s">
        <v>953</v>
      </c>
      <c r="E248" s="2" t="s">
        <v>954</v>
      </c>
      <c r="F248" s="2" t="s">
        <v>955</v>
      </c>
      <c r="G248" s="2">
        <v>0</v>
      </c>
      <c r="H248" s="2" t="s">
        <v>47</v>
      </c>
      <c r="I248" s="1">
        <v>0</v>
      </c>
      <c r="J248" s="3" t="s">
        <v>111</v>
      </c>
      <c r="K248" s="2" t="str">
        <f>J248*1716.00</f>
        <v>0</v>
      </c>
      <c r="L248" s="5"/>
    </row>
    <row r="249" spans="1:12" customHeight="1" ht="105" outlineLevel="4">
      <c r="A249" s="1"/>
      <c r="B249" s="1">
        <v>836310</v>
      </c>
      <c r="C249" s="1" t="s">
        <v>956</v>
      </c>
      <c r="D249" s="1" t="s">
        <v>957</v>
      </c>
      <c r="E249" s="2" t="s">
        <v>958</v>
      </c>
      <c r="F249" s="2" t="s">
        <v>959</v>
      </c>
      <c r="G249" s="2">
        <v>0</v>
      </c>
      <c r="H249" s="2" t="s">
        <v>17</v>
      </c>
      <c r="I249" s="1">
        <v>0</v>
      </c>
      <c r="J249" s="3" t="s">
        <v>111</v>
      </c>
      <c r="K249" s="2" t="str">
        <f>J249*1902.00</f>
        <v>0</v>
      </c>
      <c r="L249" s="5"/>
    </row>
    <row r="250" spans="1:12" customHeight="1" ht="105" outlineLevel="4">
      <c r="A250" s="1"/>
      <c r="B250" s="1">
        <v>836311</v>
      </c>
      <c r="C250" s="1" t="s">
        <v>960</v>
      </c>
      <c r="D250" s="1" t="s">
        <v>961</v>
      </c>
      <c r="E250" s="2" t="s">
        <v>962</v>
      </c>
      <c r="F250" s="2" t="s">
        <v>963</v>
      </c>
      <c r="G250" s="2">
        <v>0</v>
      </c>
      <c r="H250" s="2" t="s">
        <v>47</v>
      </c>
      <c r="I250" s="1">
        <v>0</v>
      </c>
      <c r="J250" s="3" t="s">
        <v>111</v>
      </c>
      <c r="K250" s="2" t="str">
        <f>J250*1619.00</f>
        <v>0</v>
      </c>
      <c r="L250" s="5"/>
    </row>
    <row r="251" spans="1:12" customHeight="1" ht="105" outlineLevel="4">
      <c r="A251" s="1"/>
      <c r="B251" s="1">
        <v>836312</v>
      </c>
      <c r="C251" s="1" t="s">
        <v>964</v>
      </c>
      <c r="D251" s="1" t="s">
        <v>965</v>
      </c>
      <c r="E251" s="2" t="s">
        <v>966</v>
      </c>
      <c r="F251" s="2" t="s">
        <v>967</v>
      </c>
      <c r="G251" s="2">
        <v>0</v>
      </c>
      <c r="H251" s="2" t="s">
        <v>47</v>
      </c>
      <c r="I251" s="1">
        <v>0</v>
      </c>
      <c r="J251" s="3" t="s">
        <v>111</v>
      </c>
      <c r="K251" s="2" t="str">
        <f>J251*2440.00</f>
        <v>0</v>
      </c>
      <c r="L251" s="5"/>
    </row>
    <row r="252" spans="1:12" customHeight="1" ht="105" outlineLevel="4">
      <c r="A252" s="1"/>
      <c r="B252" s="1">
        <v>836313</v>
      </c>
      <c r="C252" s="1" t="s">
        <v>968</v>
      </c>
      <c r="D252" s="1" t="s">
        <v>969</v>
      </c>
      <c r="E252" s="2" t="s">
        <v>970</v>
      </c>
      <c r="F252" s="2" t="s">
        <v>971</v>
      </c>
      <c r="G252" s="2">
        <v>0</v>
      </c>
      <c r="H252" s="2" t="s">
        <v>47</v>
      </c>
      <c r="I252" s="1">
        <v>0</v>
      </c>
      <c r="J252" s="3" t="s">
        <v>111</v>
      </c>
      <c r="K252" s="2" t="str">
        <f>J252*1816.00</f>
        <v>0</v>
      </c>
      <c r="L252" s="5"/>
    </row>
    <row r="253" spans="1:12" customHeight="1" ht="105" outlineLevel="4">
      <c r="A253" s="1"/>
      <c r="B253" s="1">
        <v>836314</v>
      </c>
      <c r="C253" s="1" t="s">
        <v>972</v>
      </c>
      <c r="D253" s="1" t="s">
        <v>973</v>
      </c>
      <c r="E253" s="2" t="s">
        <v>974</v>
      </c>
      <c r="F253" s="2" t="s">
        <v>975</v>
      </c>
      <c r="G253" s="2">
        <v>0</v>
      </c>
      <c r="H253" s="2" t="s">
        <v>47</v>
      </c>
      <c r="I253" s="1">
        <v>0</v>
      </c>
      <c r="J253" s="3" t="s">
        <v>111</v>
      </c>
      <c r="K253" s="2" t="str">
        <f>J253*2062.00</f>
        <v>0</v>
      </c>
      <c r="L253" s="5"/>
    </row>
    <row r="254" spans="1:12" customHeight="1" ht="105" outlineLevel="4">
      <c r="A254" s="1"/>
      <c r="B254" s="1">
        <v>836315</v>
      </c>
      <c r="C254" s="1" t="s">
        <v>976</v>
      </c>
      <c r="D254" s="1" t="s">
        <v>977</v>
      </c>
      <c r="E254" s="2" t="s">
        <v>978</v>
      </c>
      <c r="F254" s="2" t="s">
        <v>979</v>
      </c>
      <c r="G254" s="2">
        <v>5</v>
      </c>
      <c r="H254" s="2" t="s">
        <v>47</v>
      </c>
      <c r="I254" s="1">
        <v>0</v>
      </c>
      <c r="J254" s="3" t="s">
        <v>111</v>
      </c>
      <c r="K254" s="2" t="str">
        <f>J254*940.00</f>
        <v>0</v>
      </c>
      <c r="L254" s="5"/>
    </row>
    <row r="255" spans="1:12" customHeight="1" ht="105" outlineLevel="4">
      <c r="A255" s="1"/>
      <c r="B255" s="1">
        <v>836316</v>
      </c>
      <c r="C255" s="1" t="s">
        <v>980</v>
      </c>
      <c r="D255" s="1" t="s">
        <v>981</v>
      </c>
      <c r="E255" s="2" t="s">
        <v>982</v>
      </c>
      <c r="F255" s="2" t="s">
        <v>983</v>
      </c>
      <c r="G255" s="2">
        <v>5</v>
      </c>
      <c r="H255" s="2" t="s">
        <v>47</v>
      </c>
      <c r="I255" s="1">
        <v>0</v>
      </c>
      <c r="J255" s="3" t="s">
        <v>111</v>
      </c>
      <c r="K255" s="2" t="str">
        <f>J255*895.00</f>
        <v>0</v>
      </c>
      <c r="L255" s="5"/>
    </row>
    <row r="256" spans="1:12" customHeight="1" ht="105" outlineLevel="4">
      <c r="A256" s="1"/>
      <c r="B256" s="1">
        <v>836317</v>
      </c>
      <c r="C256" s="1" t="s">
        <v>984</v>
      </c>
      <c r="D256" s="1" t="s">
        <v>985</v>
      </c>
      <c r="E256" s="2" t="s">
        <v>986</v>
      </c>
      <c r="F256" s="2" t="s">
        <v>987</v>
      </c>
      <c r="G256" s="2">
        <v>5</v>
      </c>
      <c r="H256" s="2" t="s">
        <v>47</v>
      </c>
      <c r="I256" s="1">
        <v>0</v>
      </c>
      <c r="J256" s="3" t="s">
        <v>111</v>
      </c>
      <c r="K256" s="2" t="str">
        <f>J256*876.00</f>
        <v>0</v>
      </c>
      <c r="L256" s="5"/>
    </row>
    <row r="257" spans="1:12" customHeight="1" ht="105" outlineLevel="4">
      <c r="A257" s="1"/>
      <c r="B257" s="1">
        <v>836318</v>
      </c>
      <c r="C257" s="1" t="s">
        <v>988</v>
      </c>
      <c r="D257" s="1" t="s">
        <v>792</v>
      </c>
      <c r="E257" s="2" t="s">
        <v>793</v>
      </c>
      <c r="F257" s="2" t="s">
        <v>794</v>
      </c>
      <c r="G257" s="2">
        <v>0</v>
      </c>
      <c r="H257" s="2">
        <v>0</v>
      </c>
      <c r="I257" s="1">
        <v>0</v>
      </c>
      <c r="J257" s="3" t="s">
        <v>111</v>
      </c>
      <c r="K257" s="2" t="str">
        <f>J257*1194.00</f>
        <v>0</v>
      </c>
      <c r="L257" s="5"/>
    </row>
    <row r="258" spans="1:12" customHeight="1" ht="105" outlineLevel="4">
      <c r="A258" s="1"/>
      <c r="B258" s="1">
        <v>832358</v>
      </c>
      <c r="C258" s="1" t="s">
        <v>989</v>
      </c>
      <c r="D258" s="1" t="s">
        <v>990</v>
      </c>
      <c r="E258" s="2" t="s">
        <v>991</v>
      </c>
      <c r="F258" s="2" t="s">
        <v>992</v>
      </c>
      <c r="G258" s="2" t="s">
        <v>61</v>
      </c>
      <c r="H258" s="2" t="s">
        <v>47</v>
      </c>
      <c r="I258" s="1">
        <v>0</v>
      </c>
      <c r="J258" s="3" t="s">
        <v>111</v>
      </c>
      <c r="K258" s="2" t="str">
        <f>J258*188.00</f>
        <v>0</v>
      </c>
      <c r="L258" s="5"/>
    </row>
    <row r="259" spans="1:12" customHeight="1" ht="105" outlineLevel="4">
      <c r="A259" s="1"/>
      <c r="B259" s="1">
        <v>832359</v>
      </c>
      <c r="C259" s="1" t="s">
        <v>993</v>
      </c>
      <c r="D259" s="1" t="s">
        <v>994</v>
      </c>
      <c r="E259" s="2" t="s">
        <v>995</v>
      </c>
      <c r="F259" s="2" t="s">
        <v>996</v>
      </c>
      <c r="G259" s="2" t="s">
        <v>61</v>
      </c>
      <c r="H259" s="2" t="s">
        <v>124</v>
      </c>
      <c r="I259" s="1">
        <v>0</v>
      </c>
      <c r="J259" s="3" t="s">
        <v>111</v>
      </c>
      <c r="K259" s="2" t="str">
        <f>J259*212.00</f>
        <v>0</v>
      </c>
      <c r="L259" s="5"/>
    </row>
    <row r="260" spans="1:12" customHeight="1" ht="105" outlineLevel="4">
      <c r="A260" s="1"/>
      <c r="B260" s="1">
        <v>832360</v>
      </c>
      <c r="C260" s="1" t="s">
        <v>997</v>
      </c>
      <c r="D260" s="1" t="s">
        <v>998</v>
      </c>
      <c r="E260" s="2" t="s">
        <v>999</v>
      </c>
      <c r="F260" s="2" t="s">
        <v>227</v>
      </c>
      <c r="G260" s="2" t="s">
        <v>61</v>
      </c>
      <c r="H260" s="2" t="s">
        <v>47</v>
      </c>
      <c r="I260" s="1">
        <v>0</v>
      </c>
      <c r="J260" s="3" t="s">
        <v>111</v>
      </c>
      <c r="K260" s="2" t="str">
        <f>J260*282.00</f>
        <v>0</v>
      </c>
      <c r="L260" s="5"/>
    </row>
    <row r="261" spans="1:12" customHeight="1" ht="105" outlineLevel="4">
      <c r="A261" s="1"/>
      <c r="B261" s="1">
        <v>832361</v>
      </c>
      <c r="C261" s="1" t="s">
        <v>1000</v>
      </c>
      <c r="D261" s="1" t="s">
        <v>1001</v>
      </c>
      <c r="E261" s="2" t="s">
        <v>1002</v>
      </c>
      <c r="F261" s="2" t="s">
        <v>1003</v>
      </c>
      <c r="G261" s="2">
        <v>7</v>
      </c>
      <c r="H261" s="2" t="s">
        <v>47</v>
      </c>
      <c r="I261" s="1">
        <v>0</v>
      </c>
      <c r="J261" s="3" t="s">
        <v>111</v>
      </c>
      <c r="K261" s="2" t="str">
        <f>J261*365.00</f>
        <v>0</v>
      </c>
      <c r="L261" s="5"/>
    </row>
    <row r="262" spans="1:12" customHeight="1" ht="105" outlineLevel="4">
      <c r="A262" s="1"/>
      <c r="B262" s="1">
        <v>832362</v>
      </c>
      <c r="C262" s="1" t="s">
        <v>1004</v>
      </c>
      <c r="D262" s="1" t="s">
        <v>1005</v>
      </c>
      <c r="E262" s="2" t="s">
        <v>1006</v>
      </c>
      <c r="F262" s="2" t="s">
        <v>863</v>
      </c>
      <c r="G262" s="2">
        <v>-4</v>
      </c>
      <c r="H262" s="2" t="s">
        <v>61</v>
      </c>
      <c r="I262" s="1">
        <v>0</v>
      </c>
      <c r="J262" s="3" t="s">
        <v>111</v>
      </c>
      <c r="K262" s="2" t="str">
        <f>J262*539.00</f>
        <v>0</v>
      </c>
      <c r="L262" s="5"/>
    </row>
    <row r="263" spans="1:12" customHeight="1" ht="105" outlineLevel="4">
      <c r="A263" s="1"/>
      <c r="B263" s="1">
        <v>832363</v>
      </c>
      <c r="C263" s="1" t="s">
        <v>1007</v>
      </c>
      <c r="D263" s="1" t="s">
        <v>1008</v>
      </c>
      <c r="E263" s="2" t="s">
        <v>1009</v>
      </c>
      <c r="F263" s="2" t="s">
        <v>1010</v>
      </c>
      <c r="G263" s="2">
        <v>0</v>
      </c>
      <c r="H263" s="2" t="s">
        <v>61</v>
      </c>
      <c r="I263" s="1">
        <v>0</v>
      </c>
      <c r="J263" s="3" t="s">
        <v>111</v>
      </c>
      <c r="K263" s="2" t="str">
        <f>J263*540.00</f>
        <v>0</v>
      </c>
      <c r="L263" s="5"/>
    </row>
    <row r="264" spans="1:12" customHeight="1" ht="105" outlineLevel="4">
      <c r="A264" s="1"/>
      <c r="B264" s="1">
        <v>832364</v>
      </c>
      <c r="C264" s="1" t="s">
        <v>1011</v>
      </c>
      <c r="D264" s="1" t="s">
        <v>1012</v>
      </c>
      <c r="E264" s="2" t="s">
        <v>1013</v>
      </c>
      <c r="F264" s="2" t="s">
        <v>1014</v>
      </c>
      <c r="G264" s="2">
        <v>0</v>
      </c>
      <c r="H264" s="2" t="s">
        <v>61</v>
      </c>
      <c r="I264" s="1">
        <v>0</v>
      </c>
      <c r="J264" s="3" t="s">
        <v>111</v>
      </c>
      <c r="K264" s="2" t="str">
        <f>J264*690.00</f>
        <v>0</v>
      </c>
      <c r="L264" s="5"/>
    </row>
    <row r="265" spans="1:12" customHeight="1" ht="105" outlineLevel="4">
      <c r="A265" s="1"/>
      <c r="B265" s="1">
        <v>834781</v>
      </c>
      <c r="C265" s="1" t="s">
        <v>1015</v>
      </c>
      <c r="D265" s="1" t="s">
        <v>1016</v>
      </c>
      <c r="E265" s="2" t="s">
        <v>1017</v>
      </c>
      <c r="F265" s="2" t="s">
        <v>1018</v>
      </c>
      <c r="G265" s="2">
        <v>5</v>
      </c>
      <c r="H265" s="2" t="s">
        <v>47</v>
      </c>
      <c r="I265" s="1">
        <v>0</v>
      </c>
      <c r="J265" s="3" t="s">
        <v>111</v>
      </c>
      <c r="K265" s="2" t="str">
        <f>J265*667.00</f>
        <v>0</v>
      </c>
      <c r="L265" s="5"/>
    </row>
    <row r="266" spans="1:12" customHeight="1" ht="105" outlineLevel="4">
      <c r="A266" s="1"/>
      <c r="B266" s="1">
        <v>834782</v>
      </c>
      <c r="C266" s="1" t="s">
        <v>1019</v>
      </c>
      <c r="D266" s="1" t="s">
        <v>1020</v>
      </c>
      <c r="E266" s="2" t="s">
        <v>1021</v>
      </c>
      <c r="F266" s="2" t="s">
        <v>1022</v>
      </c>
      <c r="G266" s="2">
        <v>7</v>
      </c>
      <c r="H266" s="2" t="s">
        <v>124</v>
      </c>
      <c r="I266" s="1">
        <v>0</v>
      </c>
      <c r="J266" s="3" t="s">
        <v>111</v>
      </c>
      <c r="K266" s="2" t="str">
        <f>J266*640.00</f>
        <v>0</v>
      </c>
      <c r="L266" s="5"/>
    </row>
    <row r="267" spans="1:12" customHeight="1" ht="105" outlineLevel="4">
      <c r="A267" s="1"/>
      <c r="B267" s="1">
        <v>834783</v>
      </c>
      <c r="C267" s="1" t="s">
        <v>1023</v>
      </c>
      <c r="D267" s="1" t="s">
        <v>1024</v>
      </c>
      <c r="E267" s="2" t="s">
        <v>1025</v>
      </c>
      <c r="F267" s="2" t="s">
        <v>1026</v>
      </c>
      <c r="G267" s="2">
        <v>7</v>
      </c>
      <c r="H267" s="2" t="s">
        <v>47</v>
      </c>
      <c r="I267" s="1">
        <v>0</v>
      </c>
      <c r="J267" s="3" t="s">
        <v>111</v>
      </c>
      <c r="K267" s="2" t="str">
        <f>J267*444.00</f>
        <v>0</v>
      </c>
      <c r="L267" s="5"/>
    </row>
    <row r="268" spans="1:12" customHeight="1" ht="105" outlineLevel="4">
      <c r="A268" s="1"/>
      <c r="B268" s="1">
        <v>834784</v>
      </c>
      <c r="C268" s="1" t="s">
        <v>1027</v>
      </c>
      <c r="D268" s="1" t="s">
        <v>1028</v>
      </c>
      <c r="E268" s="2" t="s">
        <v>1029</v>
      </c>
      <c r="F268" s="2" t="s">
        <v>1030</v>
      </c>
      <c r="G268" s="2">
        <v>5</v>
      </c>
      <c r="H268" s="2" t="s">
        <v>47</v>
      </c>
      <c r="I268" s="1">
        <v>0</v>
      </c>
      <c r="J268" s="3" t="s">
        <v>111</v>
      </c>
      <c r="K268" s="2" t="str">
        <f>J268*650.00</f>
        <v>0</v>
      </c>
      <c r="L268" s="5"/>
    </row>
    <row r="269" spans="1:12" customHeight="1" ht="105" outlineLevel="4">
      <c r="A269" s="1"/>
      <c r="B269" s="1">
        <v>834785</v>
      </c>
      <c r="C269" s="1" t="s">
        <v>1031</v>
      </c>
      <c r="D269" s="1" t="s">
        <v>1032</v>
      </c>
      <c r="E269" s="2" t="s">
        <v>1033</v>
      </c>
      <c r="F269" s="2" t="s">
        <v>661</v>
      </c>
      <c r="G269" s="2">
        <v>8</v>
      </c>
      <c r="H269" s="2" t="s">
        <v>47</v>
      </c>
      <c r="I269" s="1">
        <v>0</v>
      </c>
      <c r="J269" s="3" t="s">
        <v>111</v>
      </c>
      <c r="K269" s="2" t="str">
        <f>J269*705.00</f>
        <v>0</v>
      </c>
      <c r="L269" s="5"/>
    </row>
    <row r="270" spans="1:12" customHeight="1" ht="105" outlineLevel="4">
      <c r="A270" s="1"/>
      <c r="B270" s="1">
        <v>834786</v>
      </c>
      <c r="C270" s="1" t="s">
        <v>1034</v>
      </c>
      <c r="D270" s="1" t="s">
        <v>1035</v>
      </c>
      <c r="E270" s="2" t="s">
        <v>1036</v>
      </c>
      <c r="F270" s="2" t="s">
        <v>1037</v>
      </c>
      <c r="G270" s="2">
        <v>0</v>
      </c>
      <c r="H270" s="2" t="s">
        <v>47</v>
      </c>
      <c r="I270" s="1">
        <v>0</v>
      </c>
      <c r="J270" s="3" t="s">
        <v>111</v>
      </c>
      <c r="K270" s="2" t="str">
        <f>J270*1462.00</f>
        <v>0</v>
      </c>
      <c r="L270" s="5"/>
    </row>
    <row r="271" spans="1:12" customHeight="1" ht="105" outlineLevel="4">
      <c r="A271" s="1"/>
      <c r="B271" s="1">
        <v>834787</v>
      </c>
      <c r="C271" s="1" t="s">
        <v>1038</v>
      </c>
      <c r="D271" s="1" t="s">
        <v>1039</v>
      </c>
      <c r="E271" s="2" t="s">
        <v>1040</v>
      </c>
      <c r="F271" s="2" t="s">
        <v>1041</v>
      </c>
      <c r="G271" s="2">
        <v>0</v>
      </c>
      <c r="H271" s="2" t="s">
        <v>47</v>
      </c>
      <c r="I271" s="1">
        <v>0</v>
      </c>
      <c r="J271" s="3" t="s">
        <v>111</v>
      </c>
      <c r="K271" s="2" t="str">
        <f>J271*1782.00</f>
        <v>0</v>
      </c>
      <c r="L271" s="5"/>
    </row>
    <row r="272" spans="1:12" customHeight="1" ht="105" outlineLevel="4">
      <c r="A272" s="1"/>
      <c r="B272" s="1">
        <v>834788</v>
      </c>
      <c r="C272" s="1" t="s">
        <v>1042</v>
      </c>
      <c r="D272" s="1" t="s">
        <v>1043</v>
      </c>
      <c r="E272" s="2" t="s">
        <v>1044</v>
      </c>
      <c r="F272" s="2" t="s">
        <v>1045</v>
      </c>
      <c r="G272" s="2" t="s">
        <v>61</v>
      </c>
      <c r="H272" s="2" t="s">
        <v>47</v>
      </c>
      <c r="I272" s="1">
        <v>0</v>
      </c>
      <c r="J272" s="3" t="s">
        <v>111</v>
      </c>
      <c r="K272" s="2" t="str">
        <f>J272*1055.00</f>
        <v>0</v>
      </c>
      <c r="L272" s="5"/>
    </row>
    <row r="273" spans="1:12" customHeight="1" ht="105" outlineLevel="4">
      <c r="A273" s="1"/>
      <c r="B273" s="1">
        <v>834789</v>
      </c>
      <c r="C273" s="1" t="s">
        <v>1046</v>
      </c>
      <c r="D273" s="1" t="s">
        <v>1047</v>
      </c>
      <c r="E273" s="2" t="s">
        <v>1048</v>
      </c>
      <c r="F273" s="2" t="s">
        <v>349</v>
      </c>
      <c r="G273" s="2">
        <v>6</v>
      </c>
      <c r="H273" s="2" t="s">
        <v>47</v>
      </c>
      <c r="I273" s="1">
        <v>0</v>
      </c>
      <c r="J273" s="3" t="s">
        <v>111</v>
      </c>
      <c r="K273" s="2" t="str">
        <f>J273*740.00</f>
        <v>0</v>
      </c>
      <c r="L273" s="5"/>
    </row>
    <row r="274" spans="1:12" customHeight="1" ht="105" outlineLevel="4">
      <c r="A274" s="1"/>
      <c r="B274" s="1">
        <v>834790</v>
      </c>
      <c r="C274" s="1" t="s">
        <v>1049</v>
      </c>
      <c r="D274" s="1" t="s">
        <v>1050</v>
      </c>
      <c r="E274" s="2" t="s">
        <v>1051</v>
      </c>
      <c r="F274" s="2" t="s">
        <v>1052</v>
      </c>
      <c r="G274" s="2" t="s">
        <v>124</v>
      </c>
      <c r="H274" s="2" t="s">
        <v>47</v>
      </c>
      <c r="I274" s="1">
        <v>0</v>
      </c>
      <c r="J274" s="3" t="s">
        <v>111</v>
      </c>
      <c r="K274" s="2" t="str">
        <f>J274*21.00</f>
        <v>0</v>
      </c>
      <c r="L274" s="5"/>
    </row>
    <row r="275" spans="1:12" customHeight="1" ht="105" outlineLevel="4">
      <c r="A275" s="1"/>
      <c r="B275" s="1">
        <v>834791</v>
      </c>
      <c r="C275" s="1" t="s">
        <v>1053</v>
      </c>
      <c r="D275" s="1" t="s">
        <v>1054</v>
      </c>
      <c r="E275" s="2" t="s">
        <v>1055</v>
      </c>
      <c r="F275" s="2" t="s">
        <v>1056</v>
      </c>
      <c r="G275" s="2">
        <v>0</v>
      </c>
      <c r="H275" s="2" t="s">
        <v>17</v>
      </c>
      <c r="I275" s="1">
        <v>0</v>
      </c>
      <c r="J275" s="3" t="s">
        <v>111</v>
      </c>
      <c r="K275" s="2" t="str">
        <f>J275*49.00</f>
        <v>0</v>
      </c>
      <c r="L275" s="5"/>
    </row>
    <row r="276" spans="1:12" customHeight="1" ht="105" outlineLevel="4">
      <c r="A276" s="1"/>
      <c r="B276" s="1">
        <v>834792</v>
      </c>
      <c r="C276" s="1" t="s">
        <v>1057</v>
      </c>
      <c r="D276" s="1" t="s">
        <v>1058</v>
      </c>
      <c r="E276" s="2" t="s">
        <v>1059</v>
      </c>
      <c r="F276" s="2" t="s">
        <v>1060</v>
      </c>
      <c r="G276" s="2">
        <v>0</v>
      </c>
      <c r="H276" s="2" t="s">
        <v>47</v>
      </c>
      <c r="I276" s="1">
        <v>0</v>
      </c>
      <c r="J276" s="3" t="s">
        <v>111</v>
      </c>
      <c r="K276" s="2" t="str">
        <f>J276*56.00</f>
        <v>0</v>
      </c>
      <c r="L276" s="5"/>
    </row>
    <row r="277" spans="1:12" outlineLevel="2">
      <c r="A277" s="8" t="s">
        <v>1061</v>
      </c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5"/>
    </row>
    <row r="278" spans="1:12" customHeight="1" ht="105" outlineLevel="4">
      <c r="A278" s="1"/>
      <c r="B278" s="1">
        <v>819909</v>
      </c>
      <c r="C278" s="1" t="s">
        <v>1062</v>
      </c>
      <c r="D278" s="1" t="s">
        <v>1063</v>
      </c>
      <c r="E278" s="2" t="s">
        <v>1064</v>
      </c>
      <c r="F278" s="2" t="s">
        <v>1065</v>
      </c>
      <c r="G278" s="2" t="s">
        <v>17</v>
      </c>
      <c r="H278" s="2">
        <v>0</v>
      </c>
      <c r="I278" s="1">
        <v>0</v>
      </c>
      <c r="J278" s="3" t="s">
        <v>111</v>
      </c>
      <c r="K278" s="2" t="str">
        <f>J278*185.94</f>
        <v>0</v>
      </c>
      <c r="L278" s="5"/>
    </row>
    <row r="279" spans="1:12" customHeight="1" ht="105" outlineLevel="4">
      <c r="A279" s="1"/>
      <c r="B279" s="1">
        <v>819910</v>
      </c>
      <c r="C279" s="1" t="s">
        <v>1066</v>
      </c>
      <c r="D279" s="1" t="s">
        <v>1067</v>
      </c>
      <c r="E279" s="2" t="s">
        <v>1068</v>
      </c>
      <c r="F279" s="2" t="s">
        <v>1069</v>
      </c>
      <c r="G279" s="2">
        <v>0</v>
      </c>
      <c r="H279" s="2">
        <v>0</v>
      </c>
      <c r="I279" s="1">
        <v>0</v>
      </c>
      <c r="J279" s="3" t="s">
        <v>111</v>
      </c>
      <c r="K279" s="2" t="str">
        <f>J279*297.50</f>
        <v>0</v>
      </c>
      <c r="L279" s="5"/>
    </row>
    <row r="280" spans="1:12" customHeight="1" ht="105" outlineLevel="4">
      <c r="A280" s="1"/>
      <c r="B280" s="1">
        <v>819911</v>
      </c>
      <c r="C280" s="1" t="s">
        <v>1070</v>
      </c>
      <c r="D280" s="1" t="s">
        <v>1071</v>
      </c>
      <c r="E280" s="2" t="s">
        <v>1072</v>
      </c>
      <c r="F280" s="2" t="s">
        <v>1069</v>
      </c>
      <c r="G280" s="2">
        <v>0</v>
      </c>
      <c r="H280" s="2">
        <v>0</v>
      </c>
      <c r="I280" s="1">
        <v>0</v>
      </c>
      <c r="J280" s="3" t="s">
        <v>111</v>
      </c>
      <c r="K280" s="2" t="str">
        <f>J280*297.50</f>
        <v>0</v>
      </c>
      <c r="L280" s="5"/>
    </row>
    <row r="281" spans="1:12" customHeight="1" ht="105" outlineLevel="4">
      <c r="A281" s="1"/>
      <c r="B281" s="1">
        <v>819912</v>
      </c>
      <c r="C281" s="1" t="s">
        <v>1073</v>
      </c>
      <c r="D281" s="1" t="s">
        <v>1074</v>
      </c>
      <c r="E281" s="2" t="s">
        <v>1075</v>
      </c>
      <c r="F281" s="2" t="s">
        <v>1076</v>
      </c>
      <c r="G281" s="2">
        <v>0</v>
      </c>
      <c r="H281" s="2">
        <v>0</v>
      </c>
      <c r="I281" s="1">
        <v>0</v>
      </c>
      <c r="J281" s="3" t="s">
        <v>111</v>
      </c>
      <c r="K281" s="2" t="str">
        <f>J281*455.18</f>
        <v>0</v>
      </c>
      <c r="L281" s="5"/>
    </row>
    <row r="282" spans="1:12" customHeight="1" ht="105" outlineLevel="4">
      <c r="A282" s="1"/>
      <c r="B282" s="1">
        <v>819913</v>
      </c>
      <c r="C282" s="1" t="s">
        <v>1077</v>
      </c>
      <c r="D282" s="1" t="s">
        <v>1078</v>
      </c>
      <c r="E282" s="2" t="s">
        <v>1079</v>
      </c>
      <c r="F282" s="2" t="s">
        <v>1080</v>
      </c>
      <c r="G282" s="2">
        <v>0</v>
      </c>
      <c r="H282" s="2">
        <v>0</v>
      </c>
      <c r="I282" s="1">
        <v>0</v>
      </c>
      <c r="J282" s="3" t="s">
        <v>111</v>
      </c>
      <c r="K282" s="2" t="str">
        <f>J282*212.71</f>
        <v>0</v>
      </c>
      <c r="L282" s="5"/>
    </row>
    <row r="283" spans="1:12" customHeight="1" ht="105" outlineLevel="4">
      <c r="A283" s="1"/>
      <c r="B283" s="1">
        <v>819914</v>
      </c>
      <c r="C283" s="1" t="s">
        <v>1081</v>
      </c>
      <c r="D283" s="1" t="s">
        <v>1082</v>
      </c>
      <c r="E283" s="2" t="s">
        <v>1083</v>
      </c>
      <c r="F283" s="2" t="s">
        <v>1084</v>
      </c>
      <c r="G283" s="2">
        <v>0</v>
      </c>
      <c r="H283" s="2">
        <v>0</v>
      </c>
      <c r="I283" s="1">
        <v>0</v>
      </c>
      <c r="J283" s="3" t="s">
        <v>111</v>
      </c>
      <c r="K283" s="2" t="str">
        <f>J283*342.13</f>
        <v>0</v>
      </c>
      <c r="L283" s="5"/>
    </row>
    <row r="284" spans="1:12" customHeight="1" ht="105" outlineLevel="4">
      <c r="A284" s="1"/>
      <c r="B284" s="1">
        <v>819915</v>
      </c>
      <c r="C284" s="1" t="s">
        <v>1085</v>
      </c>
      <c r="D284" s="1" t="s">
        <v>1086</v>
      </c>
      <c r="E284" s="2" t="s">
        <v>1087</v>
      </c>
      <c r="F284" s="2" t="s">
        <v>1088</v>
      </c>
      <c r="G284" s="2">
        <v>0</v>
      </c>
      <c r="H284" s="2">
        <v>0</v>
      </c>
      <c r="I284" s="1">
        <v>0</v>
      </c>
      <c r="J284" s="3" t="s">
        <v>111</v>
      </c>
      <c r="K284" s="2" t="str">
        <f>J284*334.69</f>
        <v>0</v>
      </c>
      <c r="L284" s="5"/>
    </row>
    <row r="285" spans="1:12" customHeight="1" ht="105" outlineLevel="4">
      <c r="A285" s="1"/>
      <c r="B285" s="1">
        <v>819916</v>
      </c>
      <c r="C285" s="1" t="s">
        <v>1089</v>
      </c>
      <c r="D285" s="1" t="s">
        <v>1090</v>
      </c>
      <c r="E285" s="2" t="s">
        <v>1091</v>
      </c>
      <c r="F285" s="2" t="s">
        <v>1092</v>
      </c>
      <c r="G285" s="2">
        <v>0</v>
      </c>
      <c r="H285" s="2">
        <v>0</v>
      </c>
      <c r="I285" s="1">
        <v>0</v>
      </c>
      <c r="J285" s="3" t="s">
        <v>111</v>
      </c>
      <c r="K285" s="2" t="str">
        <f>J285*478.98</f>
        <v>0</v>
      </c>
      <c r="L285" s="5"/>
    </row>
    <row r="286" spans="1:12" customHeight="1" ht="105" outlineLevel="4">
      <c r="A286" s="1"/>
      <c r="B286" s="1">
        <v>823146</v>
      </c>
      <c r="C286" s="1" t="s">
        <v>1093</v>
      </c>
      <c r="D286" s="1" t="s">
        <v>1094</v>
      </c>
      <c r="E286" s="2" t="s">
        <v>1095</v>
      </c>
      <c r="F286" s="2" t="s">
        <v>1096</v>
      </c>
      <c r="G286" s="2" t="s">
        <v>61</v>
      </c>
      <c r="H286" s="2">
        <v>0</v>
      </c>
      <c r="I286" s="1">
        <v>0</v>
      </c>
      <c r="J286" s="3" t="s">
        <v>111</v>
      </c>
      <c r="K286" s="2" t="str">
        <f>J286*287.09</f>
        <v>0</v>
      </c>
      <c r="L286" s="5"/>
    </row>
    <row r="287" spans="1:12" customHeight="1" ht="105" outlineLevel="4">
      <c r="A287" s="1"/>
      <c r="B287" s="1">
        <v>823147</v>
      </c>
      <c r="C287" s="1" t="s">
        <v>1097</v>
      </c>
      <c r="D287" s="1" t="s">
        <v>1098</v>
      </c>
      <c r="E287" s="2" t="s">
        <v>1099</v>
      </c>
      <c r="F287" s="2" t="s">
        <v>1100</v>
      </c>
      <c r="G287" s="2" t="s">
        <v>61</v>
      </c>
      <c r="H287" s="2">
        <v>0</v>
      </c>
      <c r="I287" s="1">
        <v>0</v>
      </c>
      <c r="J287" s="3" t="s">
        <v>111</v>
      </c>
      <c r="K287" s="2" t="str">
        <f>J287*737.80</f>
        <v>0</v>
      </c>
      <c r="L287" s="5"/>
    </row>
    <row r="288" spans="1:12" customHeight="1" ht="105" outlineLevel="4">
      <c r="A288" s="1"/>
      <c r="B288" s="1">
        <v>823148</v>
      </c>
      <c r="C288" s="1" t="s">
        <v>1101</v>
      </c>
      <c r="D288" s="1" t="s">
        <v>1102</v>
      </c>
      <c r="E288" s="2" t="s">
        <v>1103</v>
      </c>
      <c r="F288" s="2" t="s">
        <v>1069</v>
      </c>
      <c r="G288" s="2">
        <v>5</v>
      </c>
      <c r="H288" s="2">
        <v>0</v>
      </c>
      <c r="I288" s="1">
        <v>0</v>
      </c>
      <c r="J288" s="3" t="s">
        <v>111</v>
      </c>
      <c r="K288" s="2" t="str">
        <f>J288*297.50</f>
        <v>0</v>
      </c>
      <c r="L288" s="5"/>
    </row>
    <row r="289" spans="1:12" customHeight="1" ht="105" outlineLevel="4">
      <c r="A289" s="1"/>
      <c r="B289" s="1">
        <v>823149</v>
      </c>
      <c r="C289" s="1" t="s">
        <v>1104</v>
      </c>
      <c r="D289" s="1" t="s">
        <v>1105</v>
      </c>
      <c r="E289" s="2" t="s">
        <v>1106</v>
      </c>
      <c r="F289" s="2" t="s">
        <v>1107</v>
      </c>
      <c r="G289" s="2">
        <v>0</v>
      </c>
      <c r="H289" s="2">
        <v>0</v>
      </c>
      <c r="I289" s="1">
        <v>0</v>
      </c>
      <c r="J289" s="3" t="s">
        <v>111</v>
      </c>
      <c r="K289" s="2" t="str">
        <f>J289*688.71</f>
        <v>0</v>
      </c>
      <c r="L289" s="5"/>
    </row>
    <row r="290" spans="1:12" customHeight="1" ht="105" outlineLevel="4">
      <c r="A290" s="1"/>
      <c r="B290" s="1">
        <v>823150</v>
      </c>
      <c r="C290" s="1" t="s">
        <v>1108</v>
      </c>
      <c r="D290" s="1" t="s">
        <v>1109</v>
      </c>
      <c r="E290" s="2" t="s">
        <v>1110</v>
      </c>
      <c r="F290" s="2" t="s">
        <v>1111</v>
      </c>
      <c r="G290" s="2" t="s">
        <v>61</v>
      </c>
      <c r="H290" s="2">
        <v>0</v>
      </c>
      <c r="I290" s="1">
        <v>0</v>
      </c>
      <c r="J290" s="3" t="s">
        <v>111</v>
      </c>
      <c r="K290" s="2" t="str">
        <f>J290*279.65</f>
        <v>0</v>
      </c>
      <c r="L290" s="5"/>
    </row>
    <row r="291" spans="1:12" customHeight="1" ht="105" outlineLevel="4">
      <c r="A291" s="1"/>
      <c r="B291" s="1">
        <v>823151</v>
      </c>
      <c r="C291" s="1" t="s">
        <v>1112</v>
      </c>
      <c r="D291" s="1" t="s">
        <v>1113</v>
      </c>
      <c r="E291" s="2" t="s">
        <v>1114</v>
      </c>
      <c r="F291" s="2" t="s">
        <v>1115</v>
      </c>
      <c r="G291" s="2">
        <v>10</v>
      </c>
      <c r="H291" s="2">
        <v>0</v>
      </c>
      <c r="I291" s="1">
        <v>0</v>
      </c>
      <c r="J291" s="3" t="s">
        <v>111</v>
      </c>
      <c r="K291" s="2" t="str">
        <f>J291*449.23</f>
        <v>0</v>
      </c>
      <c r="L291" s="5"/>
    </row>
    <row r="292" spans="1:12" customHeight="1" ht="105" outlineLevel="4">
      <c r="A292" s="1"/>
      <c r="B292" s="1">
        <v>823152</v>
      </c>
      <c r="C292" s="1" t="s">
        <v>1116</v>
      </c>
      <c r="D292" s="1" t="s">
        <v>1117</v>
      </c>
      <c r="E292" s="2" t="s">
        <v>1118</v>
      </c>
      <c r="F292" s="2" t="s">
        <v>1119</v>
      </c>
      <c r="G292" s="2">
        <v>0</v>
      </c>
      <c r="H292" s="2">
        <v>0</v>
      </c>
      <c r="I292" s="1">
        <v>0</v>
      </c>
      <c r="J292" s="3" t="s">
        <v>111</v>
      </c>
      <c r="K292" s="2" t="str">
        <f>J292*648.55</f>
        <v>0</v>
      </c>
      <c r="L292" s="5"/>
    </row>
    <row r="293" spans="1:12" customHeight="1" ht="105" outlineLevel="4">
      <c r="A293" s="1"/>
      <c r="B293" s="1">
        <v>823153</v>
      </c>
      <c r="C293" s="1" t="s">
        <v>1120</v>
      </c>
      <c r="D293" s="1" t="s">
        <v>1121</v>
      </c>
      <c r="E293" s="2" t="s">
        <v>1122</v>
      </c>
      <c r="F293" s="2" t="s">
        <v>1123</v>
      </c>
      <c r="G293" s="2">
        <v>7</v>
      </c>
      <c r="H293" s="2">
        <v>0</v>
      </c>
      <c r="I293" s="1">
        <v>0</v>
      </c>
      <c r="J293" s="3" t="s">
        <v>111</v>
      </c>
      <c r="K293" s="2" t="str">
        <f>J293*998.11</f>
        <v>0</v>
      </c>
      <c r="L293" s="5"/>
    </row>
    <row r="294" spans="1:12" customHeight="1" ht="105" outlineLevel="4">
      <c r="A294" s="1"/>
      <c r="B294" s="1">
        <v>823154</v>
      </c>
      <c r="C294" s="1" t="s">
        <v>1124</v>
      </c>
      <c r="D294" s="1" t="s">
        <v>1125</v>
      </c>
      <c r="E294" s="2" t="s">
        <v>1126</v>
      </c>
      <c r="F294" s="2" t="s">
        <v>1127</v>
      </c>
      <c r="G294" s="2" t="s">
        <v>124</v>
      </c>
      <c r="H294" s="2">
        <v>0</v>
      </c>
      <c r="I294" s="1">
        <v>0</v>
      </c>
      <c r="J294" s="3" t="s">
        <v>111</v>
      </c>
      <c r="K294" s="2" t="str">
        <f>J294*397.16</f>
        <v>0</v>
      </c>
      <c r="L294" s="5"/>
    </row>
    <row r="295" spans="1:12" customHeight="1" ht="105" outlineLevel="4">
      <c r="A295" s="1"/>
      <c r="B295" s="1">
        <v>823155</v>
      </c>
      <c r="C295" s="1" t="s">
        <v>1128</v>
      </c>
      <c r="D295" s="1" t="s">
        <v>1129</v>
      </c>
      <c r="E295" s="2" t="s">
        <v>1130</v>
      </c>
      <c r="F295" s="2" t="s">
        <v>1131</v>
      </c>
      <c r="G295" s="2">
        <v>9</v>
      </c>
      <c r="H295" s="2">
        <v>0</v>
      </c>
      <c r="I295" s="1">
        <v>0</v>
      </c>
      <c r="J295" s="3" t="s">
        <v>111</v>
      </c>
      <c r="K295" s="2" t="str">
        <f>J295*522.11</f>
        <v>0</v>
      </c>
      <c r="L295" s="5"/>
    </row>
    <row r="296" spans="1:12" customHeight="1" ht="105" outlineLevel="4">
      <c r="A296" s="1"/>
      <c r="B296" s="1">
        <v>823156</v>
      </c>
      <c r="C296" s="1" t="s">
        <v>1132</v>
      </c>
      <c r="D296" s="1" t="s">
        <v>1133</v>
      </c>
      <c r="E296" s="2" t="s">
        <v>1134</v>
      </c>
      <c r="F296" s="2" t="s">
        <v>1135</v>
      </c>
      <c r="G296" s="2">
        <v>5</v>
      </c>
      <c r="H296" s="2">
        <v>0</v>
      </c>
      <c r="I296" s="1">
        <v>0</v>
      </c>
      <c r="J296" s="3" t="s">
        <v>111</v>
      </c>
      <c r="K296" s="2" t="str">
        <f>J296*578.64</f>
        <v>0</v>
      </c>
      <c r="L296" s="5"/>
    </row>
    <row r="297" spans="1:12" customHeight="1" ht="105" outlineLevel="4">
      <c r="A297" s="1"/>
      <c r="B297" s="1">
        <v>823157</v>
      </c>
      <c r="C297" s="1" t="s">
        <v>1136</v>
      </c>
      <c r="D297" s="1" t="s">
        <v>1137</v>
      </c>
      <c r="E297" s="2" t="s">
        <v>1138</v>
      </c>
      <c r="F297" s="2" t="s">
        <v>1139</v>
      </c>
      <c r="G297" s="2" t="s">
        <v>61</v>
      </c>
      <c r="H297" s="2">
        <v>0</v>
      </c>
      <c r="I297" s="1">
        <v>0</v>
      </c>
      <c r="J297" s="3" t="s">
        <v>111</v>
      </c>
      <c r="K297" s="2" t="str">
        <f>J297*355.51</f>
        <v>0</v>
      </c>
      <c r="L297" s="5"/>
    </row>
    <row r="298" spans="1:12" customHeight="1" ht="105" outlineLevel="4">
      <c r="A298" s="1"/>
      <c r="B298" s="1">
        <v>823158</v>
      </c>
      <c r="C298" s="1" t="s">
        <v>1140</v>
      </c>
      <c r="D298" s="1" t="s">
        <v>1141</v>
      </c>
      <c r="E298" s="2" t="s">
        <v>1142</v>
      </c>
      <c r="F298" s="2" t="s">
        <v>1143</v>
      </c>
      <c r="G298" s="2">
        <v>4</v>
      </c>
      <c r="H298" s="2">
        <v>0</v>
      </c>
      <c r="I298" s="1">
        <v>0</v>
      </c>
      <c r="J298" s="3" t="s">
        <v>111</v>
      </c>
      <c r="K298" s="2" t="str">
        <f>J298*516.16</f>
        <v>0</v>
      </c>
      <c r="L298" s="5"/>
    </row>
    <row r="299" spans="1:12" customHeight="1" ht="105" outlineLevel="4">
      <c r="A299" s="1"/>
      <c r="B299" s="1">
        <v>823159</v>
      </c>
      <c r="C299" s="1" t="s">
        <v>1144</v>
      </c>
      <c r="D299" s="1" t="s">
        <v>1145</v>
      </c>
      <c r="E299" s="2" t="s">
        <v>1146</v>
      </c>
      <c r="F299" s="2" t="s">
        <v>1147</v>
      </c>
      <c r="G299" s="2" t="s">
        <v>61</v>
      </c>
      <c r="H299" s="2">
        <v>0</v>
      </c>
      <c r="I299" s="1">
        <v>0</v>
      </c>
      <c r="J299" s="3" t="s">
        <v>111</v>
      </c>
      <c r="K299" s="2" t="str">
        <f>J299*263.29</f>
        <v>0</v>
      </c>
      <c r="L299" s="5"/>
    </row>
    <row r="300" spans="1:12" customHeight="1" ht="105" outlineLevel="4">
      <c r="A300" s="1"/>
      <c r="B300" s="1">
        <v>823160</v>
      </c>
      <c r="C300" s="1" t="s">
        <v>1148</v>
      </c>
      <c r="D300" s="1" t="s">
        <v>1149</v>
      </c>
      <c r="E300" s="2" t="s">
        <v>1150</v>
      </c>
      <c r="F300" s="2" t="s">
        <v>1151</v>
      </c>
      <c r="G300" s="2" t="s">
        <v>61</v>
      </c>
      <c r="H300" s="2">
        <v>0</v>
      </c>
      <c r="I300" s="1">
        <v>0</v>
      </c>
      <c r="J300" s="3" t="s">
        <v>111</v>
      </c>
      <c r="K300" s="2" t="str">
        <f>J300*420.96</f>
        <v>0</v>
      </c>
      <c r="L300" s="5"/>
    </row>
    <row r="301" spans="1:12" customHeight="1" ht="105" outlineLevel="4">
      <c r="A301" s="1"/>
      <c r="B301" s="1">
        <v>823161</v>
      </c>
      <c r="C301" s="1" t="s">
        <v>1152</v>
      </c>
      <c r="D301" s="1" t="s">
        <v>1153</v>
      </c>
      <c r="E301" s="2" t="s">
        <v>1154</v>
      </c>
      <c r="F301" s="2" t="s">
        <v>1155</v>
      </c>
      <c r="G301" s="2" t="s">
        <v>61</v>
      </c>
      <c r="H301" s="2">
        <v>0</v>
      </c>
      <c r="I301" s="1">
        <v>0</v>
      </c>
      <c r="J301" s="3" t="s">
        <v>111</v>
      </c>
      <c r="K301" s="2" t="str">
        <f>J301*693.18</f>
        <v>0</v>
      </c>
      <c r="L301" s="5"/>
    </row>
    <row r="302" spans="1:12" customHeight="1" ht="105" outlineLevel="4">
      <c r="A302" s="1"/>
      <c r="B302" s="1">
        <v>823162</v>
      </c>
      <c r="C302" s="1" t="s">
        <v>1156</v>
      </c>
      <c r="D302" s="1" t="s">
        <v>1157</v>
      </c>
      <c r="E302" s="2" t="s">
        <v>1158</v>
      </c>
      <c r="F302" s="2" t="s">
        <v>1159</v>
      </c>
      <c r="G302" s="2">
        <v>7</v>
      </c>
      <c r="H302" s="2">
        <v>0</v>
      </c>
      <c r="I302" s="1">
        <v>0</v>
      </c>
      <c r="J302" s="3" t="s">
        <v>111</v>
      </c>
      <c r="K302" s="2" t="str">
        <f>J302*431.38</f>
        <v>0</v>
      </c>
      <c r="L302" s="5"/>
    </row>
    <row r="303" spans="1:12" customHeight="1" ht="105" outlineLevel="4">
      <c r="A303" s="1"/>
      <c r="B303" s="1">
        <v>823163</v>
      </c>
      <c r="C303" s="1" t="s">
        <v>1160</v>
      </c>
      <c r="D303" s="1" t="s">
        <v>1161</v>
      </c>
      <c r="E303" s="2" t="s">
        <v>1162</v>
      </c>
      <c r="F303" s="2" t="s">
        <v>1163</v>
      </c>
      <c r="G303" s="2" t="s">
        <v>61</v>
      </c>
      <c r="H303" s="2">
        <v>0</v>
      </c>
      <c r="I303" s="1">
        <v>0</v>
      </c>
      <c r="J303" s="3" t="s">
        <v>111</v>
      </c>
      <c r="K303" s="2" t="str">
        <f>J303*404.60</f>
        <v>0</v>
      </c>
      <c r="L303" s="5"/>
    </row>
    <row r="304" spans="1:12" customHeight="1" ht="105" outlineLevel="4">
      <c r="A304" s="1"/>
      <c r="B304" s="1">
        <v>823164</v>
      </c>
      <c r="C304" s="1" t="s">
        <v>1164</v>
      </c>
      <c r="D304" s="1" t="s">
        <v>1165</v>
      </c>
      <c r="E304" s="2" t="s">
        <v>1166</v>
      </c>
      <c r="F304" s="2" t="s">
        <v>1167</v>
      </c>
      <c r="G304" s="2">
        <v>0</v>
      </c>
      <c r="H304" s="2">
        <v>0</v>
      </c>
      <c r="I304" s="1">
        <v>0</v>
      </c>
      <c r="J304" s="3" t="s">
        <v>111</v>
      </c>
      <c r="K304" s="2" t="str">
        <f>J304*611.36</f>
        <v>0</v>
      </c>
      <c r="L304" s="5"/>
    </row>
    <row r="305" spans="1:12" customHeight="1" ht="105" outlineLevel="4">
      <c r="A305" s="1"/>
      <c r="B305" s="1">
        <v>823165</v>
      </c>
      <c r="C305" s="1" t="s">
        <v>1168</v>
      </c>
      <c r="D305" s="1" t="s">
        <v>1169</v>
      </c>
      <c r="E305" s="2" t="s">
        <v>1170</v>
      </c>
      <c r="F305" s="2" t="s">
        <v>1171</v>
      </c>
      <c r="G305" s="2">
        <v>1</v>
      </c>
      <c r="H305" s="2">
        <v>0</v>
      </c>
      <c r="I305" s="1">
        <v>0</v>
      </c>
      <c r="J305" s="3" t="s">
        <v>111</v>
      </c>
      <c r="K305" s="2" t="str">
        <f>J305*1029.35</f>
        <v>0</v>
      </c>
      <c r="L305" s="5"/>
    </row>
    <row r="306" spans="1:12" customHeight="1" ht="105" outlineLevel="4">
      <c r="A306" s="1"/>
      <c r="B306" s="1">
        <v>823166</v>
      </c>
      <c r="C306" s="1" t="s">
        <v>1172</v>
      </c>
      <c r="D306" s="1" t="s">
        <v>1173</v>
      </c>
      <c r="E306" s="2" t="s">
        <v>1174</v>
      </c>
      <c r="F306" s="2" t="s">
        <v>1175</v>
      </c>
      <c r="G306" s="2">
        <v>8</v>
      </c>
      <c r="H306" s="2">
        <v>0</v>
      </c>
      <c r="I306" s="1">
        <v>0</v>
      </c>
      <c r="J306" s="3" t="s">
        <v>111</v>
      </c>
      <c r="K306" s="2" t="str">
        <f>J306*1512.79</f>
        <v>0</v>
      </c>
      <c r="L306" s="5"/>
    </row>
    <row r="307" spans="1:12" customHeight="1" ht="105" outlineLevel="4">
      <c r="A307" s="1"/>
      <c r="B307" s="1">
        <v>823167</v>
      </c>
      <c r="C307" s="1" t="s">
        <v>1176</v>
      </c>
      <c r="D307" s="1" t="s">
        <v>1177</v>
      </c>
      <c r="E307" s="2" t="s">
        <v>1178</v>
      </c>
      <c r="F307" s="2" t="s">
        <v>1179</v>
      </c>
      <c r="G307" s="2" t="s">
        <v>61</v>
      </c>
      <c r="H307" s="2">
        <v>0</v>
      </c>
      <c r="I307" s="1">
        <v>0</v>
      </c>
      <c r="J307" s="3" t="s">
        <v>111</v>
      </c>
      <c r="K307" s="2" t="str">
        <f>J307*620.29</f>
        <v>0</v>
      </c>
      <c r="L307" s="5"/>
    </row>
    <row r="308" spans="1:12" customHeight="1" ht="105" outlineLevel="4">
      <c r="A308" s="1"/>
      <c r="B308" s="1">
        <v>823168</v>
      </c>
      <c r="C308" s="1" t="s">
        <v>1180</v>
      </c>
      <c r="D308" s="1" t="s">
        <v>1181</v>
      </c>
      <c r="E308" s="2" t="s">
        <v>1182</v>
      </c>
      <c r="F308" s="2" t="s">
        <v>1183</v>
      </c>
      <c r="G308" s="2">
        <v>6</v>
      </c>
      <c r="H308" s="2">
        <v>0</v>
      </c>
      <c r="I308" s="1">
        <v>0</v>
      </c>
      <c r="J308" s="3" t="s">
        <v>111</v>
      </c>
      <c r="K308" s="2" t="str">
        <f>J308*990.68</f>
        <v>0</v>
      </c>
      <c r="L308" s="5"/>
    </row>
    <row r="309" spans="1:12" customHeight="1" ht="105" outlineLevel="4">
      <c r="A309" s="1"/>
      <c r="B309" s="1">
        <v>823169</v>
      </c>
      <c r="C309" s="1" t="s">
        <v>1184</v>
      </c>
      <c r="D309" s="1" t="s">
        <v>1185</v>
      </c>
      <c r="E309" s="2" t="s">
        <v>1186</v>
      </c>
      <c r="F309" s="2" t="s">
        <v>1187</v>
      </c>
      <c r="G309" s="2">
        <v>8</v>
      </c>
      <c r="H309" s="2">
        <v>0</v>
      </c>
      <c r="I309" s="1">
        <v>0</v>
      </c>
      <c r="J309" s="3" t="s">
        <v>111</v>
      </c>
      <c r="K309" s="2" t="str">
        <f>J309*1065.05</f>
        <v>0</v>
      </c>
      <c r="L309" s="5"/>
    </row>
    <row r="310" spans="1:12" customHeight="1" ht="105" outlineLevel="4">
      <c r="A310" s="1"/>
      <c r="B310" s="1">
        <v>823170</v>
      </c>
      <c r="C310" s="1" t="s">
        <v>1188</v>
      </c>
      <c r="D310" s="1" t="s">
        <v>1189</v>
      </c>
      <c r="E310" s="2" t="s">
        <v>1190</v>
      </c>
      <c r="F310" s="2" t="s">
        <v>1191</v>
      </c>
      <c r="G310" s="2" t="s">
        <v>61</v>
      </c>
      <c r="H310" s="2">
        <v>0</v>
      </c>
      <c r="I310" s="1">
        <v>0</v>
      </c>
      <c r="J310" s="3" t="s">
        <v>111</v>
      </c>
      <c r="K310" s="2" t="str">
        <f>J310*462.61</f>
        <v>0</v>
      </c>
      <c r="L310" s="5"/>
    </row>
    <row r="311" spans="1:12" customHeight="1" ht="105" outlineLevel="4">
      <c r="A311" s="1"/>
      <c r="B311" s="1">
        <v>823171</v>
      </c>
      <c r="C311" s="1" t="s">
        <v>1192</v>
      </c>
      <c r="D311" s="1" t="s">
        <v>1193</v>
      </c>
      <c r="E311" s="2" t="s">
        <v>1194</v>
      </c>
      <c r="F311" s="2" t="s">
        <v>1195</v>
      </c>
      <c r="G311" s="2" t="s">
        <v>61</v>
      </c>
      <c r="H311" s="2">
        <v>0</v>
      </c>
      <c r="I311" s="1">
        <v>0</v>
      </c>
      <c r="J311" s="3" t="s">
        <v>111</v>
      </c>
      <c r="K311" s="2" t="str">
        <f>J311*777.96</f>
        <v>0</v>
      </c>
      <c r="L311" s="5"/>
    </row>
    <row r="312" spans="1:12" customHeight="1" ht="105" outlineLevel="4">
      <c r="A312" s="1"/>
      <c r="B312" s="1">
        <v>823172</v>
      </c>
      <c r="C312" s="1" t="s">
        <v>1196</v>
      </c>
      <c r="D312" s="1" t="s">
        <v>1197</v>
      </c>
      <c r="E312" s="2" t="s">
        <v>1198</v>
      </c>
      <c r="F312" s="2" t="s">
        <v>1199</v>
      </c>
      <c r="G312" s="2">
        <v>9</v>
      </c>
      <c r="H312" s="2">
        <v>0</v>
      </c>
      <c r="I312" s="1">
        <v>0</v>
      </c>
      <c r="J312" s="3" t="s">
        <v>111</v>
      </c>
      <c r="K312" s="2" t="str">
        <f>J312*1188.51</f>
        <v>0</v>
      </c>
      <c r="L312" s="5"/>
    </row>
    <row r="313" spans="1:12" customHeight="1" ht="105" outlineLevel="4">
      <c r="A313" s="1"/>
      <c r="B313" s="1">
        <v>823173</v>
      </c>
      <c r="C313" s="1" t="s">
        <v>1200</v>
      </c>
      <c r="D313" s="1" t="s">
        <v>1201</v>
      </c>
      <c r="E313" s="2" t="s">
        <v>1202</v>
      </c>
      <c r="F313" s="2" t="s">
        <v>1203</v>
      </c>
      <c r="G313" s="2">
        <v>0</v>
      </c>
      <c r="H313" s="2">
        <v>0</v>
      </c>
      <c r="I313" s="1">
        <v>0</v>
      </c>
      <c r="J313" s="3" t="s">
        <v>111</v>
      </c>
      <c r="K313" s="2" t="str">
        <f>J313*679.79</f>
        <v>0</v>
      </c>
      <c r="L313" s="5"/>
    </row>
    <row r="314" spans="1:12" outlineLevel="2">
      <c r="A314" s="8" t="s">
        <v>1204</v>
      </c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5"/>
    </row>
    <row r="315" spans="1:12" customHeight="1" ht="105" outlineLevel="4">
      <c r="A315" s="1"/>
      <c r="B315" s="1">
        <v>834521</v>
      </c>
      <c r="C315" s="1" t="s">
        <v>1205</v>
      </c>
      <c r="D315" s="1" t="s">
        <v>1206</v>
      </c>
      <c r="E315" s="2" t="s">
        <v>1207</v>
      </c>
      <c r="F315" s="2" t="s">
        <v>1208</v>
      </c>
      <c r="G315" s="2" t="s">
        <v>17</v>
      </c>
      <c r="H315" s="2">
        <v>0</v>
      </c>
      <c r="I315" s="1">
        <v>0</v>
      </c>
      <c r="J315" s="3" t="s">
        <v>18</v>
      </c>
      <c r="K315" s="2" t="str">
        <f>J315*1256.94</f>
        <v>0</v>
      </c>
      <c r="L315" s="5"/>
    </row>
    <row r="316" spans="1:12" customHeight="1" ht="105" outlineLevel="4">
      <c r="A316" s="1"/>
      <c r="B316" s="1">
        <v>834522</v>
      </c>
      <c r="C316" s="1" t="s">
        <v>1209</v>
      </c>
      <c r="D316" s="1" t="s">
        <v>1210</v>
      </c>
      <c r="E316" s="2" t="s">
        <v>1211</v>
      </c>
      <c r="F316" s="2" t="s">
        <v>1212</v>
      </c>
      <c r="G316" s="2" t="s">
        <v>61</v>
      </c>
      <c r="H316" s="2">
        <v>0</v>
      </c>
      <c r="I316" s="1">
        <v>0</v>
      </c>
      <c r="J316" s="3" t="s">
        <v>18</v>
      </c>
      <c r="K316" s="2" t="str">
        <f>J316*1555.93</f>
        <v>0</v>
      </c>
      <c r="L316" s="5"/>
    </row>
    <row r="317" spans="1:12" customHeight="1" ht="105" outlineLevel="4">
      <c r="A317" s="1"/>
      <c r="B317" s="1">
        <v>829167</v>
      </c>
      <c r="C317" s="1" t="s">
        <v>1213</v>
      </c>
      <c r="D317" s="1" t="s">
        <v>1214</v>
      </c>
      <c r="E317" s="2" t="s">
        <v>1215</v>
      </c>
      <c r="F317" s="2" t="s">
        <v>1216</v>
      </c>
      <c r="G317" s="2" t="s">
        <v>47</v>
      </c>
      <c r="H317" s="2">
        <v>0</v>
      </c>
      <c r="I317" s="1">
        <v>0</v>
      </c>
      <c r="J317" s="3" t="s">
        <v>111</v>
      </c>
      <c r="K317" s="2" t="str">
        <f>J317*197.84</f>
        <v>0</v>
      </c>
      <c r="L317" s="5"/>
    </row>
    <row r="318" spans="1:12" customHeight="1" ht="105" outlineLevel="4">
      <c r="A318" s="1"/>
      <c r="B318" s="1">
        <v>829168</v>
      </c>
      <c r="C318" s="1" t="s">
        <v>1217</v>
      </c>
      <c r="D318" s="1" t="s">
        <v>1218</v>
      </c>
      <c r="E318" s="2" t="s">
        <v>1219</v>
      </c>
      <c r="F318" s="2" t="s">
        <v>1220</v>
      </c>
      <c r="G318" s="2" t="s">
        <v>124</v>
      </c>
      <c r="H318" s="2">
        <v>0</v>
      </c>
      <c r="I318" s="1">
        <v>0</v>
      </c>
      <c r="J318" s="3" t="s">
        <v>111</v>
      </c>
      <c r="K318" s="2" t="str">
        <f>J318*224.61</f>
        <v>0</v>
      </c>
      <c r="L318" s="5"/>
    </row>
    <row r="319" spans="1:12" customHeight="1" ht="105" outlineLevel="4">
      <c r="A319" s="1"/>
      <c r="B319" s="1">
        <v>829169</v>
      </c>
      <c r="C319" s="1" t="s">
        <v>1221</v>
      </c>
      <c r="D319" s="1" t="s">
        <v>1222</v>
      </c>
      <c r="E319" s="2" t="s">
        <v>1223</v>
      </c>
      <c r="F319" s="2" t="s">
        <v>1224</v>
      </c>
      <c r="G319" s="2" t="s">
        <v>17</v>
      </c>
      <c r="H319" s="2">
        <v>0</v>
      </c>
      <c r="I319" s="1">
        <v>0</v>
      </c>
      <c r="J319" s="3" t="s">
        <v>111</v>
      </c>
      <c r="K319" s="2" t="str">
        <f>J319*257.34</f>
        <v>0</v>
      </c>
      <c r="L319" s="5"/>
    </row>
    <row r="320" spans="1:12" customHeight="1" ht="105" outlineLevel="4">
      <c r="A320" s="1"/>
      <c r="B320" s="1">
        <v>829170</v>
      </c>
      <c r="C320" s="1" t="s">
        <v>1225</v>
      </c>
      <c r="D320" s="1" t="s">
        <v>1226</v>
      </c>
      <c r="E320" s="2" t="s">
        <v>1227</v>
      </c>
      <c r="F320" s="2" t="s">
        <v>1228</v>
      </c>
      <c r="G320" s="2" t="s">
        <v>17</v>
      </c>
      <c r="H320" s="2">
        <v>0</v>
      </c>
      <c r="I320" s="1">
        <v>0</v>
      </c>
      <c r="J320" s="3" t="s">
        <v>111</v>
      </c>
      <c r="K320" s="2" t="str">
        <f>J320*322.79</f>
        <v>0</v>
      </c>
      <c r="L320" s="5"/>
    </row>
    <row r="321" spans="1:12" customHeight="1" ht="105" outlineLevel="4">
      <c r="A321" s="1"/>
      <c r="B321" s="1">
        <v>829171</v>
      </c>
      <c r="C321" s="1" t="s">
        <v>1229</v>
      </c>
      <c r="D321" s="1" t="s">
        <v>1230</v>
      </c>
      <c r="E321" s="2" t="s">
        <v>1231</v>
      </c>
      <c r="F321" s="2" t="s">
        <v>1232</v>
      </c>
      <c r="G321" s="2" t="s">
        <v>17</v>
      </c>
      <c r="H321" s="2">
        <v>0</v>
      </c>
      <c r="I321" s="1">
        <v>0</v>
      </c>
      <c r="J321" s="3" t="s">
        <v>111</v>
      </c>
      <c r="K321" s="2" t="str">
        <f>J321*386.75</f>
        <v>0</v>
      </c>
      <c r="L321" s="5"/>
    </row>
    <row r="322" spans="1:12" customHeight="1" ht="105" outlineLevel="4">
      <c r="A322" s="1"/>
      <c r="B322" s="1">
        <v>829172</v>
      </c>
      <c r="C322" s="1" t="s">
        <v>1233</v>
      </c>
      <c r="D322" s="1" t="s">
        <v>1234</v>
      </c>
      <c r="E322" s="2" t="s">
        <v>1235</v>
      </c>
      <c r="F322" s="2" t="s">
        <v>1236</v>
      </c>
      <c r="G322" s="2" t="s">
        <v>61</v>
      </c>
      <c r="H322" s="2">
        <v>0</v>
      </c>
      <c r="I322" s="1">
        <v>0</v>
      </c>
      <c r="J322" s="3" t="s">
        <v>111</v>
      </c>
      <c r="K322" s="2" t="str">
        <f>J322*526.58</f>
        <v>0</v>
      </c>
      <c r="L322" s="5"/>
    </row>
    <row r="323" spans="1:12" customHeight="1" ht="105" outlineLevel="4">
      <c r="A323" s="1"/>
      <c r="B323" s="1">
        <v>829173</v>
      </c>
      <c r="C323" s="1" t="s">
        <v>1237</v>
      </c>
      <c r="D323" s="1" t="s">
        <v>1238</v>
      </c>
      <c r="E323" s="2" t="s">
        <v>1239</v>
      </c>
      <c r="F323" s="2" t="s">
        <v>1240</v>
      </c>
      <c r="G323" s="2" t="s">
        <v>61</v>
      </c>
      <c r="H323" s="2">
        <v>0</v>
      </c>
      <c r="I323" s="1">
        <v>0</v>
      </c>
      <c r="J323" s="3" t="s">
        <v>111</v>
      </c>
      <c r="K323" s="2" t="str">
        <f>J323*517.65</f>
        <v>0</v>
      </c>
      <c r="L323" s="5"/>
    </row>
    <row r="324" spans="1:12" customHeight="1" ht="105" outlineLevel="4">
      <c r="A324" s="1"/>
      <c r="B324" s="1">
        <v>829174</v>
      </c>
      <c r="C324" s="1" t="s">
        <v>1241</v>
      </c>
      <c r="D324" s="1" t="s">
        <v>1242</v>
      </c>
      <c r="E324" s="2" t="s">
        <v>1243</v>
      </c>
      <c r="F324" s="2" t="s">
        <v>1216</v>
      </c>
      <c r="G324" s="2" t="s">
        <v>124</v>
      </c>
      <c r="H324" s="2">
        <v>0</v>
      </c>
      <c r="I324" s="1">
        <v>0</v>
      </c>
      <c r="J324" s="3" t="s">
        <v>111</v>
      </c>
      <c r="K324" s="2" t="str">
        <f>J324*197.84</f>
        <v>0</v>
      </c>
      <c r="L324" s="5"/>
    </row>
    <row r="325" spans="1:12" customHeight="1" ht="105" outlineLevel="4">
      <c r="A325" s="1"/>
      <c r="B325" s="1">
        <v>829175</v>
      </c>
      <c r="C325" s="1" t="s">
        <v>1244</v>
      </c>
      <c r="D325" s="1" t="s">
        <v>1245</v>
      </c>
      <c r="E325" s="2" t="s">
        <v>1246</v>
      </c>
      <c r="F325" s="2" t="s">
        <v>1247</v>
      </c>
      <c r="G325" s="2" t="s">
        <v>61</v>
      </c>
      <c r="H325" s="2">
        <v>0</v>
      </c>
      <c r="I325" s="1">
        <v>0</v>
      </c>
      <c r="J325" s="3" t="s">
        <v>111</v>
      </c>
      <c r="K325" s="2" t="str">
        <f>J325*226.10</f>
        <v>0</v>
      </c>
      <c r="L325" s="5"/>
    </row>
    <row r="326" spans="1:12" customHeight="1" ht="105" outlineLevel="4">
      <c r="A326" s="1"/>
      <c r="B326" s="1">
        <v>829176</v>
      </c>
      <c r="C326" s="1" t="s">
        <v>1248</v>
      </c>
      <c r="D326" s="1" t="s">
        <v>1249</v>
      </c>
      <c r="E326" s="2" t="s">
        <v>1250</v>
      </c>
      <c r="F326" s="2" t="s">
        <v>1251</v>
      </c>
      <c r="G326" s="2" t="s">
        <v>61</v>
      </c>
      <c r="H326" s="2">
        <v>0</v>
      </c>
      <c r="I326" s="1">
        <v>0</v>
      </c>
      <c r="J326" s="3" t="s">
        <v>111</v>
      </c>
      <c r="K326" s="2" t="str">
        <f>J326*266.26</f>
        <v>0</v>
      </c>
      <c r="L326" s="5"/>
    </row>
    <row r="327" spans="1:12" customHeight="1" ht="105" outlineLevel="4">
      <c r="A327" s="1"/>
      <c r="B327" s="1">
        <v>829177</v>
      </c>
      <c r="C327" s="1" t="s">
        <v>1252</v>
      </c>
      <c r="D327" s="1" t="s">
        <v>1253</v>
      </c>
      <c r="E327" s="2" t="s">
        <v>1254</v>
      </c>
      <c r="F327" s="2" t="s">
        <v>1228</v>
      </c>
      <c r="G327" s="2" t="s">
        <v>61</v>
      </c>
      <c r="H327" s="2">
        <v>0</v>
      </c>
      <c r="I327" s="1">
        <v>0</v>
      </c>
      <c r="J327" s="3" t="s">
        <v>111</v>
      </c>
      <c r="K327" s="2" t="str">
        <f>J327*322.79</f>
        <v>0</v>
      </c>
      <c r="L327" s="5"/>
    </row>
    <row r="328" spans="1:12" customHeight="1" ht="105" outlineLevel="4">
      <c r="A328" s="1"/>
      <c r="B328" s="1">
        <v>829178</v>
      </c>
      <c r="C328" s="1" t="s">
        <v>1255</v>
      </c>
      <c r="D328" s="1" t="s">
        <v>1256</v>
      </c>
      <c r="E328" s="2" t="s">
        <v>1257</v>
      </c>
      <c r="F328" s="2" t="s">
        <v>1232</v>
      </c>
      <c r="G328" s="2" t="s">
        <v>61</v>
      </c>
      <c r="H328" s="2">
        <v>0</v>
      </c>
      <c r="I328" s="1">
        <v>0</v>
      </c>
      <c r="J328" s="3" t="s">
        <v>111</v>
      </c>
      <c r="K328" s="2" t="str">
        <f>J328*386.75</f>
        <v>0</v>
      </c>
      <c r="L328" s="5"/>
    </row>
    <row r="329" spans="1:12" customHeight="1" ht="105" outlineLevel="4">
      <c r="A329" s="1"/>
      <c r="B329" s="1">
        <v>829179</v>
      </c>
      <c r="C329" s="1" t="s">
        <v>1258</v>
      </c>
      <c r="D329" s="1" t="s">
        <v>1259</v>
      </c>
      <c r="E329" s="2" t="s">
        <v>1260</v>
      </c>
      <c r="F329" s="2" t="s">
        <v>1261</v>
      </c>
      <c r="G329" s="2" t="s">
        <v>61</v>
      </c>
      <c r="H329" s="2">
        <v>0</v>
      </c>
      <c r="I329" s="1">
        <v>0</v>
      </c>
      <c r="J329" s="3" t="s">
        <v>111</v>
      </c>
      <c r="K329" s="2" t="str">
        <f>J329*514.68</f>
        <v>0</v>
      </c>
      <c r="L329" s="5"/>
    </row>
    <row r="330" spans="1:12" customHeight="1" ht="105" outlineLevel="4">
      <c r="A330" s="1"/>
      <c r="B330" s="1">
        <v>829180</v>
      </c>
      <c r="C330" s="1" t="s">
        <v>1262</v>
      </c>
      <c r="D330" s="1" t="s">
        <v>1263</v>
      </c>
      <c r="E330" s="2" t="s">
        <v>1264</v>
      </c>
      <c r="F330" s="2" t="s">
        <v>1265</v>
      </c>
      <c r="G330" s="2">
        <v>0</v>
      </c>
      <c r="H330" s="2">
        <v>0</v>
      </c>
      <c r="I330" s="1">
        <v>0</v>
      </c>
      <c r="J330" s="3" t="s">
        <v>111</v>
      </c>
      <c r="K330" s="2" t="str">
        <f>J330*563.76</f>
        <v>0</v>
      </c>
      <c r="L330" s="5"/>
    </row>
    <row r="331" spans="1:12" customHeight="1" ht="105" outlineLevel="4">
      <c r="A331" s="1"/>
      <c r="B331" s="1">
        <v>829181</v>
      </c>
      <c r="C331" s="1" t="s">
        <v>1266</v>
      </c>
      <c r="D331" s="1" t="s">
        <v>1267</v>
      </c>
      <c r="E331" s="2" t="s">
        <v>1268</v>
      </c>
      <c r="F331" s="2" t="s">
        <v>1269</v>
      </c>
      <c r="G331" s="2" t="s">
        <v>124</v>
      </c>
      <c r="H331" s="2">
        <v>0</v>
      </c>
      <c r="I331" s="1">
        <v>0</v>
      </c>
      <c r="J331" s="3" t="s">
        <v>111</v>
      </c>
      <c r="K331" s="2" t="str">
        <f>J331*81.81</f>
        <v>0</v>
      </c>
      <c r="L331" s="5"/>
    </row>
    <row r="332" spans="1:12" customHeight="1" ht="105" outlineLevel="4">
      <c r="A332" s="1"/>
      <c r="B332" s="1">
        <v>829182</v>
      </c>
      <c r="C332" s="1" t="s">
        <v>1270</v>
      </c>
      <c r="D332" s="1" t="s">
        <v>1271</v>
      </c>
      <c r="E332" s="2" t="s">
        <v>1272</v>
      </c>
      <c r="F332" s="2" t="s">
        <v>1273</v>
      </c>
      <c r="G332" s="2" t="s">
        <v>17</v>
      </c>
      <c r="H332" s="2">
        <v>0</v>
      </c>
      <c r="I332" s="1">
        <v>0</v>
      </c>
      <c r="J332" s="3" t="s">
        <v>111</v>
      </c>
      <c r="K332" s="2" t="str">
        <f>J332*127.93</f>
        <v>0</v>
      </c>
      <c r="L332" s="5"/>
    </row>
    <row r="333" spans="1:12" customHeight="1" ht="105" outlineLevel="4">
      <c r="A333" s="1"/>
      <c r="B333" s="1">
        <v>829183</v>
      </c>
      <c r="C333" s="1" t="s">
        <v>1274</v>
      </c>
      <c r="D333" s="1" t="s">
        <v>1275</v>
      </c>
      <c r="E333" s="2" t="s">
        <v>1276</v>
      </c>
      <c r="F333" s="2" t="s">
        <v>1277</v>
      </c>
      <c r="G333" s="2" t="s">
        <v>124</v>
      </c>
      <c r="H333" s="2">
        <v>0</v>
      </c>
      <c r="I333" s="1">
        <v>0</v>
      </c>
      <c r="J333" s="3" t="s">
        <v>111</v>
      </c>
      <c r="K333" s="2" t="str">
        <f>J333*165.11</f>
        <v>0</v>
      </c>
      <c r="L333" s="5"/>
    </row>
    <row r="334" spans="1:12" customHeight="1" ht="105" outlineLevel="4">
      <c r="A334" s="1"/>
      <c r="B334" s="1">
        <v>829184</v>
      </c>
      <c r="C334" s="1" t="s">
        <v>1278</v>
      </c>
      <c r="D334" s="1" t="s">
        <v>1279</v>
      </c>
      <c r="E334" s="2" t="s">
        <v>1280</v>
      </c>
      <c r="F334" s="2" t="s">
        <v>1281</v>
      </c>
      <c r="G334" s="2" t="s">
        <v>124</v>
      </c>
      <c r="H334" s="2">
        <v>0</v>
      </c>
      <c r="I334" s="1">
        <v>0</v>
      </c>
      <c r="J334" s="3" t="s">
        <v>111</v>
      </c>
      <c r="K334" s="2" t="str">
        <f>J334*236.51</f>
        <v>0</v>
      </c>
      <c r="L334" s="5"/>
    </row>
    <row r="335" spans="1:12" customHeight="1" ht="105" outlineLevel="4">
      <c r="A335" s="1"/>
      <c r="B335" s="1">
        <v>829185</v>
      </c>
      <c r="C335" s="1" t="s">
        <v>1282</v>
      </c>
      <c r="D335" s="1" t="s">
        <v>1283</v>
      </c>
      <c r="E335" s="2" t="s">
        <v>1284</v>
      </c>
      <c r="F335" s="2" t="s">
        <v>1285</v>
      </c>
      <c r="G335" s="2" t="s">
        <v>61</v>
      </c>
      <c r="H335" s="2">
        <v>0</v>
      </c>
      <c r="I335" s="1">
        <v>0</v>
      </c>
      <c r="J335" s="3" t="s">
        <v>111</v>
      </c>
      <c r="K335" s="2" t="str">
        <f>J335*177.01</f>
        <v>0</v>
      </c>
      <c r="L335" s="5"/>
    </row>
    <row r="336" spans="1:12" customHeight="1" ht="105" outlineLevel="4">
      <c r="A336" s="1"/>
      <c r="B336" s="1">
        <v>829186</v>
      </c>
      <c r="C336" s="1" t="s">
        <v>1286</v>
      </c>
      <c r="D336" s="1" t="s">
        <v>1287</v>
      </c>
      <c r="E336" s="2" t="s">
        <v>1288</v>
      </c>
      <c r="F336" s="2" t="s">
        <v>1065</v>
      </c>
      <c r="G336" s="2" t="s">
        <v>61</v>
      </c>
      <c r="H336" s="2">
        <v>0</v>
      </c>
      <c r="I336" s="1">
        <v>0</v>
      </c>
      <c r="J336" s="3" t="s">
        <v>111</v>
      </c>
      <c r="K336" s="2" t="str">
        <f>J336*185.94</f>
        <v>0</v>
      </c>
      <c r="L336" s="5"/>
    </row>
    <row r="337" spans="1:12" customHeight="1" ht="105" outlineLevel="4">
      <c r="A337" s="1"/>
      <c r="B337" s="1">
        <v>829187</v>
      </c>
      <c r="C337" s="1" t="s">
        <v>1289</v>
      </c>
      <c r="D337" s="1" t="s">
        <v>1290</v>
      </c>
      <c r="E337" s="2" t="s">
        <v>1291</v>
      </c>
      <c r="F337" s="2" t="s">
        <v>1292</v>
      </c>
      <c r="G337" s="2">
        <v>5</v>
      </c>
      <c r="H337" s="2">
        <v>0</v>
      </c>
      <c r="I337" s="1">
        <v>0</v>
      </c>
      <c r="J337" s="3" t="s">
        <v>111</v>
      </c>
      <c r="K337" s="2" t="str">
        <f>J337*233.54</f>
        <v>0</v>
      </c>
      <c r="L337" s="5"/>
    </row>
    <row r="338" spans="1:12" customHeight="1" ht="105" outlineLevel="4">
      <c r="A338" s="1"/>
      <c r="B338" s="1">
        <v>829188</v>
      </c>
      <c r="C338" s="1" t="s">
        <v>1293</v>
      </c>
      <c r="D338" s="1" t="s">
        <v>1294</v>
      </c>
      <c r="E338" s="2" t="s">
        <v>1295</v>
      </c>
      <c r="F338" s="2" t="s">
        <v>1296</v>
      </c>
      <c r="G338" s="2" t="s">
        <v>17</v>
      </c>
      <c r="H338" s="2">
        <v>0</v>
      </c>
      <c r="I338" s="1">
        <v>0</v>
      </c>
      <c r="J338" s="3" t="s">
        <v>111</v>
      </c>
      <c r="K338" s="2" t="str">
        <f>J338*261.80</f>
        <v>0</v>
      </c>
      <c r="L338" s="5"/>
    </row>
    <row r="339" spans="1:12" customHeight="1" ht="105" outlineLevel="4">
      <c r="A339" s="1"/>
      <c r="B339" s="1">
        <v>829189</v>
      </c>
      <c r="C339" s="1" t="s">
        <v>1297</v>
      </c>
      <c r="D339" s="1" t="s">
        <v>1298</v>
      </c>
      <c r="E339" s="2" t="s">
        <v>1299</v>
      </c>
      <c r="F339" s="2" t="s">
        <v>1224</v>
      </c>
      <c r="G339" s="2" t="s">
        <v>17</v>
      </c>
      <c r="H339" s="2">
        <v>0</v>
      </c>
      <c r="I339" s="1">
        <v>0</v>
      </c>
      <c r="J339" s="3" t="s">
        <v>111</v>
      </c>
      <c r="K339" s="2" t="str">
        <f>J339*257.34</f>
        <v>0</v>
      </c>
      <c r="L339" s="5"/>
    </row>
    <row r="340" spans="1:12" customHeight="1" ht="105" outlineLevel="4">
      <c r="A340" s="1"/>
      <c r="B340" s="1">
        <v>829190</v>
      </c>
      <c r="C340" s="1" t="s">
        <v>1300</v>
      </c>
      <c r="D340" s="1" t="s">
        <v>1301</v>
      </c>
      <c r="E340" s="2" t="s">
        <v>1302</v>
      </c>
      <c r="F340" s="2" t="s">
        <v>1303</v>
      </c>
      <c r="G340" s="2" t="s">
        <v>17</v>
      </c>
      <c r="H340" s="2">
        <v>0</v>
      </c>
      <c r="I340" s="1">
        <v>0</v>
      </c>
      <c r="J340" s="3" t="s">
        <v>111</v>
      </c>
      <c r="K340" s="2" t="str">
        <f>J340*359.98</f>
        <v>0</v>
      </c>
      <c r="L340" s="5"/>
    </row>
    <row r="341" spans="1:12" customHeight="1" ht="105" outlineLevel="4">
      <c r="A341" s="1"/>
      <c r="B341" s="1">
        <v>829191</v>
      </c>
      <c r="C341" s="1" t="s">
        <v>1304</v>
      </c>
      <c r="D341" s="1" t="s">
        <v>1305</v>
      </c>
      <c r="E341" s="2" t="s">
        <v>1306</v>
      </c>
      <c r="F341" s="2" t="s">
        <v>1307</v>
      </c>
      <c r="G341" s="2" t="s">
        <v>61</v>
      </c>
      <c r="H341" s="2">
        <v>0</v>
      </c>
      <c r="I341" s="1">
        <v>0</v>
      </c>
      <c r="J341" s="3" t="s">
        <v>111</v>
      </c>
      <c r="K341" s="2" t="str">
        <f>J341*490.88</f>
        <v>0</v>
      </c>
      <c r="L341" s="5"/>
    </row>
    <row r="342" spans="1:12" customHeight="1" ht="105" outlineLevel="4">
      <c r="A342" s="1"/>
      <c r="B342" s="1">
        <v>829192</v>
      </c>
      <c r="C342" s="1" t="s">
        <v>1308</v>
      </c>
      <c r="D342" s="1" t="s">
        <v>1309</v>
      </c>
      <c r="E342" s="2" t="s">
        <v>1310</v>
      </c>
      <c r="F342" s="2" t="s">
        <v>1311</v>
      </c>
      <c r="G342" s="2" t="s">
        <v>61</v>
      </c>
      <c r="H342" s="2">
        <v>0</v>
      </c>
      <c r="I342" s="1">
        <v>0</v>
      </c>
      <c r="J342" s="3" t="s">
        <v>111</v>
      </c>
      <c r="K342" s="2" t="str">
        <f>J342*587.56</f>
        <v>0</v>
      </c>
      <c r="L342" s="5"/>
    </row>
    <row r="343" spans="1:12" customHeight="1" ht="105" outlineLevel="4">
      <c r="A343" s="1"/>
      <c r="B343" s="1">
        <v>829193</v>
      </c>
      <c r="C343" s="1" t="s">
        <v>1312</v>
      </c>
      <c r="D343" s="1" t="s">
        <v>1313</v>
      </c>
      <c r="E343" s="2" t="s">
        <v>1314</v>
      </c>
      <c r="F343" s="2" t="s">
        <v>1315</v>
      </c>
      <c r="G343" s="2" t="s">
        <v>61</v>
      </c>
      <c r="H343" s="2">
        <v>0</v>
      </c>
      <c r="I343" s="1">
        <v>0</v>
      </c>
      <c r="J343" s="3" t="s">
        <v>111</v>
      </c>
      <c r="K343" s="2" t="str">
        <f>J343*278.16</f>
        <v>0</v>
      </c>
      <c r="L343" s="5"/>
    </row>
    <row r="344" spans="1:12" customHeight="1" ht="105" outlineLevel="4">
      <c r="A344" s="1"/>
      <c r="B344" s="1">
        <v>829194</v>
      </c>
      <c r="C344" s="1" t="s">
        <v>1316</v>
      </c>
      <c r="D344" s="1" t="s">
        <v>1317</v>
      </c>
      <c r="E344" s="2" t="s">
        <v>1318</v>
      </c>
      <c r="F344" s="2" t="s">
        <v>1319</v>
      </c>
      <c r="G344" s="2">
        <v>0</v>
      </c>
      <c r="H344" s="2">
        <v>0</v>
      </c>
      <c r="I344" s="1">
        <v>0</v>
      </c>
      <c r="J344" s="3" t="s">
        <v>111</v>
      </c>
      <c r="K344" s="2" t="str">
        <f>J344*354.03</f>
        <v>0</v>
      </c>
      <c r="L344" s="5"/>
    </row>
    <row r="345" spans="1:12" customHeight="1" ht="105" outlineLevel="4">
      <c r="A345" s="1"/>
      <c r="B345" s="1">
        <v>829195</v>
      </c>
      <c r="C345" s="1" t="s">
        <v>1320</v>
      </c>
      <c r="D345" s="1" t="s">
        <v>1321</v>
      </c>
      <c r="E345" s="2" t="s">
        <v>1322</v>
      </c>
      <c r="F345" s="2" t="s">
        <v>1323</v>
      </c>
      <c r="G345" s="2">
        <v>0</v>
      </c>
      <c r="H345" s="2">
        <v>0</v>
      </c>
      <c r="I345" s="1">
        <v>0</v>
      </c>
      <c r="J345" s="3" t="s">
        <v>111</v>
      </c>
      <c r="K345" s="2" t="str">
        <f>J345*426.91</f>
        <v>0</v>
      </c>
      <c r="L345" s="5"/>
    </row>
    <row r="346" spans="1:12" customHeight="1" ht="105" outlineLevel="4">
      <c r="A346" s="1"/>
      <c r="B346" s="1">
        <v>829196</v>
      </c>
      <c r="C346" s="1" t="s">
        <v>1324</v>
      </c>
      <c r="D346" s="1" t="s">
        <v>1325</v>
      </c>
      <c r="E346" s="2" t="s">
        <v>1326</v>
      </c>
      <c r="F346" s="2" t="s">
        <v>1327</v>
      </c>
      <c r="G346" s="2">
        <v>0</v>
      </c>
      <c r="H346" s="2">
        <v>0</v>
      </c>
      <c r="I346" s="1">
        <v>0</v>
      </c>
      <c r="J346" s="3" t="s">
        <v>111</v>
      </c>
      <c r="K346" s="2" t="str">
        <f>J346*415.01</f>
        <v>0</v>
      </c>
      <c r="L346" s="5"/>
    </row>
    <row r="347" spans="1:12" customHeight="1" ht="105" outlineLevel="4">
      <c r="A347" s="1"/>
      <c r="B347" s="1">
        <v>829197</v>
      </c>
      <c r="C347" s="1" t="s">
        <v>1328</v>
      </c>
      <c r="D347" s="1" t="s">
        <v>1329</v>
      </c>
      <c r="E347" s="2" t="s">
        <v>1330</v>
      </c>
      <c r="F347" s="2" t="s">
        <v>1331</v>
      </c>
      <c r="G347" s="2">
        <v>0</v>
      </c>
      <c r="H347" s="2">
        <v>0</v>
      </c>
      <c r="I347" s="1">
        <v>0</v>
      </c>
      <c r="J347" s="3" t="s">
        <v>111</v>
      </c>
      <c r="K347" s="2" t="str">
        <f>J347*0.00</f>
        <v>0</v>
      </c>
      <c r="L347" s="5"/>
    </row>
    <row r="348" spans="1:12" customHeight="1" ht="105" outlineLevel="4">
      <c r="A348" s="1"/>
      <c r="B348" s="1">
        <v>829198</v>
      </c>
      <c r="C348" s="1" t="s">
        <v>1332</v>
      </c>
      <c r="D348" s="1" t="s">
        <v>1333</v>
      </c>
      <c r="E348" s="2" t="s">
        <v>1334</v>
      </c>
      <c r="F348" s="2" t="s">
        <v>1331</v>
      </c>
      <c r="G348" s="2">
        <v>0</v>
      </c>
      <c r="H348" s="2">
        <v>0</v>
      </c>
      <c r="I348" s="1">
        <v>0</v>
      </c>
      <c r="J348" s="3" t="s">
        <v>111</v>
      </c>
      <c r="K348" s="2" t="str">
        <f>J348*0.00</f>
        <v>0</v>
      </c>
      <c r="L348" s="5"/>
    </row>
    <row r="349" spans="1:12" customHeight="1" ht="105" outlineLevel="4">
      <c r="A349" s="1"/>
      <c r="B349" s="1">
        <v>829199</v>
      </c>
      <c r="C349" s="1" t="s">
        <v>1335</v>
      </c>
      <c r="D349" s="1" t="s">
        <v>1336</v>
      </c>
      <c r="E349" s="2" t="s">
        <v>1337</v>
      </c>
      <c r="F349" s="2" t="s">
        <v>1338</v>
      </c>
      <c r="G349" s="2" t="s">
        <v>61</v>
      </c>
      <c r="H349" s="2">
        <v>0</v>
      </c>
      <c r="I349" s="1">
        <v>0</v>
      </c>
      <c r="J349" s="3" t="s">
        <v>111</v>
      </c>
      <c r="K349" s="2" t="str">
        <f>J349*269.24</f>
        <v>0</v>
      </c>
      <c r="L349" s="5"/>
    </row>
    <row r="350" spans="1:12" customHeight="1" ht="105" outlineLevel="4">
      <c r="A350" s="1"/>
      <c r="B350" s="1">
        <v>829200</v>
      </c>
      <c r="C350" s="1" t="s">
        <v>1339</v>
      </c>
      <c r="D350" s="1" t="s">
        <v>1340</v>
      </c>
      <c r="E350" s="2" t="s">
        <v>1341</v>
      </c>
      <c r="F350" s="2" t="s">
        <v>1342</v>
      </c>
      <c r="G350" s="2" t="s">
        <v>124</v>
      </c>
      <c r="H350" s="2">
        <v>0</v>
      </c>
      <c r="I350" s="1">
        <v>0</v>
      </c>
      <c r="J350" s="3" t="s">
        <v>111</v>
      </c>
      <c r="K350" s="2" t="str">
        <f>J350*401.63</f>
        <v>0</v>
      </c>
      <c r="L350" s="5"/>
    </row>
    <row r="351" spans="1:12" customHeight="1" ht="105" outlineLevel="4">
      <c r="A351" s="1"/>
      <c r="B351" s="1">
        <v>829201</v>
      </c>
      <c r="C351" s="1" t="s">
        <v>1343</v>
      </c>
      <c r="D351" s="1" t="s">
        <v>1344</v>
      </c>
      <c r="E351" s="2" t="s">
        <v>1345</v>
      </c>
      <c r="F351" s="2" t="s">
        <v>1163</v>
      </c>
      <c r="G351" s="2" t="s">
        <v>61</v>
      </c>
      <c r="H351" s="2">
        <v>0</v>
      </c>
      <c r="I351" s="1">
        <v>0</v>
      </c>
      <c r="J351" s="3" t="s">
        <v>111</v>
      </c>
      <c r="K351" s="2" t="str">
        <f>J351*404.60</f>
        <v>0</v>
      </c>
      <c r="L351" s="5"/>
    </row>
    <row r="352" spans="1:12" customHeight="1" ht="105" outlineLevel="4">
      <c r="A352" s="1"/>
      <c r="B352" s="1">
        <v>829202</v>
      </c>
      <c r="C352" s="1" t="s">
        <v>1346</v>
      </c>
      <c r="D352" s="1" t="s">
        <v>1347</v>
      </c>
      <c r="E352" s="2" t="s">
        <v>1348</v>
      </c>
      <c r="F352" s="2" t="s">
        <v>1323</v>
      </c>
      <c r="G352" s="2">
        <v>1</v>
      </c>
      <c r="H352" s="2">
        <v>0</v>
      </c>
      <c r="I352" s="1">
        <v>0</v>
      </c>
      <c r="J352" s="3" t="s">
        <v>111</v>
      </c>
      <c r="K352" s="2" t="str">
        <f>J352*426.91</f>
        <v>0</v>
      </c>
      <c r="L352" s="5"/>
    </row>
    <row r="353" spans="1:12" customHeight="1" ht="105" outlineLevel="4">
      <c r="A353" s="1"/>
      <c r="B353" s="1">
        <v>829203</v>
      </c>
      <c r="C353" s="1" t="s">
        <v>1349</v>
      </c>
      <c r="D353" s="1" t="s">
        <v>1350</v>
      </c>
      <c r="E353" s="2" t="s">
        <v>1351</v>
      </c>
      <c r="F353" s="2" t="s">
        <v>1352</v>
      </c>
      <c r="G353" s="2" t="s">
        <v>61</v>
      </c>
      <c r="H353" s="2">
        <v>0</v>
      </c>
      <c r="I353" s="1">
        <v>0</v>
      </c>
      <c r="J353" s="3" t="s">
        <v>111</v>
      </c>
      <c r="K353" s="2" t="str">
        <f>J353*502.78</f>
        <v>0</v>
      </c>
      <c r="L353" s="5"/>
    </row>
    <row r="354" spans="1:12" customHeight="1" ht="105" outlineLevel="4">
      <c r="A354" s="1"/>
      <c r="B354" s="1">
        <v>829204</v>
      </c>
      <c r="C354" s="1" t="s">
        <v>1353</v>
      </c>
      <c r="D354" s="1" t="s">
        <v>1354</v>
      </c>
      <c r="E354" s="2" t="s">
        <v>1355</v>
      </c>
      <c r="F354" s="2" t="s">
        <v>1356</v>
      </c>
      <c r="G354" s="2" t="s">
        <v>61</v>
      </c>
      <c r="H354" s="2">
        <v>0</v>
      </c>
      <c r="I354" s="1">
        <v>0</v>
      </c>
      <c r="J354" s="3" t="s">
        <v>111</v>
      </c>
      <c r="K354" s="2" t="str">
        <f>J354*529.55</f>
        <v>0</v>
      </c>
      <c r="L354" s="5"/>
    </row>
    <row r="355" spans="1:12" customHeight="1" ht="105" outlineLevel="4">
      <c r="A355" s="1"/>
      <c r="B355" s="1">
        <v>829205</v>
      </c>
      <c r="C355" s="1" t="s">
        <v>1357</v>
      </c>
      <c r="D355" s="1" t="s">
        <v>1358</v>
      </c>
      <c r="E355" s="2" t="s">
        <v>1359</v>
      </c>
      <c r="F355" s="2" t="s">
        <v>1360</v>
      </c>
      <c r="G355" s="2" t="s">
        <v>124</v>
      </c>
      <c r="H355" s="2">
        <v>0</v>
      </c>
      <c r="I355" s="1">
        <v>0</v>
      </c>
      <c r="J355" s="3" t="s">
        <v>111</v>
      </c>
      <c r="K355" s="2" t="str">
        <f>J355*181.48</f>
        <v>0</v>
      </c>
      <c r="L355" s="5"/>
    </row>
    <row r="356" spans="1:12" customHeight="1" ht="105" outlineLevel="4">
      <c r="A356" s="1"/>
      <c r="B356" s="1">
        <v>829206</v>
      </c>
      <c r="C356" s="1" t="s">
        <v>1361</v>
      </c>
      <c r="D356" s="1" t="s">
        <v>1362</v>
      </c>
      <c r="E356" s="2" t="s">
        <v>1363</v>
      </c>
      <c r="F356" s="2" t="s">
        <v>1364</v>
      </c>
      <c r="G356" s="2" t="s">
        <v>61</v>
      </c>
      <c r="H356" s="2">
        <v>0</v>
      </c>
      <c r="I356" s="1">
        <v>0</v>
      </c>
      <c r="J356" s="3" t="s">
        <v>111</v>
      </c>
      <c r="K356" s="2" t="str">
        <f>J356*251.39</f>
        <v>0</v>
      </c>
      <c r="L356" s="5"/>
    </row>
    <row r="357" spans="1:12" customHeight="1" ht="105" outlineLevel="4">
      <c r="A357" s="1"/>
      <c r="B357" s="1">
        <v>829207</v>
      </c>
      <c r="C357" s="1" t="s">
        <v>1365</v>
      </c>
      <c r="D357" s="1" t="s">
        <v>1366</v>
      </c>
      <c r="E357" s="2" t="s">
        <v>1367</v>
      </c>
      <c r="F357" s="2" t="s">
        <v>1368</v>
      </c>
      <c r="G357" s="2" t="s">
        <v>61</v>
      </c>
      <c r="H357" s="2">
        <v>0</v>
      </c>
      <c r="I357" s="1">
        <v>0</v>
      </c>
      <c r="J357" s="3" t="s">
        <v>111</v>
      </c>
      <c r="K357" s="2" t="str">
        <f>J357*331.71</f>
        <v>0</v>
      </c>
      <c r="L357" s="5"/>
    </row>
    <row r="358" spans="1:12" customHeight="1" ht="105" outlineLevel="4">
      <c r="A358" s="1"/>
      <c r="B358" s="1">
        <v>829208</v>
      </c>
      <c r="C358" s="1" t="s">
        <v>1369</v>
      </c>
      <c r="D358" s="1" t="s">
        <v>1370</v>
      </c>
      <c r="E358" s="2" t="s">
        <v>1371</v>
      </c>
      <c r="F358" s="2" t="s">
        <v>1372</v>
      </c>
      <c r="G358" s="2" t="s">
        <v>124</v>
      </c>
      <c r="H358" s="2">
        <v>0</v>
      </c>
      <c r="I358" s="1">
        <v>0</v>
      </c>
      <c r="J358" s="3" t="s">
        <v>111</v>
      </c>
      <c r="K358" s="2" t="str">
        <f>J358*238.00</f>
        <v>0</v>
      </c>
      <c r="L358" s="5"/>
    </row>
    <row r="359" spans="1:12" customHeight="1" ht="105" outlineLevel="4">
      <c r="A359" s="1"/>
      <c r="B359" s="1">
        <v>829209</v>
      </c>
      <c r="C359" s="1" t="s">
        <v>1373</v>
      </c>
      <c r="D359" s="1" t="s">
        <v>1374</v>
      </c>
      <c r="E359" s="2" t="s">
        <v>1375</v>
      </c>
      <c r="F359" s="2" t="s">
        <v>16</v>
      </c>
      <c r="G359" s="2" t="s">
        <v>17</v>
      </c>
      <c r="H359" s="2">
        <v>0</v>
      </c>
      <c r="I359" s="1">
        <v>0</v>
      </c>
      <c r="J359" s="3" t="s">
        <v>111</v>
      </c>
      <c r="K359" s="2" t="str">
        <f>J359*313.86</f>
        <v>0</v>
      </c>
      <c r="L359" s="5"/>
    </row>
    <row r="360" spans="1:12" customHeight="1" ht="105" outlineLevel="4">
      <c r="A360" s="1"/>
      <c r="B360" s="1">
        <v>829210</v>
      </c>
      <c r="C360" s="1" t="s">
        <v>1376</v>
      </c>
      <c r="D360" s="1" t="s">
        <v>1377</v>
      </c>
      <c r="E360" s="2" t="s">
        <v>1378</v>
      </c>
      <c r="F360" s="2" t="s">
        <v>1379</v>
      </c>
      <c r="G360" s="2" t="s">
        <v>61</v>
      </c>
      <c r="H360" s="2">
        <v>0</v>
      </c>
      <c r="I360" s="1">
        <v>0</v>
      </c>
      <c r="J360" s="3" t="s">
        <v>111</v>
      </c>
      <c r="K360" s="2" t="str">
        <f>J360*330.23</f>
        <v>0</v>
      </c>
      <c r="L360" s="5"/>
    </row>
    <row r="361" spans="1:12" customHeight="1" ht="105" outlineLevel="4">
      <c r="A361" s="1"/>
      <c r="B361" s="1">
        <v>829211</v>
      </c>
      <c r="C361" s="1" t="s">
        <v>1380</v>
      </c>
      <c r="D361" s="1" t="s">
        <v>1381</v>
      </c>
      <c r="E361" s="2" t="s">
        <v>1382</v>
      </c>
      <c r="F361" s="2" t="s">
        <v>1383</v>
      </c>
      <c r="G361" s="2">
        <v>10</v>
      </c>
      <c r="H361" s="2">
        <v>0</v>
      </c>
      <c r="I361" s="1">
        <v>0</v>
      </c>
      <c r="J361" s="3" t="s">
        <v>111</v>
      </c>
      <c r="K361" s="2" t="str">
        <f>J361*471.54</f>
        <v>0</v>
      </c>
      <c r="L361" s="5"/>
    </row>
    <row r="362" spans="1:12" customHeight="1" ht="105" outlineLevel="4">
      <c r="A362" s="1"/>
      <c r="B362" s="1">
        <v>829212</v>
      </c>
      <c r="C362" s="1" t="s">
        <v>1384</v>
      </c>
      <c r="D362" s="1" t="s">
        <v>1385</v>
      </c>
      <c r="E362" s="2" t="s">
        <v>1386</v>
      </c>
      <c r="F362" s="2" t="s">
        <v>1387</v>
      </c>
      <c r="G362" s="2" t="s">
        <v>47</v>
      </c>
      <c r="H362" s="2">
        <v>0</v>
      </c>
      <c r="I362" s="1">
        <v>0</v>
      </c>
      <c r="J362" s="3" t="s">
        <v>111</v>
      </c>
      <c r="K362" s="2" t="str">
        <f>J362*108.59</f>
        <v>0</v>
      </c>
      <c r="L362" s="5"/>
    </row>
    <row r="363" spans="1:12" customHeight="1" ht="105" outlineLevel="4">
      <c r="A363" s="1"/>
      <c r="B363" s="1">
        <v>829213</v>
      </c>
      <c r="C363" s="1" t="s">
        <v>1388</v>
      </c>
      <c r="D363" s="1" t="s">
        <v>1389</v>
      </c>
      <c r="E363" s="2" t="s">
        <v>1390</v>
      </c>
      <c r="F363" s="2" t="s">
        <v>1391</v>
      </c>
      <c r="G363" s="2" t="s">
        <v>47</v>
      </c>
      <c r="H363" s="2">
        <v>0</v>
      </c>
      <c r="I363" s="1">
        <v>0</v>
      </c>
      <c r="J363" s="3" t="s">
        <v>111</v>
      </c>
      <c r="K363" s="2" t="str">
        <f>J363*196.35</f>
        <v>0</v>
      </c>
      <c r="L363" s="5"/>
    </row>
    <row r="364" spans="1:12" customHeight="1" ht="105" outlineLevel="4">
      <c r="A364" s="1"/>
      <c r="B364" s="1">
        <v>829214</v>
      </c>
      <c r="C364" s="1" t="s">
        <v>1392</v>
      </c>
      <c r="D364" s="1" t="s">
        <v>1393</v>
      </c>
      <c r="E364" s="2" t="s">
        <v>1394</v>
      </c>
      <c r="F364" s="2" t="s">
        <v>1296</v>
      </c>
      <c r="G364" s="2">
        <v>2</v>
      </c>
      <c r="H364" s="2">
        <v>0</v>
      </c>
      <c r="I364" s="1">
        <v>0</v>
      </c>
      <c r="J364" s="3" t="s">
        <v>111</v>
      </c>
      <c r="K364" s="2" t="str">
        <f>J364*261.80</f>
        <v>0</v>
      </c>
      <c r="L364" s="5"/>
    </row>
    <row r="365" spans="1:12" customHeight="1" ht="105" outlineLevel="4">
      <c r="A365" s="1"/>
      <c r="B365" s="1">
        <v>829215</v>
      </c>
      <c r="C365" s="1" t="s">
        <v>1395</v>
      </c>
      <c r="D365" s="1" t="s">
        <v>1396</v>
      </c>
      <c r="E365" s="2" t="s">
        <v>1397</v>
      </c>
      <c r="F365" s="2" t="s">
        <v>1398</v>
      </c>
      <c r="G365" s="2" t="s">
        <v>124</v>
      </c>
      <c r="H365" s="2">
        <v>0</v>
      </c>
      <c r="I365" s="1">
        <v>0</v>
      </c>
      <c r="J365" s="3" t="s">
        <v>111</v>
      </c>
      <c r="K365" s="2" t="str">
        <f>J365*298.99</f>
        <v>0</v>
      </c>
      <c r="L365" s="5"/>
    </row>
    <row r="366" spans="1:12" customHeight="1" ht="105" outlineLevel="4">
      <c r="A366" s="1"/>
      <c r="B366" s="1">
        <v>829216</v>
      </c>
      <c r="C366" s="1" t="s">
        <v>1399</v>
      </c>
      <c r="D366" s="1" t="s">
        <v>1400</v>
      </c>
      <c r="E366" s="2" t="s">
        <v>1401</v>
      </c>
      <c r="F366" s="2" t="s">
        <v>1402</v>
      </c>
      <c r="G366" s="2" t="s">
        <v>124</v>
      </c>
      <c r="H366" s="2">
        <v>0</v>
      </c>
      <c r="I366" s="1">
        <v>0</v>
      </c>
      <c r="J366" s="3" t="s">
        <v>111</v>
      </c>
      <c r="K366" s="2" t="str">
        <f>J366*133.88</f>
        <v>0</v>
      </c>
      <c r="L366" s="5"/>
    </row>
    <row r="367" spans="1:12" customHeight="1" ht="105" outlineLevel="4">
      <c r="A367" s="1"/>
      <c r="B367" s="1">
        <v>829217</v>
      </c>
      <c r="C367" s="1" t="s">
        <v>1403</v>
      </c>
      <c r="D367" s="1" t="s">
        <v>1404</v>
      </c>
      <c r="E367" s="2" t="s">
        <v>1405</v>
      </c>
      <c r="F367" s="2" t="s">
        <v>1080</v>
      </c>
      <c r="G367" s="2">
        <v>6</v>
      </c>
      <c r="H367" s="2">
        <v>0</v>
      </c>
      <c r="I367" s="1">
        <v>0</v>
      </c>
      <c r="J367" s="3" t="s">
        <v>111</v>
      </c>
      <c r="K367" s="2" t="str">
        <f>J367*212.71</f>
        <v>0</v>
      </c>
      <c r="L367" s="5"/>
    </row>
    <row r="368" spans="1:12" customHeight="1" ht="105" outlineLevel="4">
      <c r="A368" s="1"/>
      <c r="B368" s="1">
        <v>829218</v>
      </c>
      <c r="C368" s="1" t="s">
        <v>1406</v>
      </c>
      <c r="D368" s="1" t="s">
        <v>1407</v>
      </c>
      <c r="E368" s="2" t="s">
        <v>1408</v>
      </c>
      <c r="F368" s="2" t="s">
        <v>1315</v>
      </c>
      <c r="G368" s="2" t="s">
        <v>17</v>
      </c>
      <c r="H368" s="2">
        <v>0</v>
      </c>
      <c r="I368" s="1">
        <v>0</v>
      </c>
      <c r="J368" s="3" t="s">
        <v>111</v>
      </c>
      <c r="K368" s="2" t="str">
        <f>J368*278.16</f>
        <v>0</v>
      </c>
      <c r="L368" s="5"/>
    </row>
    <row r="369" spans="1:12" customHeight="1" ht="105" outlineLevel="4">
      <c r="A369" s="1"/>
      <c r="B369" s="1">
        <v>829219</v>
      </c>
      <c r="C369" s="1" t="s">
        <v>1409</v>
      </c>
      <c r="D369" s="1" t="s">
        <v>1410</v>
      </c>
      <c r="E369" s="2" t="s">
        <v>1411</v>
      </c>
      <c r="F369" s="2" t="s">
        <v>1412</v>
      </c>
      <c r="G369" s="2" t="s">
        <v>124</v>
      </c>
      <c r="H369" s="2">
        <v>0</v>
      </c>
      <c r="I369" s="1">
        <v>0</v>
      </c>
      <c r="J369" s="3" t="s">
        <v>111</v>
      </c>
      <c r="K369" s="2" t="str">
        <f>J369*458.15</f>
        <v>0</v>
      </c>
      <c r="L369" s="5"/>
    </row>
    <row r="370" spans="1:12" customHeight="1" ht="105" outlineLevel="4">
      <c r="A370" s="1"/>
      <c r="B370" s="1">
        <v>829220</v>
      </c>
      <c r="C370" s="1" t="s">
        <v>1413</v>
      </c>
      <c r="D370" s="1" t="s">
        <v>1414</v>
      </c>
      <c r="E370" s="2" t="s">
        <v>1415</v>
      </c>
      <c r="F370" s="2" t="s">
        <v>1387</v>
      </c>
      <c r="G370" s="2" t="s">
        <v>47</v>
      </c>
      <c r="H370" s="2">
        <v>0</v>
      </c>
      <c r="I370" s="1">
        <v>0</v>
      </c>
      <c r="J370" s="3" t="s">
        <v>111</v>
      </c>
      <c r="K370" s="2" t="str">
        <f>J370*108.59</f>
        <v>0</v>
      </c>
      <c r="L370" s="5"/>
    </row>
    <row r="371" spans="1:12" customHeight="1" ht="105" outlineLevel="4">
      <c r="A371" s="1"/>
      <c r="B371" s="1">
        <v>829221</v>
      </c>
      <c r="C371" s="1" t="s">
        <v>1416</v>
      </c>
      <c r="D371" s="1" t="s">
        <v>1417</v>
      </c>
      <c r="E371" s="2" t="s">
        <v>1418</v>
      </c>
      <c r="F371" s="2" t="s">
        <v>104</v>
      </c>
      <c r="G371" s="2" t="s">
        <v>47</v>
      </c>
      <c r="H371" s="2">
        <v>0</v>
      </c>
      <c r="I371" s="1">
        <v>0</v>
      </c>
      <c r="J371" s="3" t="s">
        <v>111</v>
      </c>
      <c r="K371" s="2" t="str">
        <f>J371*199.33</f>
        <v>0</v>
      </c>
      <c r="L371" s="5"/>
    </row>
    <row r="372" spans="1:12" customHeight="1" ht="105" outlineLevel="4">
      <c r="A372" s="1"/>
      <c r="B372" s="1">
        <v>829222</v>
      </c>
      <c r="C372" s="1" t="s">
        <v>1419</v>
      </c>
      <c r="D372" s="1" t="s">
        <v>1420</v>
      </c>
      <c r="E372" s="2" t="s">
        <v>1421</v>
      </c>
      <c r="F372" s="2" t="s">
        <v>1422</v>
      </c>
      <c r="G372" s="2" t="s">
        <v>17</v>
      </c>
      <c r="H372" s="2">
        <v>0</v>
      </c>
      <c r="I372" s="1">
        <v>0</v>
      </c>
      <c r="J372" s="3" t="s">
        <v>111</v>
      </c>
      <c r="K372" s="2" t="str">
        <f>J372*273.70</f>
        <v>0</v>
      </c>
      <c r="L372" s="5"/>
    </row>
    <row r="373" spans="1:12" customHeight="1" ht="105" outlineLevel="4">
      <c r="A373" s="1"/>
      <c r="B373" s="1">
        <v>829223</v>
      </c>
      <c r="C373" s="1" t="s">
        <v>1423</v>
      </c>
      <c r="D373" s="1" t="s">
        <v>1424</v>
      </c>
      <c r="E373" s="2" t="s">
        <v>1425</v>
      </c>
      <c r="F373" s="2" t="s">
        <v>1426</v>
      </c>
      <c r="G373" s="2" t="s">
        <v>124</v>
      </c>
      <c r="H373" s="2">
        <v>0</v>
      </c>
      <c r="I373" s="1">
        <v>0</v>
      </c>
      <c r="J373" s="3" t="s">
        <v>111</v>
      </c>
      <c r="K373" s="2" t="str">
        <f>J373*376.34</f>
        <v>0</v>
      </c>
      <c r="L373" s="5"/>
    </row>
    <row r="374" spans="1:12" customHeight="1" ht="105" outlineLevel="4">
      <c r="A374" s="1"/>
      <c r="B374" s="1">
        <v>829224</v>
      </c>
      <c r="C374" s="1" t="s">
        <v>1427</v>
      </c>
      <c r="D374" s="1" t="s">
        <v>1428</v>
      </c>
      <c r="E374" s="2" t="s">
        <v>1429</v>
      </c>
      <c r="F374" s="2" t="s">
        <v>1430</v>
      </c>
      <c r="G374" s="2" t="s">
        <v>47</v>
      </c>
      <c r="H374" s="2">
        <v>0</v>
      </c>
      <c r="I374" s="1">
        <v>0</v>
      </c>
      <c r="J374" s="3" t="s">
        <v>111</v>
      </c>
      <c r="K374" s="2" t="str">
        <f>J374*130.90</f>
        <v>0</v>
      </c>
      <c r="L374" s="5"/>
    </row>
    <row r="375" spans="1:12" customHeight="1" ht="105" outlineLevel="4">
      <c r="A375" s="1"/>
      <c r="B375" s="1">
        <v>829225</v>
      </c>
      <c r="C375" s="1" t="s">
        <v>1431</v>
      </c>
      <c r="D375" s="1" t="s">
        <v>1432</v>
      </c>
      <c r="E375" s="2" t="s">
        <v>1433</v>
      </c>
      <c r="F375" s="2" t="s">
        <v>1434</v>
      </c>
      <c r="G375" s="2" t="s">
        <v>17</v>
      </c>
      <c r="H375" s="2">
        <v>0</v>
      </c>
      <c r="I375" s="1">
        <v>0</v>
      </c>
      <c r="J375" s="3" t="s">
        <v>111</v>
      </c>
      <c r="K375" s="2" t="str">
        <f>J375*208.25</f>
        <v>0</v>
      </c>
      <c r="L375" s="5"/>
    </row>
    <row r="376" spans="1:12" customHeight="1" ht="105" outlineLevel="4">
      <c r="A376" s="1"/>
      <c r="B376" s="1">
        <v>829226</v>
      </c>
      <c r="C376" s="1" t="s">
        <v>1435</v>
      </c>
      <c r="D376" s="1" t="s">
        <v>1436</v>
      </c>
      <c r="E376" s="2" t="s">
        <v>1437</v>
      </c>
      <c r="F376" s="2" t="s">
        <v>1438</v>
      </c>
      <c r="G376" s="2">
        <v>0</v>
      </c>
      <c r="H376" s="2">
        <v>0</v>
      </c>
      <c r="I376" s="1">
        <v>0</v>
      </c>
      <c r="J376" s="3" t="s">
        <v>111</v>
      </c>
      <c r="K376" s="2" t="str">
        <f>J376*270.73</f>
        <v>0</v>
      </c>
      <c r="L376" s="5"/>
    </row>
    <row r="377" spans="1:12" customHeight="1" ht="105" outlineLevel="4">
      <c r="A377" s="1"/>
      <c r="B377" s="1">
        <v>829227</v>
      </c>
      <c r="C377" s="1" t="s">
        <v>1439</v>
      </c>
      <c r="D377" s="1" t="s">
        <v>1440</v>
      </c>
      <c r="E377" s="2" t="s">
        <v>1441</v>
      </c>
      <c r="F377" s="2" t="s">
        <v>1311</v>
      </c>
      <c r="G377" s="2" t="s">
        <v>61</v>
      </c>
      <c r="H377" s="2">
        <v>0</v>
      </c>
      <c r="I377" s="1">
        <v>0</v>
      </c>
      <c r="J377" s="3" t="s">
        <v>111</v>
      </c>
      <c r="K377" s="2" t="str">
        <f>J377*587.56</f>
        <v>0</v>
      </c>
      <c r="L377" s="5"/>
    </row>
    <row r="378" spans="1:12" customHeight="1" ht="105" outlineLevel="4">
      <c r="A378" s="1"/>
      <c r="B378" s="1">
        <v>829228</v>
      </c>
      <c r="C378" s="1" t="s">
        <v>1442</v>
      </c>
      <c r="D378" s="1" t="s">
        <v>1443</v>
      </c>
      <c r="E378" s="2" t="s">
        <v>1444</v>
      </c>
      <c r="F378" s="2" t="s">
        <v>1139</v>
      </c>
      <c r="G378" s="2" t="s">
        <v>61</v>
      </c>
      <c r="H378" s="2">
        <v>0</v>
      </c>
      <c r="I378" s="1">
        <v>0</v>
      </c>
      <c r="J378" s="3" t="s">
        <v>111</v>
      </c>
      <c r="K378" s="2" t="str">
        <f>J378*355.51</f>
        <v>0</v>
      </c>
      <c r="L378" s="5"/>
    </row>
    <row r="379" spans="1:12" customHeight="1" ht="105" outlineLevel="4">
      <c r="A379" s="1"/>
      <c r="B379" s="1">
        <v>829229</v>
      </c>
      <c r="C379" s="1" t="s">
        <v>1445</v>
      </c>
      <c r="D379" s="1" t="s">
        <v>1446</v>
      </c>
      <c r="E379" s="2" t="s">
        <v>1447</v>
      </c>
      <c r="F379" s="2" t="s">
        <v>1232</v>
      </c>
      <c r="G379" s="2">
        <v>4</v>
      </c>
      <c r="H379" s="2">
        <v>0</v>
      </c>
      <c r="I379" s="1">
        <v>0</v>
      </c>
      <c r="J379" s="3" t="s">
        <v>111</v>
      </c>
      <c r="K379" s="2" t="str">
        <f>J379*386.75</f>
        <v>0</v>
      </c>
      <c r="L379" s="5"/>
    </row>
    <row r="380" spans="1:12" customHeight="1" ht="105" outlineLevel="4">
      <c r="A380" s="1"/>
      <c r="B380" s="1">
        <v>829230</v>
      </c>
      <c r="C380" s="1" t="s">
        <v>1448</v>
      </c>
      <c r="D380" s="1" t="s">
        <v>1449</v>
      </c>
      <c r="E380" s="2" t="s">
        <v>1450</v>
      </c>
      <c r="F380" s="2" t="s">
        <v>1451</v>
      </c>
      <c r="G380" s="2">
        <v>6</v>
      </c>
      <c r="H380" s="2">
        <v>0</v>
      </c>
      <c r="I380" s="1">
        <v>0</v>
      </c>
      <c r="J380" s="3" t="s">
        <v>111</v>
      </c>
      <c r="K380" s="2" t="str">
        <f>J380*452.20</f>
        <v>0</v>
      </c>
      <c r="L380" s="5"/>
    </row>
    <row r="381" spans="1:12" customHeight="1" ht="105" outlineLevel="4">
      <c r="A381" s="1"/>
      <c r="B381" s="1">
        <v>829231</v>
      </c>
      <c r="C381" s="1" t="s">
        <v>1452</v>
      </c>
      <c r="D381" s="1" t="s">
        <v>1453</v>
      </c>
      <c r="E381" s="2" t="s">
        <v>1454</v>
      </c>
      <c r="F381" s="2" t="s">
        <v>1455</v>
      </c>
      <c r="G381" s="2" t="s">
        <v>124</v>
      </c>
      <c r="H381" s="2">
        <v>0</v>
      </c>
      <c r="I381" s="1">
        <v>0</v>
      </c>
      <c r="J381" s="3" t="s">
        <v>111</v>
      </c>
      <c r="K381" s="2" t="str">
        <f>J381*815.15</f>
        <v>0</v>
      </c>
      <c r="L381" s="5"/>
    </row>
    <row r="382" spans="1:12" customHeight="1" ht="105" outlineLevel="4">
      <c r="A382" s="1"/>
      <c r="B382" s="1">
        <v>829232</v>
      </c>
      <c r="C382" s="1" t="s">
        <v>1456</v>
      </c>
      <c r="D382" s="1" t="s">
        <v>1457</v>
      </c>
      <c r="E382" s="2" t="s">
        <v>1458</v>
      </c>
      <c r="F382" s="2" t="s">
        <v>1459</v>
      </c>
      <c r="G382" s="2" t="s">
        <v>61</v>
      </c>
      <c r="H382" s="2">
        <v>0</v>
      </c>
      <c r="I382" s="1">
        <v>0</v>
      </c>
      <c r="J382" s="3" t="s">
        <v>111</v>
      </c>
      <c r="K382" s="2" t="str">
        <f>J382*830.03</f>
        <v>0</v>
      </c>
      <c r="L382" s="5"/>
    </row>
    <row r="383" spans="1:12" customHeight="1" ht="105" outlineLevel="4">
      <c r="A383" s="1"/>
      <c r="B383" s="1">
        <v>829233</v>
      </c>
      <c r="C383" s="1" t="s">
        <v>1460</v>
      </c>
      <c r="D383" s="1" t="s">
        <v>1461</v>
      </c>
      <c r="E383" s="2" t="s">
        <v>1462</v>
      </c>
      <c r="F383" s="2" t="s">
        <v>1463</v>
      </c>
      <c r="G383" s="2" t="s">
        <v>61</v>
      </c>
      <c r="H383" s="2">
        <v>0</v>
      </c>
      <c r="I383" s="1">
        <v>0</v>
      </c>
      <c r="J383" s="3" t="s">
        <v>111</v>
      </c>
      <c r="K383" s="2" t="str">
        <f>J383*362.95</f>
        <v>0</v>
      </c>
      <c r="L383" s="5"/>
    </row>
    <row r="384" spans="1:12" customHeight="1" ht="105" outlineLevel="4">
      <c r="A384" s="1"/>
      <c r="B384" s="1">
        <v>829234</v>
      </c>
      <c r="C384" s="1" t="s">
        <v>1464</v>
      </c>
      <c r="D384" s="1" t="s">
        <v>1465</v>
      </c>
      <c r="E384" s="2" t="s">
        <v>1466</v>
      </c>
      <c r="F384" s="2" t="s">
        <v>1467</v>
      </c>
      <c r="G384" s="2">
        <v>0</v>
      </c>
      <c r="H384" s="2">
        <v>0</v>
      </c>
      <c r="I384" s="1">
        <v>0</v>
      </c>
      <c r="J384" s="3" t="s">
        <v>111</v>
      </c>
      <c r="K384" s="2" t="str">
        <f>J384*539.96</f>
        <v>0</v>
      </c>
      <c r="L384" s="5"/>
    </row>
    <row r="385" spans="1:12" customHeight="1" ht="105" outlineLevel="4">
      <c r="A385" s="1"/>
      <c r="B385" s="1">
        <v>829235</v>
      </c>
      <c r="C385" s="1" t="s">
        <v>1468</v>
      </c>
      <c r="D385" s="1" t="s">
        <v>1469</v>
      </c>
      <c r="E385" s="2" t="s">
        <v>1470</v>
      </c>
      <c r="F385" s="2" t="s">
        <v>1467</v>
      </c>
      <c r="G385" s="2" t="s">
        <v>61</v>
      </c>
      <c r="H385" s="2">
        <v>0</v>
      </c>
      <c r="I385" s="1">
        <v>0</v>
      </c>
      <c r="J385" s="3" t="s">
        <v>111</v>
      </c>
      <c r="K385" s="2" t="str">
        <f>J385*539.96</f>
        <v>0</v>
      </c>
      <c r="L385" s="5"/>
    </row>
    <row r="386" spans="1:12" customHeight="1" ht="105" outlineLevel="4">
      <c r="A386" s="1"/>
      <c r="B386" s="1">
        <v>829236</v>
      </c>
      <c r="C386" s="1" t="s">
        <v>1471</v>
      </c>
      <c r="D386" s="1" t="s">
        <v>1472</v>
      </c>
      <c r="E386" s="2" t="s">
        <v>1473</v>
      </c>
      <c r="F386" s="2" t="s">
        <v>1474</v>
      </c>
      <c r="G386" s="2" t="s">
        <v>61</v>
      </c>
      <c r="H386" s="2">
        <v>0</v>
      </c>
      <c r="I386" s="1">
        <v>0</v>
      </c>
      <c r="J386" s="3" t="s">
        <v>111</v>
      </c>
      <c r="K386" s="2" t="str">
        <f>J386*758.63</f>
        <v>0</v>
      </c>
      <c r="L386" s="5"/>
    </row>
    <row r="387" spans="1:12" customHeight="1" ht="105" outlineLevel="4">
      <c r="A387" s="1"/>
      <c r="B387" s="1">
        <v>829237</v>
      </c>
      <c r="C387" s="1" t="s">
        <v>1475</v>
      </c>
      <c r="D387" s="1" t="s">
        <v>1476</v>
      </c>
      <c r="E387" s="2" t="s">
        <v>1477</v>
      </c>
      <c r="F387" s="2" t="s">
        <v>1478</v>
      </c>
      <c r="G387" s="2" t="s">
        <v>61</v>
      </c>
      <c r="H387" s="2">
        <v>0</v>
      </c>
      <c r="I387" s="1">
        <v>0</v>
      </c>
      <c r="J387" s="3" t="s">
        <v>111</v>
      </c>
      <c r="K387" s="2" t="str">
        <f>J387*760.11</f>
        <v>0</v>
      </c>
      <c r="L387" s="5"/>
    </row>
    <row r="388" spans="1:12" customHeight="1" ht="105" outlineLevel="4">
      <c r="A388" s="1"/>
      <c r="B388" s="1">
        <v>829238</v>
      </c>
      <c r="C388" s="1" t="s">
        <v>1479</v>
      </c>
      <c r="D388" s="1" t="s">
        <v>1480</v>
      </c>
      <c r="E388" s="2" t="s">
        <v>1481</v>
      </c>
      <c r="F388" s="2" t="s">
        <v>1482</v>
      </c>
      <c r="G388" s="2" t="s">
        <v>17</v>
      </c>
      <c r="H388" s="2">
        <v>0</v>
      </c>
      <c r="I388" s="1">
        <v>0</v>
      </c>
      <c r="J388" s="3" t="s">
        <v>111</v>
      </c>
      <c r="K388" s="2" t="str">
        <f>J388*438.81</f>
        <v>0</v>
      </c>
      <c r="L388" s="5"/>
    </row>
    <row r="389" spans="1:12" customHeight="1" ht="105" outlineLevel="4">
      <c r="A389" s="1"/>
      <c r="B389" s="1">
        <v>829239</v>
      </c>
      <c r="C389" s="1" t="s">
        <v>1483</v>
      </c>
      <c r="D389" s="1" t="s">
        <v>1484</v>
      </c>
      <c r="E389" s="2" t="s">
        <v>1485</v>
      </c>
      <c r="F389" s="2" t="s">
        <v>1486</v>
      </c>
      <c r="G389" s="2" t="s">
        <v>124</v>
      </c>
      <c r="H389" s="2">
        <v>0</v>
      </c>
      <c r="I389" s="1">
        <v>0</v>
      </c>
      <c r="J389" s="3" t="s">
        <v>111</v>
      </c>
      <c r="K389" s="2" t="str">
        <f>J389*566.74</f>
        <v>0</v>
      </c>
      <c r="L389" s="5"/>
    </row>
    <row r="390" spans="1:12" customHeight="1" ht="105" outlineLevel="4">
      <c r="A390" s="1"/>
      <c r="B390" s="1">
        <v>829240</v>
      </c>
      <c r="C390" s="1" t="s">
        <v>1487</v>
      </c>
      <c r="D390" s="1" t="s">
        <v>1488</v>
      </c>
      <c r="E390" s="2" t="s">
        <v>1489</v>
      </c>
      <c r="F390" s="2" t="s">
        <v>1490</v>
      </c>
      <c r="G390" s="2" t="s">
        <v>124</v>
      </c>
      <c r="H390" s="2">
        <v>0</v>
      </c>
      <c r="I390" s="1">
        <v>0</v>
      </c>
      <c r="J390" s="3" t="s">
        <v>111</v>
      </c>
      <c r="K390" s="2" t="str">
        <f>J390*574.18</f>
        <v>0</v>
      </c>
      <c r="L390" s="5"/>
    </row>
    <row r="391" spans="1:12" customHeight="1" ht="105" outlineLevel="4">
      <c r="A391" s="1"/>
      <c r="B391" s="1">
        <v>832288</v>
      </c>
      <c r="C391" s="1" t="s">
        <v>1491</v>
      </c>
      <c r="D391" s="1" t="s">
        <v>1492</v>
      </c>
      <c r="E391" s="2" t="s">
        <v>1493</v>
      </c>
      <c r="F391" s="2" t="s">
        <v>1494</v>
      </c>
      <c r="G391" s="2">
        <v>0</v>
      </c>
      <c r="H391" s="2">
        <v>0</v>
      </c>
      <c r="I391" s="1">
        <v>0</v>
      </c>
      <c r="J391" s="3" t="s">
        <v>111</v>
      </c>
      <c r="K391" s="2" t="str">
        <f>J391*218.66</f>
        <v>0</v>
      </c>
      <c r="L391" s="5"/>
    </row>
    <row r="392" spans="1:12" customHeight="1" ht="105" outlineLevel="4">
      <c r="A392" s="1"/>
      <c r="B392" s="1">
        <v>832289</v>
      </c>
      <c r="C392" s="1" t="s">
        <v>1495</v>
      </c>
      <c r="D392" s="1" t="s">
        <v>1496</v>
      </c>
      <c r="E392" s="2" t="s">
        <v>1497</v>
      </c>
      <c r="F392" s="2" t="s">
        <v>1498</v>
      </c>
      <c r="G392" s="2" t="s">
        <v>124</v>
      </c>
      <c r="H392" s="2">
        <v>0</v>
      </c>
      <c r="I392" s="1">
        <v>0</v>
      </c>
      <c r="J392" s="3" t="s">
        <v>111</v>
      </c>
      <c r="K392" s="2" t="str">
        <f>J392*254.36</f>
        <v>0</v>
      </c>
      <c r="L392" s="5"/>
    </row>
    <row r="393" spans="1:12" customHeight="1" ht="105" outlineLevel="4">
      <c r="A393" s="1"/>
      <c r="B393" s="1">
        <v>832290</v>
      </c>
      <c r="C393" s="1" t="s">
        <v>1499</v>
      </c>
      <c r="D393" s="1" t="s">
        <v>1500</v>
      </c>
      <c r="E393" s="2" t="s">
        <v>1501</v>
      </c>
      <c r="F393" s="2" t="s">
        <v>1502</v>
      </c>
      <c r="G393" s="2" t="s">
        <v>47</v>
      </c>
      <c r="H393" s="2">
        <v>0</v>
      </c>
      <c r="I393" s="1">
        <v>0</v>
      </c>
      <c r="J393" s="3" t="s">
        <v>111</v>
      </c>
      <c r="K393" s="2" t="str">
        <f>J393*235.03</f>
        <v>0</v>
      </c>
      <c r="L393" s="5"/>
    </row>
    <row r="394" spans="1:12" customHeight="1" ht="105" outlineLevel="4">
      <c r="A394" s="1"/>
      <c r="B394" s="1">
        <v>832291</v>
      </c>
      <c r="C394" s="1" t="s">
        <v>1503</v>
      </c>
      <c r="D394" s="1" t="s">
        <v>1504</v>
      </c>
      <c r="E394" s="2" t="s">
        <v>1505</v>
      </c>
      <c r="F394" s="2" t="s">
        <v>1438</v>
      </c>
      <c r="G394" s="2" t="s">
        <v>61</v>
      </c>
      <c r="H394" s="2">
        <v>0</v>
      </c>
      <c r="I394" s="1">
        <v>0</v>
      </c>
      <c r="J394" s="3" t="s">
        <v>111</v>
      </c>
      <c r="K394" s="2" t="str">
        <f>J394*270.73</f>
        <v>0</v>
      </c>
      <c r="L394" s="5"/>
    </row>
    <row r="395" spans="1:12" customHeight="1" ht="105" outlineLevel="4">
      <c r="A395" s="1"/>
      <c r="B395" s="1">
        <v>832292</v>
      </c>
      <c r="C395" s="1" t="s">
        <v>1506</v>
      </c>
      <c r="D395" s="1" t="s">
        <v>1507</v>
      </c>
      <c r="E395" s="2" t="s">
        <v>1508</v>
      </c>
      <c r="F395" s="2" t="s">
        <v>1509</v>
      </c>
      <c r="G395" s="2" t="s">
        <v>17</v>
      </c>
      <c r="H395" s="2">
        <v>0</v>
      </c>
      <c r="I395" s="1">
        <v>0</v>
      </c>
      <c r="J395" s="3" t="s">
        <v>111</v>
      </c>
      <c r="K395" s="2" t="str">
        <f>J395*101.15</f>
        <v>0</v>
      </c>
      <c r="L395" s="5"/>
    </row>
    <row r="396" spans="1:12" customHeight="1" ht="105" outlineLevel="4">
      <c r="A396" s="1"/>
      <c r="B396" s="1">
        <v>836380</v>
      </c>
      <c r="C396" s="1" t="s">
        <v>1510</v>
      </c>
      <c r="D396" s="1" t="s">
        <v>1511</v>
      </c>
      <c r="E396" s="2" t="s">
        <v>1512</v>
      </c>
      <c r="F396" s="2" t="s">
        <v>1513</v>
      </c>
      <c r="G396" s="2">
        <v>0</v>
      </c>
      <c r="H396" s="2">
        <v>0</v>
      </c>
      <c r="I396" s="1">
        <v>0</v>
      </c>
      <c r="J396" s="3" t="s">
        <v>111</v>
      </c>
      <c r="K396" s="2" t="str">
        <f>J396*147.26</f>
        <v>0</v>
      </c>
      <c r="L396" s="5"/>
    </row>
    <row r="397" spans="1:12" customHeight="1" ht="105" outlineLevel="4">
      <c r="A397" s="1"/>
      <c r="B397" s="1">
        <v>832293</v>
      </c>
      <c r="C397" s="1" t="s">
        <v>1514</v>
      </c>
      <c r="D397" s="1" t="s">
        <v>1515</v>
      </c>
      <c r="E397" s="2" t="s">
        <v>1516</v>
      </c>
      <c r="F397" s="2" t="s">
        <v>1517</v>
      </c>
      <c r="G397" s="2" t="s">
        <v>47</v>
      </c>
      <c r="H397" s="2">
        <v>0</v>
      </c>
      <c r="I397" s="1">
        <v>0</v>
      </c>
      <c r="J397" s="3" t="s">
        <v>111</v>
      </c>
      <c r="K397" s="2" t="str">
        <f>J397*290.06</f>
        <v>0</v>
      </c>
      <c r="L397" s="5"/>
    </row>
    <row r="398" spans="1:12" customHeight="1" ht="105" outlineLevel="4">
      <c r="A398" s="1"/>
      <c r="B398" s="1">
        <v>832294</v>
      </c>
      <c r="C398" s="1" t="s">
        <v>1518</v>
      </c>
      <c r="D398" s="1" t="s">
        <v>1519</v>
      </c>
      <c r="E398" s="2" t="s">
        <v>1520</v>
      </c>
      <c r="F398" s="2" t="s">
        <v>1521</v>
      </c>
      <c r="G398" s="2" t="s">
        <v>17</v>
      </c>
      <c r="H398" s="2">
        <v>0</v>
      </c>
      <c r="I398" s="1">
        <v>0</v>
      </c>
      <c r="J398" s="3" t="s">
        <v>111</v>
      </c>
      <c r="K398" s="2" t="str">
        <f>J398*206.76</f>
        <v>0</v>
      </c>
      <c r="L398" s="5"/>
    </row>
    <row r="399" spans="1:12" customHeight="1" ht="105" outlineLevel="4">
      <c r="A399" s="1"/>
      <c r="B399" s="1">
        <v>832295</v>
      </c>
      <c r="C399" s="1" t="s">
        <v>1522</v>
      </c>
      <c r="D399" s="1" t="s">
        <v>1523</v>
      </c>
      <c r="E399" s="2" t="s">
        <v>1524</v>
      </c>
      <c r="F399" s="2" t="s">
        <v>1080</v>
      </c>
      <c r="G399" s="2" t="s">
        <v>124</v>
      </c>
      <c r="H399" s="2">
        <v>0</v>
      </c>
      <c r="I399" s="1">
        <v>0</v>
      </c>
      <c r="J399" s="3" t="s">
        <v>111</v>
      </c>
      <c r="K399" s="2" t="str">
        <f>J399*212.71</f>
        <v>0</v>
      </c>
      <c r="L399" s="5"/>
    </row>
    <row r="400" spans="1:12" customHeight="1" ht="105" outlineLevel="4">
      <c r="A400" s="1"/>
      <c r="B400" s="1">
        <v>832296</v>
      </c>
      <c r="C400" s="1" t="s">
        <v>1525</v>
      </c>
      <c r="D400" s="1" t="s">
        <v>1526</v>
      </c>
      <c r="E400" s="2" t="s">
        <v>1527</v>
      </c>
      <c r="F400" s="2" t="s">
        <v>1528</v>
      </c>
      <c r="G400" s="2" t="s">
        <v>124</v>
      </c>
      <c r="H400" s="2">
        <v>0</v>
      </c>
      <c r="I400" s="1">
        <v>0</v>
      </c>
      <c r="J400" s="3" t="s">
        <v>111</v>
      </c>
      <c r="K400" s="2" t="str">
        <f>J400*474.51</f>
        <v>0</v>
      </c>
      <c r="L400" s="5"/>
    </row>
    <row r="401" spans="1:12" customHeight="1" ht="105" outlineLevel="4">
      <c r="A401" s="1"/>
      <c r="B401" s="1">
        <v>832297</v>
      </c>
      <c r="C401" s="1" t="s">
        <v>1529</v>
      </c>
      <c r="D401" s="1" t="s">
        <v>1530</v>
      </c>
      <c r="E401" s="2" t="s">
        <v>1531</v>
      </c>
      <c r="F401" s="2" t="s">
        <v>1296</v>
      </c>
      <c r="G401" s="2">
        <v>0</v>
      </c>
      <c r="H401" s="2">
        <v>0</v>
      </c>
      <c r="I401" s="1">
        <v>0</v>
      </c>
      <c r="J401" s="3" t="s">
        <v>111</v>
      </c>
      <c r="K401" s="2" t="str">
        <f>J401*261.80</f>
        <v>0</v>
      </c>
      <c r="L401" s="5"/>
    </row>
    <row r="402" spans="1:12" customHeight="1" ht="105" outlineLevel="4">
      <c r="A402" s="1"/>
      <c r="B402" s="1">
        <v>832299</v>
      </c>
      <c r="C402" s="1" t="s">
        <v>1532</v>
      </c>
      <c r="D402" s="1" t="s">
        <v>1533</v>
      </c>
      <c r="E402" s="2" t="s">
        <v>1534</v>
      </c>
      <c r="F402" s="2" t="s">
        <v>1535</v>
      </c>
      <c r="G402" s="2" t="s">
        <v>61</v>
      </c>
      <c r="H402" s="2">
        <v>0</v>
      </c>
      <c r="I402" s="1">
        <v>0</v>
      </c>
      <c r="J402" s="3" t="s">
        <v>111</v>
      </c>
      <c r="K402" s="2" t="str">
        <f>J402*496.83</f>
        <v>0</v>
      </c>
      <c r="L402" s="5"/>
    </row>
    <row r="403" spans="1:12" customHeight="1" ht="105" outlineLevel="4">
      <c r="A403" s="1"/>
      <c r="B403" s="1">
        <v>832300</v>
      </c>
      <c r="C403" s="1" t="s">
        <v>1536</v>
      </c>
      <c r="D403" s="1" t="s">
        <v>1537</v>
      </c>
      <c r="E403" s="2" t="s">
        <v>1538</v>
      </c>
      <c r="F403" s="2" t="s">
        <v>1539</v>
      </c>
      <c r="G403" s="2">
        <v>7</v>
      </c>
      <c r="H403" s="2">
        <v>0</v>
      </c>
      <c r="I403" s="1">
        <v>0</v>
      </c>
      <c r="J403" s="3" t="s">
        <v>111</v>
      </c>
      <c r="K403" s="2" t="str">
        <f>J403*468.56</f>
        <v>0</v>
      </c>
      <c r="L403" s="5"/>
    </row>
    <row r="404" spans="1:12" customHeight="1" ht="105" outlineLevel="4">
      <c r="A404" s="1"/>
      <c r="B404" s="1">
        <v>832301</v>
      </c>
      <c r="C404" s="1" t="s">
        <v>1540</v>
      </c>
      <c r="D404" s="1" t="s">
        <v>1541</v>
      </c>
      <c r="E404" s="2" t="s">
        <v>1542</v>
      </c>
      <c r="F404" s="2" t="s">
        <v>1273</v>
      </c>
      <c r="G404" s="2" t="s">
        <v>47</v>
      </c>
      <c r="H404" s="2">
        <v>0</v>
      </c>
      <c r="I404" s="1">
        <v>0</v>
      </c>
      <c r="J404" s="3" t="s">
        <v>111</v>
      </c>
      <c r="K404" s="2" t="str">
        <f>J404*127.93</f>
        <v>0</v>
      </c>
      <c r="L404" s="5"/>
    </row>
    <row r="405" spans="1:12" customHeight="1" ht="105" outlineLevel="4">
      <c r="A405" s="1"/>
      <c r="B405" s="1">
        <v>832302</v>
      </c>
      <c r="C405" s="1" t="s">
        <v>1543</v>
      </c>
      <c r="D405" s="1" t="s">
        <v>1544</v>
      </c>
      <c r="E405" s="2" t="s">
        <v>1545</v>
      </c>
      <c r="F405" s="2" t="s">
        <v>1546</v>
      </c>
      <c r="G405" s="2" t="s">
        <v>47</v>
      </c>
      <c r="H405" s="2">
        <v>0</v>
      </c>
      <c r="I405" s="1">
        <v>0</v>
      </c>
      <c r="J405" s="3" t="s">
        <v>111</v>
      </c>
      <c r="K405" s="2" t="str">
        <f>J405*162.14</f>
        <v>0</v>
      </c>
      <c r="L405" s="5"/>
    </row>
    <row r="406" spans="1:12" customHeight="1" ht="105" outlineLevel="4">
      <c r="A406" s="1"/>
      <c r="B406" s="1">
        <v>832303</v>
      </c>
      <c r="C406" s="1" t="s">
        <v>1547</v>
      </c>
      <c r="D406" s="1" t="s">
        <v>1548</v>
      </c>
      <c r="E406" s="2" t="s">
        <v>1549</v>
      </c>
      <c r="F406" s="2" t="s">
        <v>1550</v>
      </c>
      <c r="G406" s="2" t="s">
        <v>47</v>
      </c>
      <c r="H406" s="2">
        <v>0</v>
      </c>
      <c r="I406" s="1">
        <v>0</v>
      </c>
      <c r="J406" s="3" t="s">
        <v>111</v>
      </c>
      <c r="K406" s="2" t="str">
        <f>J406*129.41</f>
        <v>0</v>
      </c>
      <c r="L406" s="5"/>
    </row>
    <row r="407" spans="1:12" customHeight="1" ht="105" outlineLevel="4">
      <c r="A407" s="1"/>
      <c r="B407" s="1">
        <v>832304</v>
      </c>
      <c r="C407" s="1" t="s">
        <v>1551</v>
      </c>
      <c r="D407" s="1" t="s">
        <v>1552</v>
      </c>
      <c r="E407" s="2" t="s">
        <v>1553</v>
      </c>
      <c r="F407" s="2" t="s">
        <v>1554</v>
      </c>
      <c r="G407" s="2" t="s">
        <v>47</v>
      </c>
      <c r="H407" s="2">
        <v>0</v>
      </c>
      <c r="I407" s="1">
        <v>0</v>
      </c>
      <c r="J407" s="3" t="s">
        <v>111</v>
      </c>
      <c r="K407" s="2" t="str">
        <f>J407*166.60</f>
        <v>0</v>
      </c>
      <c r="L407" s="5"/>
    </row>
    <row r="408" spans="1:12" customHeight="1" ht="105" outlineLevel="4">
      <c r="A408" s="1"/>
      <c r="B408" s="1">
        <v>832305</v>
      </c>
      <c r="C408" s="1" t="s">
        <v>1555</v>
      </c>
      <c r="D408" s="1" t="s">
        <v>1556</v>
      </c>
      <c r="E408" s="2" t="s">
        <v>1557</v>
      </c>
      <c r="F408" s="2" t="s">
        <v>1558</v>
      </c>
      <c r="G408" s="2" t="s">
        <v>61</v>
      </c>
      <c r="H408" s="2">
        <v>0</v>
      </c>
      <c r="I408" s="1">
        <v>0</v>
      </c>
      <c r="J408" s="3" t="s">
        <v>111</v>
      </c>
      <c r="K408" s="2" t="str">
        <f>J408*373.36</f>
        <v>0</v>
      </c>
      <c r="L408" s="5"/>
    </row>
    <row r="409" spans="1:12" customHeight="1" ht="105" outlineLevel="4">
      <c r="A409" s="1"/>
      <c r="B409" s="1">
        <v>832306</v>
      </c>
      <c r="C409" s="1" t="s">
        <v>1559</v>
      </c>
      <c r="D409" s="1" t="s">
        <v>1560</v>
      </c>
      <c r="E409" s="2" t="s">
        <v>1561</v>
      </c>
      <c r="F409" s="2" t="s">
        <v>1562</v>
      </c>
      <c r="G409" s="2" t="s">
        <v>124</v>
      </c>
      <c r="H409" s="2">
        <v>0</v>
      </c>
      <c r="I409" s="1">
        <v>0</v>
      </c>
      <c r="J409" s="3" t="s">
        <v>111</v>
      </c>
      <c r="K409" s="2" t="str">
        <f>J409*484.93</f>
        <v>0</v>
      </c>
      <c r="L409" s="5"/>
    </row>
    <row r="410" spans="1:12" customHeight="1" ht="105" outlineLevel="4">
      <c r="A410" s="1"/>
      <c r="B410" s="1">
        <v>832282</v>
      </c>
      <c r="C410" s="1" t="s">
        <v>1563</v>
      </c>
      <c r="D410" s="1" t="s">
        <v>1564</v>
      </c>
      <c r="E410" s="2" t="s">
        <v>1565</v>
      </c>
      <c r="F410" s="2" t="s">
        <v>1566</v>
      </c>
      <c r="G410" s="2" t="s">
        <v>47</v>
      </c>
      <c r="H410" s="2">
        <v>0</v>
      </c>
      <c r="I410" s="1">
        <v>0</v>
      </c>
      <c r="J410" s="3" t="s">
        <v>111</v>
      </c>
      <c r="K410" s="2" t="str">
        <f>J410*11.90</f>
        <v>0</v>
      </c>
      <c r="L410" s="5"/>
    </row>
    <row r="411" spans="1:12" customHeight="1" ht="105" outlineLevel="4">
      <c r="A411" s="1"/>
      <c r="B411" s="1">
        <v>832283</v>
      </c>
      <c r="C411" s="1" t="s">
        <v>1567</v>
      </c>
      <c r="D411" s="1" t="s">
        <v>1568</v>
      </c>
      <c r="E411" s="2" t="s">
        <v>1569</v>
      </c>
      <c r="F411" s="2" t="s">
        <v>1570</v>
      </c>
      <c r="G411" s="2" t="s">
        <v>47</v>
      </c>
      <c r="H411" s="2">
        <v>0</v>
      </c>
      <c r="I411" s="1">
        <v>0</v>
      </c>
      <c r="J411" s="3" t="s">
        <v>111</v>
      </c>
      <c r="K411" s="2" t="str">
        <f>J411*20.83</f>
        <v>0</v>
      </c>
      <c r="L411" s="5"/>
    </row>
    <row r="412" spans="1:12" customHeight="1" ht="105" outlineLevel="4">
      <c r="A412" s="1"/>
      <c r="B412" s="1">
        <v>832284</v>
      </c>
      <c r="C412" s="1" t="s">
        <v>1571</v>
      </c>
      <c r="D412" s="1" t="s">
        <v>1572</v>
      </c>
      <c r="E412" s="2" t="s">
        <v>1573</v>
      </c>
      <c r="F412" s="2" t="s">
        <v>1574</v>
      </c>
      <c r="G412" s="2" t="s">
        <v>47</v>
      </c>
      <c r="H412" s="2">
        <v>0</v>
      </c>
      <c r="I412" s="1">
        <v>0</v>
      </c>
      <c r="J412" s="3" t="s">
        <v>111</v>
      </c>
      <c r="K412" s="2" t="str">
        <f>J412*29.75</f>
        <v>0</v>
      </c>
      <c r="L412" s="5"/>
    </row>
    <row r="413" spans="1:12" customHeight="1" ht="105" outlineLevel="4">
      <c r="A413" s="1"/>
      <c r="B413" s="1">
        <v>832285</v>
      </c>
      <c r="C413" s="1" t="s">
        <v>1575</v>
      </c>
      <c r="D413" s="1" t="s">
        <v>1576</v>
      </c>
      <c r="E413" s="2" t="s">
        <v>1577</v>
      </c>
      <c r="F413" s="2" t="s">
        <v>1566</v>
      </c>
      <c r="G413" s="2" t="s">
        <v>124</v>
      </c>
      <c r="H413" s="2">
        <v>0</v>
      </c>
      <c r="I413" s="1">
        <v>0</v>
      </c>
      <c r="J413" s="3" t="s">
        <v>111</v>
      </c>
      <c r="K413" s="2" t="str">
        <f>J413*11.90</f>
        <v>0</v>
      </c>
      <c r="L413" s="5"/>
    </row>
    <row r="414" spans="1:12" customHeight="1" ht="105" outlineLevel="4">
      <c r="A414" s="1"/>
      <c r="B414" s="1">
        <v>832307</v>
      </c>
      <c r="C414" s="1" t="s">
        <v>1578</v>
      </c>
      <c r="D414" s="1" t="s">
        <v>1579</v>
      </c>
      <c r="E414" s="2" t="s">
        <v>1580</v>
      </c>
      <c r="F414" s="2" t="s">
        <v>1581</v>
      </c>
      <c r="G414" s="2">
        <v>6</v>
      </c>
      <c r="H414" s="2">
        <v>0</v>
      </c>
      <c r="I414" s="1">
        <v>0</v>
      </c>
      <c r="J414" s="3" t="s">
        <v>111</v>
      </c>
      <c r="K414" s="2" t="str">
        <f>J414*309.40</f>
        <v>0</v>
      </c>
      <c r="L414" s="5"/>
    </row>
    <row r="415" spans="1:12" customHeight="1" ht="105" outlineLevel="4">
      <c r="A415" s="1"/>
      <c r="B415" s="1">
        <v>832308</v>
      </c>
      <c r="C415" s="1" t="s">
        <v>1582</v>
      </c>
      <c r="D415" s="1" t="s">
        <v>1583</v>
      </c>
      <c r="E415" s="2" t="s">
        <v>1584</v>
      </c>
      <c r="F415" s="2" t="s">
        <v>1585</v>
      </c>
      <c r="G415" s="2" t="s">
        <v>61</v>
      </c>
      <c r="H415" s="2">
        <v>0</v>
      </c>
      <c r="I415" s="1">
        <v>0</v>
      </c>
      <c r="J415" s="3" t="s">
        <v>111</v>
      </c>
      <c r="K415" s="2" t="str">
        <f>J415*361.46</f>
        <v>0</v>
      </c>
      <c r="L415" s="5"/>
    </row>
    <row r="416" spans="1:12" customHeight="1" ht="105" outlineLevel="4">
      <c r="A416" s="1"/>
      <c r="B416" s="1">
        <v>832309</v>
      </c>
      <c r="C416" s="1" t="s">
        <v>1586</v>
      </c>
      <c r="D416" s="1" t="s">
        <v>1587</v>
      </c>
      <c r="E416" s="2" t="s">
        <v>1588</v>
      </c>
      <c r="F416" s="2" t="s">
        <v>1589</v>
      </c>
      <c r="G416" s="2">
        <v>4</v>
      </c>
      <c r="H416" s="2">
        <v>0</v>
      </c>
      <c r="I416" s="1">
        <v>0</v>
      </c>
      <c r="J416" s="3" t="s">
        <v>111</v>
      </c>
      <c r="K416" s="2" t="str">
        <f>J416*513.19</f>
        <v>0</v>
      </c>
      <c r="L416" s="5"/>
    </row>
    <row r="417" spans="1:12" customHeight="1" ht="105" outlineLevel="4">
      <c r="A417" s="1"/>
      <c r="B417" s="1">
        <v>832310</v>
      </c>
      <c r="C417" s="1" t="s">
        <v>1590</v>
      </c>
      <c r="D417" s="1" t="s">
        <v>1591</v>
      </c>
      <c r="E417" s="2" t="s">
        <v>1592</v>
      </c>
      <c r="F417" s="2" t="s">
        <v>1581</v>
      </c>
      <c r="G417" s="2">
        <v>5</v>
      </c>
      <c r="H417" s="2">
        <v>0</v>
      </c>
      <c r="I417" s="1">
        <v>0</v>
      </c>
      <c r="J417" s="3" t="s">
        <v>111</v>
      </c>
      <c r="K417" s="2" t="str">
        <f>J417*309.40</f>
        <v>0</v>
      </c>
      <c r="L417" s="5"/>
    </row>
    <row r="418" spans="1:12" customHeight="1" ht="105" outlineLevel="4">
      <c r="A418" s="1"/>
      <c r="B418" s="1">
        <v>832311</v>
      </c>
      <c r="C418" s="1" t="s">
        <v>1593</v>
      </c>
      <c r="D418" s="1" t="s">
        <v>1594</v>
      </c>
      <c r="E418" s="2" t="s">
        <v>1595</v>
      </c>
      <c r="F418" s="2" t="s">
        <v>1232</v>
      </c>
      <c r="G418" s="2" t="s">
        <v>61</v>
      </c>
      <c r="H418" s="2">
        <v>0</v>
      </c>
      <c r="I418" s="1">
        <v>0</v>
      </c>
      <c r="J418" s="3" t="s">
        <v>111</v>
      </c>
      <c r="K418" s="2" t="str">
        <f>J418*386.75</f>
        <v>0</v>
      </c>
      <c r="L418" s="5"/>
    </row>
    <row r="419" spans="1:12" customHeight="1" ht="105" outlineLevel="4">
      <c r="A419" s="1"/>
      <c r="B419" s="1">
        <v>832312</v>
      </c>
      <c r="C419" s="1" t="s">
        <v>1596</v>
      </c>
      <c r="D419" s="1" t="s">
        <v>1597</v>
      </c>
      <c r="E419" s="2" t="s">
        <v>1598</v>
      </c>
      <c r="F419" s="2" t="s">
        <v>1599</v>
      </c>
      <c r="G419" s="2" t="s">
        <v>61</v>
      </c>
      <c r="H419" s="2">
        <v>0</v>
      </c>
      <c r="I419" s="1">
        <v>0</v>
      </c>
      <c r="J419" s="3" t="s">
        <v>111</v>
      </c>
      <c r="K419" s="2" t="str">
        <f>J419*547.40</f>
        <v>0</v>
      </c>
      <c r="L419" s="5"/>
    </row>
    <row r="420" spans="1:12" customHeight="1" ht="105" outlineLevel="4">
      <c r="A420" s="1"/>
      <c r="B420" s="1">
        <v>834523</v>
      </c>
      <c r="C420" s="1" t="s">
        <v>1600</v>
      </c>
      <c r="D420" s="1" t="s">
        <v>1601</v>
      </c>
      <c r="E420" s="2" t="s">
        <v>1602</v>
      </c>
      <c r="F420" s="2" t="s">
        <v>26</v>
      </c>
      <c r="G420" s="2">
        <v>6</v>
      </c>
      <c r="H420" s="2">
        <v>0</v>
      </c>
      <c r="I420" s="1">
        <v>0</v>
      </c>
      <c r="J420" s="3" t="s">
        <v>111</v>
      </c>
      <c r="K420" s="2" t="str">
        <f>J420*748.21</f>
        <v>0</v>
      </c>
      <c r="L420" s="5"/>
    </row>
    <row r="421" spans="1:12" customHeight="1" ht="105" outlineLevel="4">
      <c r="A421" s="1"/>
      <c r="B421" s="1">
        <v>834524</v>
      </c>
      <c r="C421" s="1" t="s">
        <v>1603</v>
      </c>
      <c r="D421" s="1" t="s">
        <v>1604</v>
      </c>
      <c r="E421" s="2" t="s">
        <v>1605</v>
      </c>
      <c r="F421" s="2" t="s">
        <v>1606</v>
      </c>
      <c r="G421" s="2">
        <v>4</v>
      </c>
      <c r="H421" s="2">
        <v>0</v>
      </c>
      <c r="I421" s="1">
        <v>0</v>
      </c>
      <c r="J421" s="3" t="s">
        <v>111</v>
      </c>
      <c r="K421" s="2" t="str">
        <f>J421*1106.70</f>
        <v>0</v>
      </c>
      <c r="L421" s="5"/>
    </row>
    <row r="422" spans="1:12" customHeight="1" ht="105" outlineLevel="4">
      <c r="A422" s="1"/>
      <c r="B422" s="1">
        <v>834525</v>
      </c>
      <c r="C422" s="1" t="s">
        <v>1607</v>
      </c>
      <c r="D422" s="1" t="s">
        <v>1608</v>
      </c>
      <c r="E422" s="2" t="s">
        <v>1609</v>
      </c>
      <c r="F422" s="2" t="s">
        <v>1610</v>
      </c>
      <c r="G422" s="2">
        <v>6</v>
      </c>
      <c r="H422" s="2">
        <v>0</v>
      </c>
      <c r="I422" s="1">
        <v>0</v>
      </c>
      <c r="J422" s="3" t="s">
        <v>111</v>
      </c>
      <c r="K422" s="2" t="str">
        <f>J422*712.51</f>
        <v>0</v>
      </c>
      <c r="L422" s="5"/>
    </row>
    <row r="423" spans="1:12" customHeight="1" ht="105" outlineLevel="4">
      <c r="A423" s="1"/>
      <c r="B423" s="1">
        <v>834526</v>
      </c>
      <c r="C423" s="1" t="s">
        <v>1611</v>
      </c>
      <c r="D423" s="1" t="s">
        <v>1612</v>
      </c>
      <c r="E423" s="2" t="s">
        <v>1613</v>
      </c>
      <c r="F423" s="2" t="s">
        <v>1614</v>
      </c>
      <c r="G423" s="2">
        <v>4</v>
      </c>
      <c r="H423" s="2">
        <v>0</v>
      </c>
      <c r="I423" s="1">
        <v>0</v>
      </c>
      <c r="J423" s="3" t="s">
        <v>111</v>
      </c>
      <c r="K423" s="2" t="str">
        <f>J423*1105.21</f>
        <v>0</v>
      </c>
      <c r="L423" s="5"/>
    </row>
    <row r="424" spans="1:12" customHeight="1" ht="105" outlineLevel="4">
      <c r="A424" s="1"/>
      <c r="B424" s="1">
        <v>834527</v>
      </c>
      <c r="C424" s="1" t="s">
        <v>1615</v>
      </c>
      <c r="D424" s="1" t="s">
        <v>1616</v>
      </c>
      <c r="E424" s="2" t="s">
        <v>1617</v>
      </c>
      <c r="F424" s="2" t="s">
        <v>1618</v>
      </c>
      <c r="G424" s="2">
        <v>6</v>
      </c>
      <c r="H424" s="2">
        <v>0</v>
      </c>
      <c r="I424" s="1">
        <v>0</v>
      </c>
      <c r="J424" s="3" t="s">
        <v>111</v>
      </c>
      <c r="K424" s="2" t="str">
        <f>J424*379.31</f>
        <v>0</v>
      </c>
      <c r="L424" s="5"/>
    </row>
    <row r="425" spans="1:12" customHeight="1" ht="105" outlineLevel="4">
      <c r="A425" s="1"/>
      <c r="B425" s="1">
        <v>834528</v>
      </c>
      <c r="C425" s="1" t="s">
        <v>1619</v>
      </c>
      <c r="D425" s="1" t="s">
        <v>1620</v>
      </c>
      <c r="E425" s="2" t="s">
        <v>1621</v>
      </c>
      <c r="F425" s="2" t="s">
        <v>1622</v>
      </c>
      <c r="G425" s="2">
        <v>4</v>
      </c>
      <c r="H425" s="2">
        <v>0</v>
      </c>
      <c r="I425" s="1">
        <v>0</v>
      </c>
      <c r="J425" s="3" t="s">
        <v>111</v>
      </c>
      <c r="K425" s="2" t="str">
        <f>J425*480.46</f>
        <v>0</v>
      </c>
      <c r="L425" s="5"/>
    </row>
    <row r="426" spans="1:12" customHeight="1" ht="105" outlineLevel="4">
      <c r="A426" s="1"/>
      <c r="B426" s="1">
        <v>834529</v>
      </c>
      <c r="C426" s="1" t="s">
        <v>1623</v>
      </c>
      <c r="D426" s="1" t="s">
        <v>1624</v>
      </c>
      <c r="E426" s="2" t="s">
        <v>1625</v>
      </c>
      <c r="F426" s="2" t="s">
        <v>1626</v>
      </c>
      <c r="G426" s="2">
        <v>10</v>
      </c>
      <c r="H426" s="2">
        <v>0</v>
      </c>
      <c r="I426" s="1">
        <v>0</v>
      </c>
      <c r="J426" s="3" t="s">
        <v>111</v>
      </c>
      <c r="K426" s="2" t="str">
        <f>J426*160.65</f>
        <v>0</v>
      </c>
      <c r="L426" s="5"/>
    </row>
    <row r="427" spans="1:12" customHeight="1" ht="105" outlineLevel="4">
      <c r="A427" s="1"/>
      <c r="B427" s="1">
        <v>834530</v>
      </c>
      <c r="C427" s="1" t="s">
        <v>1627</v>
      </c>
      <c r="D427" s="1" t="s">
        <v>1628</v>
      </c>
      <c r="E427" s="2" t="s">
        <v>1629</v>
      </c>
      <c r="F427" s="2" t="s">
        <v>1285</v>
      </c>
      <c r="G427" s="2" t="s">
        <v>61</v>
      </c>
      <c r="H427" s="2">
        <v>0</v>
      </c>
      <c r="I427" s="1">
        <v>0</v>
      </c>
      <c r="J427" s="3" t="s">
        <v>111</v>
      </c>
      <c r="K427" s="2" t="str">
        <f>J427*177.01</f>
        <v>0</v>
      </c>
      <c r="L427" s="5"/>
    </row>
    <row r="428" spans="1:12" customHeight="1" ht="105" outlineLevel="4">
      <c r="A428" s="1"/>
      <c r="B428" s="1">
        <v>834531</v>
      </c>
      <c r="C428" s="1" t="s">
        <v>1630</v>
      </c>
      <c r="D428" s="1" t="s">
        <v>1631</v>
      </c>
      <c r="E428" s="2" t="s">
        <v>1632</v>
      </c>
      <c r="F428" s="2" t="s">
        <v>1633</v>
      </c>
      <c r="G428" s="2" t="s">
        <v>17</v>
      </c>
      <c r="H428" s="2">
        <v>0</v>
      </c>
      <c r="I428" s="1">
        <v>0</v>
      </c>
      <c r="J428" s="3" t="s">
        <v>111</v>
      </c>
      <c r="K428" s="2" t="str">
        <f>J428*187.43</f>
        <v>0</v>
      </c>
      <c r="L428" s="5"/>
    </row>
    <row r="429" spans="1:12" customHeight="1" ht="105" outlineLevel="4">
      <c r="A429" s="1"/>
      <c r="B429" s="1">
        <v>834532</v>
      </c>
      <c r="C429" s="1" t="s">
        <v>1634</v>
      </c>
      <c r="D429" s="1" t="s">
        <v>1635</v>
      </c>
      <c r="E429" s="2" t="s">
        <v>1636</v>
      </c>
      <c r="F429" s="2" t="s">
        <v>1637</v>
      </c>
      <c r="G429" s="2">
        <v>10</v>
      </c>
      <c r="H429" s="2">
        <v>0</v>
      </c>
      <c r="I429" s="1">
        <v>0</v>
      </c>
      <c r="J429" s="3" t="s">
        <v>111</v>
      </c>
      <c r="K429" s="2" t="str">
        <f>J429*252.88</f>
        <v>0</v>
      </c>
      <c r="L429" s="5"/>
    </row>
    <row r="430" spans="1:12" customHeight="1" ht="105" outlineLevel="4">
      <c r="A430" s="1"/>
      <c r="B430" s="1">
        <v>834533</v>
      </c>
      <c r="C430" s="1" t="s">
        <v>1638</v>
      </c>
      <c r="D430" s="1" t="s">
        <v>1639</v>
      </c>
      <c r="E430" s="2" t="s">
        <v>1640</v>
      </c>
      <c r="F430" s="2" t="s">
        <v>1080</v>
      </c>
      <c r="G430" s="2">
        <v>6</v>
      </c>
      <c r="H430" s="2">
        <v>0</v>
      </c>
      <c r="I430" s="1">
        <v>0</v>
      </c>
      <c r="J430" s="3" t="s">
        <v>111</v>
      </c>
      <c r="K430" s="2" t="str">
        <f>J430*212.71</f>
        <v>0</v>
      </c>
      <c r="L430" s="5"/>
    </row>
    <row r="431" spans="1:12" customHeight="1" ht="105" outlineLevel="4">
      <c r="A431" s="1"/>
      <c r="B431" s="1">
        <v>834534</v>
      </c>
      <c r="C431" s="1" t="s">
        <v>1641</v>
      </c>
      <c r="D431" s="1" t="s">
        <v>1642</v>
      </c>
      <c r="E431" s="2" t="s">
        <v>1643</v>
      </c>
      <c r="F431" s="2" t="s">
        <v>1251</v>
      </c>
      <c r="G431" s="2">
        <v>10</v>
      </c>
      <c r="H431" s="2">
        <v>0</v>
      </c>
      <c r="I431" s="1">
        <v>0</v>
      </c>
      <c r="J431" s="3" t="s">
        <v>111</v>
      </c>
      <c r="K431" s="2" t="str">
        <f>J431*266.26</f>
        <v>0</v>
      </c>
      <c r="L431" s="5"/>
    </row>
    <row r="432" spans="1:12" customHeight="1" ht="105" outlineLevel="4">
      <c r="A432" s="1"/>
      <c r="B432" s="1">
        <v>834535</v>
      </c>
      <c r="C432" s="1" t="s">
        <v>1644</v>
      </c>
      <c r="D432" s="1" t="s">
        <v>1645</v>
      </c>
      <c r="E432" s="2" t="s">
        <v>1646</v>
      </c>
      <c r="F432" s="2" t="s">
        <v>1647</v>
      </c>
      <c r="G432" s="2">
        <v>9</v>
      </c>
      <c r="H432" s="2">
        <v>0</v>
      </c>
      <c r="I432" s="1">
        <v>0</v>
      </c>
      <c r="J432" s="3" t="s">
        <v>111</v>
      </c>
      <c r="K432" s="2" t="str">
        <f>J432*417.99</f>
        <v>0</v>
      </c>
      <c r="L432" s="5"/>
    </row>
    <row r="433" spans="1:12" customHeight="1" ht="105" outlineLevel="4">
      <c r="A433" s="1"/>
      <c r="B433" s="1">
        <v>834536</v>
      </c>
      <c r="C433" s="1" t="s">
        <v>1648</v>
      </c>
      <c r="D433" s="1" t="s">
        <v>1649</v>
      </c>
      <c r="E433" s="2" t="s">
        <v>1650</v>
      </c>
      <c r="F433" s="2" t="s">
        <v>1651</v>
      </c>
      <c r="G433" s="2">
        <v>4</v>
      </c>
      <c r="H433" s="2">
        <v>0</v>
      </c>
      <c r="I433" s="1">
        <v>0</v>
      </c>
      <c r="J433" s="3" t="s">
        <v>111</v>
      </c>
      <c r="K433" s="2" t="str">
        <f>J433*545.91</f>
        <v>0</v>
      </c>
      <c r="L433" s="5"/>
    </row>
    <row r="434" spans="1:12" customHeight="1" ht="105" outlineLevel="4">
      <c r="A434" s="1"/>
      <c r="B434" s="1">
        <v>834537</v>
      </c>
      <c r="C434" s="1" t="s">
        <v>1652</v>
      </c>
      <c r="D434" s="1" t="s">
        <v>1653</v>
      </c>
      <c r="E434" s="2" t="s">
        <v>1654</v>
      </c>
      <c r="F434" s="2" t="s">
        <v>1655</v>
      </c>
      <c r="G434" s="2">
        <v>10</v>
      </c>
      <c r="H434" s="2">
        <v>0</v>
      </c>
      <c r="I434" s="1">
        <v>0</v>
      </c>
      <c r="J434" s="3" t="s">
        <v>111</v>
      </c>
      <c r="K434" s="2" t="str">
        <f>J434*159.16</f>
        <v>0</v>
      </c>
      <c r="L434" s="5"/>
    </row>
    <row r="435" spans="1:12" customHeight="1" ht="105" outlineLevel="4">
      <c r="A435" s="1"/>
      <c r="B435" s="1">
        <v>834538</v>
      </c>
      <c r="C435" s="1" t="s">
        <v>1656</v>
      </c>
      <c r="D435" s="1" t="s">
        <v>1657</v>
      </c>
      <c r="E435" s="2" t="s">
        <v>1658</v>
      </c>
      <c r="F435" s="2" t="s">
        <v>1080</v>
      </c>
      <c r="G435" s="2" t="s">
        <v>61</v>
      </c>
      <c r="H435" s="2">
        <v>0</v>
      </c>
      <c r="I435" s="1">
        <v>0</v>
      </c>
      <c r="J435" s="3" t="s">
        <v>111</v>
      </c>
      <c r="K435" s="2" t="str">
        <f>J435*212.71</f>
        <v>0</v>
      </c>
      <c r="L435" s="5"/>
    </row>
    <row r="436" spans="1:12" customHeight="1" ht="105" outlineLevel="4">
      <c r="A436" s="1"/>
      <c r="B436" s="1">
        <v>834539</v>
      </c>
      <c r="C436" s="1" t="s">
        <v>1659</v>
      </c>
      <c r="D436" s="1" t="s">
        <v>1660</v>
      </c>
      <c r="E436" s="2" t="s">
        <v>1661</v>
      </c>
      <c r="F436" s="2" t="s">
        <v>1434</v>
      </c>
      <c r="G436" s="2" t="s">
        <v>124</v>
      </c>
      <c r="H436" s="2">
        <v>0</v>
      </c>
      <c r="I436" s="1">
        <v>0</v>
      </c>
      <c r="J436" s="3" t="s">
        <v>111</v>
      </c>
      <c r="K436" s="2" t="str">
        <f>J436*208.25</f>
        <v>0</v>
      </c>
      <c r="L436" s="5"/>
    </row>
    <row r="437" spans="1:12" customHeight="1" ht="105" outlineLevel="4">
      <c r="A437" s="1"/>
      <c r="B437" s="1">
        <v>834540</v>
      </c>
      <c r="C437" s="1" t="s">
        <v>1662</v>
      </c>
      <c r="D437" s="1" t="s">
        <v>1663</v>
      </c>
      <c r="E437" s="2" t="s">
        <v>1664</v>
      </c>
      <c r="F437" s="2" t="s">
        <v>1281</v>
      </c>
      <c r="G437" s="2">
        <v>8</v>
      </c>
      <c r="H437" s="2">
        <v>0</v>
      </c>
      <c r="I437" s="1">
        <v>0</v>
      </c>
      <c r="J437" s="3" t="s">
        <v>111</v>
      </c>
      <c r="K437" s="2" t="str">
        <f>J437*236.51</f>
        <v>0</v>
      </c>
      <c r="L437" s="5"/>
    </row>
    <row r="438" spans="1:12" customHeight="1" ht="105" outlineLevel="4">
      <c r="A438" s="1"/>
      <c r="B438" s="1">
        <v>834541</v>
      </c>
      <c r="C438" s="1" t="s">
        <v>1665</v>
      </c>
      <c r="D438" s="1" t="s">
        <v>1666</v>
      </c>
      <c r="E438" s="2" t="s">
        <v>1667</v>
      </c>
      <c r="F438" s="2" t="s">
        <v>1292</v>
      </c>
      <c r="G438" s="2">
        <v>6</v>
      </c>
      <c r="H438" s="2">
        <v>0</v>
      </c>
      <c r="I438" s="1">
        <v>0</v>
      </c>
      <c r="J438" s="3" t="s">
        <v>111</v>
      </c>
      <c r="K438" s="2" t="str">
        <f>J438*233.54</f>
        <v>0</v>
      </c>
      <c r="L438" s="5"/>
    </row>
    <row r="439" spans="1:12" customHeight="1" ht="105" outlineLevel="4">
      <c r="A439" s="1"/>
      <c r="B439" s="1">
        <v>834542</v>
      </c>
      <c r="C439" s="1" t="s">
        <v>1668</v>
      </c>
      <c r="D439" s="1" t="s">
        <v>1669</v>
      </c>
      <c r="E439" s="2" t="s">
        <v>1670</v>
      </c>
      <c r="F439" s="2" t="s">
        <v>1671</v>
      </c>
      <c r="G439" s="2">
        <v>7</v>
      </c>
      <c r="H439" s="2">
        <v>0</v>
      </c>
      <c r="I439" s="1">
        <v>0</v>
      </c>
      <c r="J439" s="3" t="s">
        <v>111</v>
      </c>
      <c r="K439" s="2" t="str">
        <f>J439*336.18</f>
        <v>0</v>
      </c>
      <c r="L439" s="5"/>
    </row>
    <row r="440" spans="1:12" customHeight="1" ht="105" outlineLevel="4">
      <c r="A440" s="1"/>
      <c r="B440" s="1">
        <v>834543</v>
      </c>
      <c r="C440" s="1" t="s">
        <v>1672</v>
      </c>
      <c r="D440" s="1" t="s">
        <v>1673</v>
      </c>
      <c r="E440" s="2" t="s">
        <v>1674</v>
      </c>
      <c r="F440" s="2" t="s">
        <v>1675</v>
      </c>
      <c r="G440" s="2">
        <v>6</v>
      </c>
      <c r="H440" s="2">
        <v>0</v>
      </c>
      <c r="I440" s="1">
        <v>0</v>
      </c>
      <c r="J440" s="3" t="s">
        <v>111</v>
      </c>
      <c r="K440" s="2" t="str">
        <f>J440*351.05</f>
        <v>0</v>
      </c>
      <c r="L440" s="5"/>
    </row>
    <row r="441" spans="1:12" customHeight="1" ht="105" outlineLevel="4">
      <c r="A441" s="1"/>
      <c r="B441" s="1">
        <v>834544</v>
      </c>
      <c r="C441" s="1" t="s">
        <v>1676</v>
      </c>
      <c r="D441" s="1" t="s">
        <v>1677</v>
      </c>
      <c r="E441" s="2" t="s">
        <v>1678</v>
      </c>
      <c r="F441" s="2" t="s">
        <v>1191</v>
      </c>
      <c r="G441" s="2">
        <v>4</v>
      </c>
      <c r="H441" s="2">
        <v>0</v>
      </c>
      <c r="I441" s="1">
        <v>0</v>
      </c>
      <c r="J441" s="3" t="s">
        <v>111</v>
      </c>
      <c r="K441" s="2" t="str">
        <f>J441*462.61</f>
        <v>0</v>
      </c>
      <c r="L441" s="5"/>
    </row>
    <row r="442" spans="1:12" customHeight="1" ht="105" outlineLevel="4">
      <c r="A442" s="1"/>
      <c r="B442" s="1">
        <v>834545</v>
      </c>
      <c r="C442" s="1" t="s">
        <v>1679</v>
      </c>
      <c r="D442" s="1" t="s">
        <v>1680</v>
      </c>
      <c r="E442" s="2" t="s">
        <v>1681</v>
      </c>
      <c r="F442" s="2" t="s">
        <v>1228</v>
      </c>
      <c r="G442" s="2">
        <v>5</v>
      </c>
      <c r="H442" s="2">
        <v>0</v>
      </c>
      <c r="I442" s="1">
        <v>0</v>
      </c>
      <c r="J442" s="3" t="s">
        <v>111</v>
      </c>
      <c r="K442" s="2" t="str">
        <f>J442*322.79</f>
        <v>0</v>
      </c>
      <c r="L442" s="5"/>
    </row>
    <row r="443" spans="1:12" customHeight="1" ht="105" outlineLevel="4">
      <c r="A443" s="1"/>
      <c r="B443" s="1">
        <v>834546</v>
      </c>
      <c r="C443" s="1" t="s">
        <v>1682</v>
      </c>
      <c r="D443" s="1" t="s">
        <v>1683</v>
      </c>
      <c r="E443" s="2" t="s">
        <v>1684</v>
      </c>
      <c r="F443" s="2" t="s">
        <v>1685</v>
      </c>
      <c r="G443" s="2" t="s">
        <v>61</v>
      </c>
      <c r="H443" s="2">
        <v>0</v>
      </c>
      <c r="I443" s="1">
        <v>0</v>
      </c>
      <c r="J443" s="3" t="s">
        <v>111</v>
      </c>
      <c r="K443" s="2" t="str">
        <f>J443*374.85</f>
        <v>0</v>
      </c>
      <c r="L443" s="5"/>
    </row>
    <row r="444" spans="1:12" customHeight="1" ht="105" outlineLevel="4">
      <c r="A444" s="1"/>
      <c r="B444" s="1">
        <v>834547</v>
      </c>
      <c r="C444" s="1" t="s">
        <v>1686</v>
      </c>
      <c r="D444" s="1" t="s">
        <v>1687</v>
      </c>
      <c r="E444" s="2" t="s">
        <v>1688</v>
      </c>
      <c r="F444" s="2" t="s">
        <v>1689</v>
      </c>
      <c r="G444" s="2" t="s">
        <v>61</v>
      </c>
      <c r="H444" s="2">
        <v>0</v>
      </c>
      <c r="I444" s="1">
        <v>0</v>
      </c>
      <c r="J444" s="3" t="s">
        <v>111</v>
      </c>
      <c r="K444" s="2" t="str">
        <f>J444*385.26</f>
        <v>0</v>
      </c>
      <c r="L444" s="5"/>
    </row>
    <row r="445" spans="1:12" customHeight="1" ht="105" outlineLevel="4">
      <c r="A445" s="1"/>
      <c r="B445" s="1">
        <v>834548</v>
      </c>
      <c r="C445" s="1" t="s">
        <v>1690</v>
      </c>
      <c r="D445" s="1" t="s">
        <v>1691</v>
      </c>
      <c r="E445" s="2" t="s">
        <v>1692</v>
      </c>
      <c r="F445" s="2" t="s">
        <v>1693</v>
      </c>
      <c r="G445" s="2" t="s">
        <v>61</v>
      </c>
      <c r="H445" s="2">
        <v>0</v>
      </c>
      <c r="I445" s="1">
        <v>0</v>
      </c>
      <c r="J445" s="3" t="s">
        <v>111</v>
      </c>
      <c r="K445" s="2" t="str">
        <f>J445*489.39</f>
        <v>0</v>
      </c>
      <c r="L445" s="5"/>
    </row>
    <row r="446" spans="1:12" customHeight="1" ht="105" outlineLevel="4">
      <c r="A446" s="1"/>
      <c r="B446" s="1">
        <v>834549</v>
      </c>
      <c r="C446" s="1" t="s">
        <v>1694</v>
      </c>
      <c r="D446" s="1" t="s">
        <v>1695</v>
      </c>
      <c r="E446" s="2" t="s">
        <v>1696</v>
      </c>
      <c r="F446" s="2" t="s">
        <v>1697</v>
      </c>
      <c r="G446" s="2" t="s">
        <v>61</v>
      </c>
      <c r="H446" s="2">
        <v>0</v>
      </c>
      <c r="I446" s="1">
        <v>0</v>
      </c>
      <c r="J446" s="3" t="s">
        <v>111</v>
      </c>
      <c r="K446" s="2" t="str">
        <f>J446*635.16</f>
        <v>0</v>
      </c>
      <c r="L446" s="5"/>
    </row>
    <row r="447" spans="1:12" customHeight="1" ht="105" outlineLevel="4">
      <c r="A447" s="1"/>
      <c r="B447" s="1">
        <v>834550</v>
      </c>
      <c r="C447" s="1" t="s">
        <v>1698</v>
      </c>
      <c r="D447" s="1" t="s">
        <v>1699</v>
      </c>
      <c r="E447" s="2" t="s">
        <v>1700</v>
      </c>
      <c r="F447" s="2" t="s">
        <v>1701</v>
      </c>
      <c r="G447" s="2">
        <v>6</v>
      </c>
      <c r="H447" s="2">
        <v>0</v>
      </c>
      <c r="I447" s="1">
        <v>0</v>
      </c>
      <c r="J447" s="3" t="s">
        <v>111</v>
      </c>
      <c r="K447" s="2" t="str">
        <f>J447*841.93</f>
        <v>0</v>
      </c>
      <c r="L447" s="5"/>
    </row>
    <row r="448" spans="1:12" customHeight="1" ht="105" outlineLevel="4">
      <c r="A448" s="1"/>
      <c r="B448" s="1">
        <v>834551</v>
      </c>
      <c r="C448" s="1" t="s">
        <v>1702</v>
      </c>
      <c r="D448" s="1" t="s">
        <v>1703</v>
      </c>
      <c r="E448" s="2" t="s">
        <v>1704</v>
      </c>
      <c r="F448" s="2" t="s">
        <v>1705</v>
      </c>
      <c r="G448" s="2">
        <v>4</v>
      </c>
      <c r="H448" s="2">
        <v>0</v>
      </c>
      <c r="I448" s="1">
        <v>0</v>
      </c>
      <c r="J448" s="3" t="s">
        <v>111</v>
      </c>
      <c r="K448" s="2" t="str">
        <f>J448*1283.71</f>
        <v>0</v>
      </c>
      <c r="L448" s="5"/>
    </row>
    <row r="449" spans="1:12" customHeight="1" ht="105" outlineLevel="4">
      <c r="A449" s="1"/>
      <c r="B449" s="1">
        <v>834552</v>
      </c>
      <c r="C449" s="1" t="s">
        <v>1706</v>
      </c>
      <c r="D449" s="1" t="s">
        <v>1707</v>
      </c>
      <c r="E449" s="2" t="s">
        <v>1708</v>
      </c>
      <c r="F449" s="2" t="s">
        <v>1709</v>
      </c>
      <c r="G449" s="2">
        <v>0</v>
      </c>
      <c r="H449" s="2">
        <v>0</v>
      </c>
      <c r="I449" s="1">
        <v>0</v>
      </c>
      <c r="J449" s="3" t="s">
        <v>111</v>
      </c>
      <c r="K449" s="2" t="str">
        <f>J449*301.96</f>
        <v>0</v>
      </c>
      <c r="L449" s="5"/>
    </row>
    <row r="450" spans="1:12" customHeight="1" ht="105" outlineLevel="4">
      <c r="A450" s="1"/>
      <c r="B450" s="1">
        <v>834553</v>
      </c>
      <c r="C450" s="1" t="s">
        <v>1710</v>
      </c>
      <c r="D450" s="1" t="s">
        <v>1711</v>
      </c>
      <c r="E450" s="2" t="s">
        <v>1712</v>
      </c>
      <c r="F450" s="2" t="s">
        <v>1139</v>
      </c>
      <c r="G450" s="2" t="s">
        <v>61</v>
      </c>
      <c r="H450" s="2">
        <v>0</v>
      </c>
      <c r="I450" s="1">
        <v>0</v>
      </c>
      <c r="J450" s="3" t="s">
        <v>111</v>
      </c>
      <c r="K450" s="2" t="str">
        <f>J450*355.51</f>
        <v>0</v>
      </c>
      <c r="L450" s="5"/>
    </row>
    <row r="451" spans="1:12" customHeight="1" ht="105" outlineLevel="4">
      <c r="A451" s="1"/>
      <c r="B451" s="1">
        <v>834554</v>
      </c>
      <c r="C451" s="1" t="s">
        <v>1713</v>
      </c>
      <c r="D451" s="1" t="s">
        <v>1714</v>
      </c>
      <c r="E451" s="2" t="s">
        <v>1715</v>
      </c>
      <c r="F451" s="2" t="s">
        <v>1716</v>
      </c>
      <c r="G451" s="2">
        <v>8</v>
      </c>
      <c r="H451" s="2">
        <v>0</v>
      </c>
      <c r="I451" s="1">
        <v>0</v>
      </c>
      <c r="J451" s="3" t="s">
        <v>111</v>
      </c>
      <c r="K451" s="2" t="str">
        <f>J451*740.78</f>
        <v>0</v>
      </c>
      <c r="L451" s="5"/>
    </row>
    <row r="452" spans="1:12" customHeight="1" ht="105" outlineLevel="4">
      <c r="A452" s="1"/>
      <c r="B452" s="1">
        <v>834555</v>
      </c>
      <c r="C452" s="1" t="s">
        <v>1717</v>
      </c>
      <c r="D452" s="1" t="s">
        <v>1718</v>
      </c>
      <c r="E452" s="2" t="s">
        <v>1719</v>
      </c>
      <c r="F452" s="2" t="s">
        <v>1720</v>
      </c>
      <c r="G452" s="2">
        <v>5</v>
      </c>
      <c r="H452" s="2">
        <v>0</v>
      </c>
      <c r="I452" s="1">
        <v>0</v>
      </c>
      <c r="J452" s="3" t="s">
        <v>111</v>
      </c>
      <c r="K452" s="2" t="str">
        <f>J452*797.30</f>
        <v>0</v>
      </c>
      <c r="L452" s="5"/>
    </row>
    <row r="453" spans="1:12" customHeight="1" ht="105" outlineLevel="4">
      <c r="A453" s="1"/>
      <c r="B453" s="1">
        <v>834556</v>
      </c>
      <c r="C453" s="1" t="s">
        <v>1721</v>
      </c>
      <c r="D453" s="1" t="s">
        <v>1722</v>
      </c>
      <c r="E453" s="2" t="s">
        <v>1723</v>
      </c>
      <c r="F453" s="2" t="s">
        <v>1724</v>
      </c>
      <c r="G453" s="2" t="s">
        <v>61</v>
      </c>
      <c r="H453" s="2">
        <v>0</v>
      </c>
      <c r="I453" s="1">
        <v>0</v>
      </c>
      <c r="J453" s="3" t="s">
        <v>111</v>
      </c>
      <c r="K453" s="2" t="str">
        <f>J453*325.76</f>
        <v>0</v>
      </c>
      <c r="L453" s="5"/>
    </row>
    <row r="454" spans="1:12" customHeight="1" ht="105" outlineLevel="4">
      <c r="A454" s="1"/>
      <c r="B454" s="1">
        <v>834557</v>
      </c>
      <c r="C454" s="1" t="s">
        <v>1725</v>
      </c>
      <c r="D454" s="1" t="s">
        <v>1726</v>
      </c>
      <c r="E454" s="2" t="s">
        <v>1727</v>
      </c>
      <c r="F454" s="2" t="s">
        <v>1728</v>
      </c>
      <c r="G454" s="2">
        <v>10</v>
      </c>
      <c r="H454" s="2">
        <v>0</v>
      </c>
      <c r="I454" s="1">
        <v>0</v>
      </c>
      <c r="J454" s="3" t="s">
        <v>111</v>
      </c>
      <c r="K454" s="2" t="str">
        <f>J454*382.29</f>
        <v>0</v>
      </c>
      <c r="L454" s="5"/>
    </row>
    <row r="455" spans="1:12" customHeight="1" ht="105" outlineLevel="4">
      <c r="A455" s="1"/>
      <c r="B455" s="1">
        <v>834558</v>
      </c>
      <c r="C455" s="1" t="s">
        <v>1729</v>
      </c>
      <c r="D455" s="1" t="s">
        <v>1730</v>
      </c>
      <c r="E455" s="2" t="s">
        <v>1731</v>
      </c>
      <c r="F455" s="2" t="s">
        <v>1732</v>
      </c>
      <c r="G455" s="2">
        <v>6</v>
      </c>
      <c r="H455" s="2">
        <v>0</v>
      </c>
      <c r="I455" s="1">
        <v>0</v>
      </c>
      <c r="J455" s="3" t="s">
        <v>111</v>
      </c>
      <c r="K455" s="2" t="str">
        <f>J455*818.13</f>
        <v>0</v>
      </c>
      <c r="L455" s="5"/>
    </row>
    <row r="456" spans="1:12" customHeight="1" ht="105" outlineLevel="4">
      <c r="A456" s="1"/>
      <c r="B456" s="1">
        <v>834559</v>
      </c>
      <c r="C456" s="1" t="s">
        <v>1733</v>
      </c>
      <c r="D456" s="1" t="s">
        <v>1734</v>
      </c>
      <c r="E456" s="2" t="s">
        <v>1735</v>
      </c>
      <c r="F456" s="2" t="s">
        <v>1736</v>
      </c>
      <c r="G456" s="2">
        <v>6</v>
      </c>
      <c r="H456" s="2">
        <v>0</v>
      </c>
      <c r="I456" s="1">
        <v>0</v>
      </c>
      <c r="J456" s="3" t="s">
        <v>111</v>
      </c>
      <c r="K456" s="2" t="str">
        <f>J456*822.59</f>
        <v>0</v>
      </c>
      <c r="L456" s="5"/>
    </row>
    <row r="457" spans="1:12" customHeight="1" ht="105" outlineLevel="4">
      <c r="A457" s="1"/>
      <c r="B457" s="1">
        <v>834560</v>
      </c>
      <c r="C457" s="1" t="s">
        <v>1737</v>
      </c>
      <c r="D457" s="1" t="s">
        <v>1738</v>
      </c>
      <c r="E457" s="2" t="s">
        <v>1739</v>
      </c>
      <c r="F457" s="2" t="s">
        <v>1610</v>
      </c>
      <c r="G457" s="2">
        <v>4</v>
      </c>
      <c r="H457" s="2">
        <v>0</v>
      </c>
      <c r="I457" s="1">
        <v>0</v>
      </c>
      <c r="J457" s="3" t="s">
        <v>111</v>
      </c>
      <c r="K457" s="2" t="str">
        <f>J457*712.51</f>
        <v>0</v>
      </c>
      <c r="L457" s="5"/>
    </row>
    <row r="458" spans="1:12" customHeight="1" ht="105" outlineLevel="4">
      <c r="A458" s="1"/>
      <c r="B458" s="1">
        <v>834561</v>
      </c>
      <c r="C458" s="1" t="s">
        <v>1740</v>
      </c>
      <c r="D458" s="1" t="s">
        <v>1741</v>
      </c>
      <c r="E458" s="2" t="s">
        <v>1742</v>
      </c>
      <c r="F458" s="2" t="s">
        <v>1743</v>
      </c>
      <c r="G458" s="2">
        <v>5</v>
      </c>
      <c r="H458" s="2">
        <v>0</v>
      </c>
      <c r="I458" s="1">
        <v>0</v>
      </c>
      <c r="J458" s="3" t="s">
        <v>111</v>
      </c>
      <c r="K458" s="2" t="str">
        <f>J458*728.88</f>
        <v>0</v>
      </c>
      <c r="L458" s="5"/>
    </row>
    <row r="459" spans="1:12" customHeight="1" ht="105" outlineLevel="4">
      <c r="A459" s="1"/>
      <c r="B459" s="1">
        <v>834562</v>
      </c>
      <c r="C459" s="1" t="s">
        <v>1744</v>
      </c>
      <c r="D459" s="1" t="s">
        <v>1745</v>
      </c>
      <c r="E459" s="2" t="s">
        <v>1746</v>
      </c>
      <c r="F459" s="2" t="s">
        <v>1747</v>
      </c>
      <c r="G459" s="2">
        <v>4</v>
      </c>
      <c r="H459" s="2">
        <v>0</v>
      </c>
      <c r="I459" s="1">
        <v>0</v>
      </c>
      <c r="J459" s="3" t="s">
        <v>111</v>
      </c>
      <c r="K459" s="2" t="str">
        <f>J459*978.78</f>
        <v>0</v>
      </c>
      <c r="L459" s="5"/>
    </row>
    <row r="460" spans="1:12" customHeight="1" ht="105" outlineLevel="4">
      <c r="A460" s="1"/>
      <c r="B460" s="1">
        <v>834563</v>
      </c>
      <c r="C460" s="1" t="s">
        <v>1748</v>
      </c>
      <c r="D460" s="1" t="s">
        <v>1749</v>
      </c>
      <c r="E460" s="2" t="s">
        <v>1750</v>
      </c>
      <c r="F460" s="2" t="s">
        <v>1751</v>
      </c>
      <c r="G460" s="2">
        <v>2</v>
      </c>
      <c r="H460" s="2">
        <v>0</v>
      </c>
      <c r="I460" s="1">
        <v>0</v>
      </c>
      <c r="J460" s="3" t="s">
        <v>111</v>
      </c>
      <c r="K460" s="2" t="str">
        <f>J460*986.21</f>
        <v>0</v>
      </c>
      <c r="L460" s="5"/>
    </row>
    <row r="461" spans="1:12" customHeight="1" ht="105" outlineLevel="4">
      <c r="A461" s="1"/>
      <c r="B461" s="1">
        <v>834564</v>
      </c>
      <c r="C461" s="1" t="s">
        <v>1752</v>
      </c>
      <c r="D461" s="1" t="s">
        <v>1753</v>
      </c>
      <c r="E461" s="2" t="s">
        <v>1754</v>
      </c>
      <c r="F461" s="2" t="s">
        <v>1755</v>
      </c>
      <c r="G461" s="2" t="s">
        <v>61</v>
      </c>
      <c r="H461" s="2">
        <v>0</v>
      </c>
      <c r="I461" s="1">
        <v>0</v>
      </c>
      <c r="J461" s="3" t="s">
        <v>111</v>
      </c>
      <c r="K461" s="2" t="str">
        <f>J461*486.41</f>
        <v>0</v>
      </c>
      <c r="L461" s="5"/>
    </row>
    <row r="462" spans="1:12" customHeight="1" ht="105" outlineLevel="4">
      <c r="A462" s="1"/>
      <c r="B462" s="1">
        <v>834565</v>
      </c>
      <c r="C462" s="1" t="s">
        <v>1756</v>
      </c>
      <c r="D462" s="1" t="s">
        <v>1757</v>
      </c>
      <c r="E462" s="2" t="s">
        <v>1758</v>
      </c>
      <c r="F462" s="2" t="s">
        <v>1759</v>
      </c>
      <c r="G462" s="2">
        <v>6</v>
      </c>
      <c r="H462" s="2">
        <v>0</v>
      </c>
      <c r="I462" s="1">
        <v>0</v>
      </c>
      <c r="J462" s="3" t="s">
        <v>111</v>
      </c>
      <c r="K462" s="2" t="str">
        <f>J462*624.75</f>
        <v>0</v>
      </c>
      <c r="L462" s="5"/>
    </row>
    <row r="463" spans="1:12" customHeight="1" ht="105" outlineLevel="4">
      <c r="A463" s="1"/>
      <c r="B463" s="1">
        <v>834566</v>
      </c>
      <c r="C463" s="1" t="s">
        <v>1760</v>
      </c>
      <c r="D463" s="1" t="s">
        <v>1761</v>
      </c>
      <c r="E463" s="2" t="s">
        <v>1762</v>
      </c>
      <c r="F463" s="2" t="s">
        <v>1763</v>
      </c>
      <c r="G463" s="2">
        <v>10</v>
      </c>
      <c r="H463" s="2">
        <v>0</v>
      </c>
      <c r="I463" s="1">
        <v>0</v>
      </c>
      <c r="J463" s="3" t="s">
        <v>111</v>
      </c>
      <c r="K463" s="2" t="str">
        <f>J463*608.39</f>
        <v>0</v>
      </c>
      <c r="L463" s="5"/>
    </row>
    <row r="464" spans="1:12" customHeight="1" ht="105" outlineLevel="4">
      <c r="A464" s="1"/>
      <c r="B464" s="1">
        <v>834567</v>
      </c>
      <c r="C464" s="1" t="s">
        <v>1764</v>
      </c>
      <c r="D464" s="1" t="s">
        <v>1765</v>
      </c>
      <c r="E464" s="2" t="s">
        <v>1766</v>
      </c>
      <c r="F464" s="2" t="s">
        <v>1767</v>
      </c>
      <c r="G464" s="2">
        <v>6</v>
      </c>
      <c r="H464" s="2">
        <v>0</v>
      </c>
      <c r="I464" s="1">
        <v>0</v>
      </c>
      <c r="J464" s="3" t="s">
        <v>111</v>
      </c>
      <c r="K464" s="2" t="str">
        <f>J464*803.25</f>
        <v>0</v>
      </c>
      <c r="L464" s="5"/>
    </row>
    <row r="465" spans="1:12" customHeight="1" ht="105" outlineLevel="4">
      <c r="A465" s="1"/>
      <c r="B465" s="1">
        <v>834568</v>
      </c>
      <c r="C465" s="1" t="s">
        <v>1768</v>
      </c>
      <c r="D465" s="1" t="s">
        <v>1769</v>
      </c>
      <c r="E465" s="2" t="s">
        <v>1770</v>
      </c>
      <c r="F465" s="2" t="s">
        <v>1771</v>
      </c>
      <c r="G465" s="2" t="s">
        <v>61</v>
      </c>
      <c r="H465" s="2">
        <v>0</v>
      </c>
      <c r="I465" s="1">
        <v>0</v>
      </c>
      <c r="J465" s="3" t="s">
        <v>111</v>
      </c>
      <c r="K465" s="2" t="str">
        <f>J465*569.71</f>
        <v>0</v>
      </c>
      <c r="L465" s="5"/>
    </row>
    <row r="466" spans="1:12" customHeight="1" ht="105" outlineLevel="4">
      <c r="A466" s="1"/>
      <c r="B466" s="1">
        <v>834569</v>
      </c>
      <c r="C466" s="1" t="s">
        <v>1772</v>
      </c>
      <c r="D466" s="1" t="s">
        <v>1773</v>
      </c>
      <c r="E466" s="2" t="s">
        <v>1774</v>
      </c>
      <c r="F466" s="2" t="s">
        <v>1775</v>
      </c>
      <c r="G466" s="2">
        <v>9</v>
      </c>
      <c r="H466" s="2">
        <v>0</v>
      </c>
      <c r="I466" s="1">
        <v>0</v>
      </c>
      <c r="J466" s="3" t="s">
        <v>111</v>
      </c>
      <c r="K466" s="2" t="str">
        <f>J466*745.24</f>
        <v>0</v>
      </c>
      <c r="L466" s="5"/>
    </row>
    <row r="467" spans="1:12" customHeight="1" ht="105" outlineLevel="4">
      <c r="A467" s="1"/>
      <c r="B467" s="1">
        <v>834570</v>
      </c>
      <c r="C467" s="1" t="s">
        <v>1776</v>
      </c>
      <c r="D467" s="1" t="s">
        <v>1777</v>
      </c>
      <c r="E467" s="2" t="s">
        <v>1778</v>
      </c>
      <c r="F467" s="2" t="s">
        <v>1779</v>
      </c>
      <c r="G467" s="2">
        <v>10</v>
      </c>
      <c r="H467" s="2">
        <v>0</v>
      </c>
      <c r="I467" s="1">
        <v>0</v>
      </c>
      <c r="J467" s="3" t="s">
        <v>111</v>
      </c>
      <c r="K467" s="2" t="str">
        <f>J467*813.66</f>
        <v>0</v>
      </c>
      <c r="L467" s="5"/>
    </row>
    <row r="468" spans="1:12" customHeight="1" ht="105" outlineLevel="4">
      <c r="A468" s="1"/>
      <c r="B468" s="1">
        <v>834571</v>
      </c>
      <c r="C468" s="1" t="s">
        <v>1780</v>
      </c>
      <c r="D468" s="1" t="s">
        <v>1781</v>
      </c>
      <c r="E468" s="2" t="s">
        <v>1782</v>
      </c>
      <c r="F468" s="2" t="s">
        <v>1183</v>
      </c>
      <c r="G468" s="2">
        <v>5</v>
      </c>
      <c r="H468" s="2">
        <v>0</v>
      </c>
      <c r="I468" s="1">
        <v>0</v>
      </c>
      <c r="J468" s="3" t="s">
        <v>111</v>
      </c>
      <c r="K468" s="2" t="str">
        <f>J468*990.68</f>
        <v>0</v>
      </c>
      <c r="L468" s="5"/>
    </row>
    <row r="469" spans="1:12" customHeight="1" ht="105" outlineLevel="4">
      <c r="A469" s="1"/>
      <c r="B469" s="1">
        <v>834572</v>
      </c>
      <c r="C469" s="1" t="s">
        <v>1783</v>
      </c>
      <c r="D469" s="1" t="s">
        <v>1784</v>
      </c>
      <c r="E469" s="2" t="s">
        <v>1785</v>
      </c>
      <c r="F469" s="2" t="s">
        <v>1786</v>
      </c>
      <c r="G469" s="2" t="s">
        <v>61</v>
      </c>
      <c r="H469" s="2">
        <v>0</v>
      </c>
      <c r="I469" s="1">
        <v>0</v>
      </c>
      <c r="J469" s="3" t="s">
        <v>111</v>
      </c>
      <c r="K469" s="2" t="str">
        <f>J469*450.71</f>
        <v>0</v>
      </c>
      <c r="L469" s="5"/>
    </row>
    <row r="470" spans="1:12" customHeight="1" ht="105" outlineLevel="4">
      <c r="A470" s="1"/>
      <c r="B470" s="1">
        <v>834573</v>
      </c>
      <c r="C470" s="1" t="s">
        <v>1787</v>
      </c>
      <c r="D470" s="1" t="s">
        <v>1788</v>
      </c>
      <c r="E470" s="2" t="s">
        <v>1789</v>
      </c>
      <c r="F470" s="2" t="s">
        <v>1790</v>
      </c>
      <c r="G470" s="2">
        <v>6</v>
      </c>
      <c r="H470" s="2">
        <v>0</v>
      </c>
      <c r="I470" s="1">
        <v>0</v>
      </c>
      <c r="J470" s="3" t="s">
        <v>111</v>
      </c>
      <c r="K470" s="2" t="str">
        <f>J470*1456.26</f>
        <v>0</v>
      </c>
      <c r="L470" s="5"/>
    </row>
    <row r="471" spans="1:12" customHeight="1" ht="105" outlineLevel="4">
      <c r="A471" s="1"/>
      <c r="B471" s="1">
        <v>834574</v>
      </c>
      <c r="C471" s="1" t="s">
        <v>1791</v>
      </c>
      <c r="D471" s="1" t="s">
        <v>1792</v>
      </c>
      <c r="E471" s="2" t="s">
        <v>1793</v>
      </c>
      <c r="F471" s="2" t="s">
        <v>1794</v>
      </c>
      <c r="G471" s="2">
        <v>6</v>
      </c>
      <c r="H471" s="2">
        <v>0</v>
      </c>
      <c r="I471" s="1">
        <v>0</v>
      </c>
      <c r="J471" s="3" t="s">
        <v>111</v>
      </c>
      <c r="K471" s="2" t="str">
        <f>J471*1478.58</f>
        <v>0</v>
      </c>
      <c r="L471" s="5"/>
    </row>
    <row r="472" spans="1:12" customHeight="1" ht="105" outlineLevel="4">
      <c r="A472" s="1"/>
      <c r="B472" s="1">
        <v>834575</v>
      </c>
      <c r="C472" s="1" t="s">
        <v>1795</v>
      </c>
      <c r="D472" s="1" t="s">
        <v>1796</v>
      </c>
      <c r="E472" s="2" t="s">
        <v>1797</v>
      </c>
      <c r="F472" s="2" t="s">
        <v>1798</v>
      </c>
      <c r="G472" s="2">
        <v>7</v>
      </c>
      <c r="H472" s="2">
        <v>0</v>
      </c>
      <c r="I472" s="1">
        <v>0</v>
      </c>
      <c r="J472" s="3" t="s">
        <v>111</v>
      </c>
      <c r="K472" s="2" t="str">
        <f>J472*536.99</f>
        <v>0</v>
      </c>
      <c r="L472" s="5"/>
    </row>
    <row r="473" spans="1:12" customHeight="1" ht="105" outlineLevel="4">
      <c r="A473" s="1"/>
      <c r="B473" s="1">
        <v>834576</v>
      </c>
      <c r="C473" s="1" t="s">
        <v>1799</v>
      </c>
      <c r="D473" s="1" t="s">
        <v>1800</v>
      </c>
      <c r="E473" s="2" t="s">
        <v>1801</v>
      </c>
      <c r="F473" s="2" t="s">
        <v>1802</v>
      </c>
      <c r="G473" s="2">
        <v>4</v>
      </c>
      <c r="H473" s="2">
        <v>0</v>
      </c>
      <c r="I473" s="1">
        <v>0</v>
      </c>
      <c r="J473" s="3" t="s">
        <v>111</v>
      </c>
      <c r="K473" s="2" t="str">
        <f>J473*1264.38</f>
        <v>0</v>
      </c>
      <c r="L473" s="5"/>
    </row>
    <row r="474" spans="1:12" customHeight="1" ht="105" outlineLevel="4">
      <c r="A474" s="1"/>
      <c r="B474" s="1">
        <v>834577</v>
      </c>
      <c r="C474" s="1" t="s">
        <v>1803</v>
      </c>
      <c r="D474" s="1" t="s">
        <v>1804</v>
      </c>
      <c r="E474" s="2" t="s">
        <v>1805</v>
      </c>
      <c r="F474" s="2" t="s">
        <v>1806</v>
      </c>
      <c r="G474" s="2">
        <v>5</v>
      </c>
      <c r="H474" s="2">
        <v>0</v>
      </c>
      <c r="I474" s="1">
        <v>0</v>
      </c>
      <c r="J474" s="3" t="s">
        <v>111</v>
      </c>
      <c r="K474" s="2" t="str">
        <f>J474*1361.06</f>
        <v>0</v>
      </c>
      <c r="L474" s="5"/>
    </row>
    <row r="475" spans="1:12" customHeight="1" ht="105" outlineLevel="4">
      <c r="A475" s="1"/>
      <c r="B475" s="1">
        <v>834578</v>
      </c>
      <c r="C475" s="1" t="s">
        <v>1807</v>
      </c>
      <c r="D475" s="1" t="s">
        <v>1808</v>
      </c>
      <c r="E475" s="2" t="s">
        <v>1809</v>
      </c>
      <c r="F475" s="2" t="s">
        <v>1810</v>
      </c>
      <c r="G475" s="2" t="s">
        <v>61</v>
      </c>
      <c r="H475" s="2">
        <v>0</v>
      </c>
      <c r="I475" s="1">
        <v>0</v>
      </c>
      <c r="J475" s="3" t="s">
        <v>111</v>
      </c>
      <c r="K475" s="2" t="str">
        <f>J475*470.05</f>
        <v>0</v>
      </c>
      <c r="L475" s="5"/>
    </row>
    <row r="476" spans="1:12" customHeight="1" ht="105" outlineLevel="4">
      <c r="A476" s="1"/>
      <c r="B476" s="1">
        <v>837315</v>
      </c>
      <c r="C476" s="1" t="s">
        <v>1811</v>
      </c>
      <c r="D476" s="1" t="s">
        <v>1812</v>
      </c>
      <c r="E476" s="2" t="s">
        <v>1813</v>
      </c>
      <c r="F476" s="2" t="s">
        <v>1814</v>
      </c>
      <c r="G476" s="2" t="s">
        <v>61</v>
      </c>
      <c r="H476" s="2">
        <v>0</v>
      </c>
      <c r="I476" s="1">
        <v>0</v>
      </c>
      <c r="J476" s="3" t="s">
        <v>111</v>
      </c>
      <c r="K476" s="2" t="str">
        <f>J476*92.23</f>
        <v>0</v>
      </c>
      <c r="L476" s="5"/>
    </row>
    <row r="477" spans="1:12" customHeight="1" ht="105" outlineLevel="4">
      <c r="A477" s="1"/>
      <c r="B477" s="1">
        <v>837316</v>
      </c>
      <c r="C477" s="1" t="s">
        <v>1815</v>
      </c>
      <c r="D477" s="1" t="s">
        <v>1816</v>
      </c>
      <c r="E477" s="2" t="s">
        <v>1817</v>
      </c>
      <c r="F477" s="2" t="s">
        <v>1814</v>
      </c>
      <c r="G477" s="2" t="s">
        <v>124</v>
      </c>
      <c r="H477" s="2">
        <v>0</v>
      </c>
      <c r="I477" s="1">
        <v>0</v>
      </c>
      <c r="J477" s="3" t="s">
        <v>111</v>
      </c>
      <c r="K477" s="2" t="str">
        <f>J477*92.23</f>
        <v>0</v>
      </c>
      <c r="L477" s="5"/>
    </row>
    <row r="478" spans="1:12" customHeight="1" ht="105" outlineLevel="4">
      <c r="A478" s="1"/>
      <c r="B478" s="1">
        <v>837317</v>
      </c>
      <c r="C478" s="1" t="s">
        <v>1818</v>
      </c>
      <c r="D478" s="1" t="s">
        <v>1819</v>
      </c>
      <c r="E478" s="2" t="s">
        <v>1820</v>
      </c>
      <c r="F478" s="2" t="s">
        <v>1509</v>
      </c>
      <c r="G478" s="2" t="s">
        <v>61</v>
      </c>
      <c r="H478" s="2">
        <v>0</v>
      </c>
      <c r="I478" s="1">
        <v>0</v>
      </c>
      <c r="J478" s="3" t="s">
        <v>111</v>
      </c>
      <c r="K478" s="2" t="str">
        <f>J478*101.15</f>
        <v>0</v>
      </c>
      <c r="L478" s="5"/>
    </row>
    <row r="479" spans="1:12" customHeight="1" ht="105" outlineLevel="4">
      <c r="A479" s="1"/>
      <c r="B479" s="1">
        <v>837318</v>
      </c>
      <c r="C479" s="1" t="s">
        <v>1821</v>
      </c>
      <c r="D479" s="1" t="s">
        <v>1822</v>
      </c>
      <c r="E479" s="2" t="s">
        <v>1823</v>
      </c>
      <c r="F479" s="2" t="s">
        <v>1402</v>
      </c>
      <c r="G479" s="2">
        <v>0</v>
      </c>
      <c r="H479" s="2">
        <v>0</v>
      </c>
      <c r="I479" s="1">
        <v>0</v>
      </c>
      <c r="J479" s="3" t="s">
        <v>111</v>
      </c>
      <c r="K479" s="2" t="str">
        <f>J479*133.88</f>
        <v>0</v>
      </c>
      <c r="L479" s="5"/>
    </row>
    <row r="480" spans="1:12" customHeight="1" ht="105" outlineLevel="4">
      <c r="A480" s="1"/>
      <c r="B480" s="1">
        <v>837319</v>
      </c>
      <c r="C480" s="1" t="s">
        <v>1824</v>
      </c>
      <c r="D480" s="1" t="s">
        <v>1825</v>
      </c>
      <c r="E480" s="2" t="s">
        <v>1826</v>
      </c>
      <c r="F480" s="2" t="s">
        <v>1827</v>
      </c>
      <c r="G480" s="2" t="s">
        <v>61</v>
      </c>
      <c r="H480" s="2">
        <v>0</v>
      </c>
      <c r="I480" s="1">
        <v>0</v>
      </c>
      <c r="J480" s="3" t="s">
        <v>111</v>
      </c>
      <c r="K480" s="2" t="str">
        <f>J480*145.78</f>
        <v>0</v>
      </c>
      <c r="L480" s="5"/>
    </row>
    <row r="481" spans="1:12" customHeight="1" ht="105" outlineLevel="4">
      <c r="A481" s="1"/>
      <c r="B481" s="1">
        <v>837320</v>
      </c>
      <c r="C481" s="1" t="s">
        <v>1828</v>
      </c>
      <c r="D481" s="1" t="s">
        <v>1829</v>
      </c>
      <c r="E481" s="2" t="s">
        <v>1830</v>
      </c>
      <c r="F481" s="2" t="s">
        <v>1831</v>
      </c>
      <c r="G481" s="2">
        <v>8</v>
      </c>
      <c r="H481" s="2">
        <v>0</v>
      </c>
      <c r="I481" s="1">
        <v>0</v>
      </c>
      <c r="J481" s="3" t="s">
        <v>111</v>
      </c>
      <c r="K481" s="2" t="str">
        <f>J481*230.56</f>
        <v>0</v>
      </c>
      <c r="L481" s="5"/>
    </row>
    <row r="482" spans="1:12" customHeight="1" ht="105" outlineLevel="4">
      <c r="A482" s="1"/>
      <c r="B482" s="1">
        <v>837321</v>
      </c>
      <c r="C482" s="1" t="s">
        <v>1832</v>
      </c>
      <c r="D482" s="1" t="s">
        <v>1833</v>
      </c>
      <c r="E482" s="2" t="s">
        <v>1834</v>
      </c>
      <c r="F482" s="2" t="s">
        <v>1835</v>
      </c>
      <c r="G482" s="2">
        <v>4</v>
      </c>
      <c r="H482" s="2">
        <v>0</v>
      </c>
      <c r="I482" s="1">
        <v>0</v>
      </c>
      <c r="J482" s="3" t="s">
        <v>111</v>
      </c>
      <c r="K482" s="2" t="str">
        <f>J482*282.63</f>
        <v>0</v>
      </c>
      <c r="L48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29:K29"/>
    <mergeCell ref="A4:K4"/>
    <mergeCell ref="A14:K14"/>
    <mergeCell ref="A23:K23"/>
    <mergeCell ref="A30:K30"/>
    <mergeCell ref="A277:K277"/>
    <mergeCell ref="A314:K31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2025-10-29T11:22:22+03:00</dcterms:created>
  <dcterms:modified xsi:type="dcterms:W3CDTF">2025-10-29T11:22:22+03:00</dcterms:modified>
  <dc:title>Untitled Spreadsheet</dc:title>
  <dc:description/>
  <dc:subject/>
  <cp:keywords/>
  <cp:category/>
</cp:coreProperties>
</file>