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<sst xmlns="http://schemas.openxmlformats.org/spreadsheetml/2006/main" uniqueCount="2565">
  <si>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</si>
  <si>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</si>
  <si>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</si>
  <si>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</si>
  <si>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</si>
  <si>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</si>
  <si>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</si>
  <si>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</si>
  <si>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</si>
  <si>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</si>
  <si>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</si>
  <si>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</si>
  <si>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</si>
  <si>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</si>
  <si>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</si>
  <si>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</si>
  <si>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</si>
  <si>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шт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</si>
  <si>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</si>
  <si>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</si>
  <si>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</si>
  <si>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</si>
  <si>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</si>
  <si>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</si>
  <si>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</si>
  <si>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</si>
  <si>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</si>
  <si>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</si>
  <si>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</si>
  <si>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</si>
  <si>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</si>
  <si>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</si>
  <si>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</si>
  <si>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</si>
  <si>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</si>
  <si>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</si>
  <si>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</si>
  <si>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</si>
  <si>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&gt;10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</si>
  <si>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</si>
  <si>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</si>
  <si>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</si>
  <si>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</si>
  <si>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</si>
  <si>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</si>
  <si>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</si>
  <si>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</si>
  <si>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</si>
  <si>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</si>
  <si>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</si>
  <si>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</si>
  <si>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</si>
  <si>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</si>
  <si>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</si>
  <si>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</si>
  <si>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</si>
  <si>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</si>
  <si>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</si>
  <si>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</si>
  <si>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</si>
  <si>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</si>
  <si>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</si>
  <si>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</si>
  <si>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</si>
  <si>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</si>
  <si>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</si>
  <si>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</si>
  <si>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</si>
  <si>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</si>
  <si>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</si>
  <si>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</si>
  <si>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</si>
  <si>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</si>
  <si>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</si>
  <si>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7 335.10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</si>
  <si>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</si>
  <si>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</si>
  <si>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</si>
  <si>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</si>
  <si>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</si>
  <si>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</si>
  <si>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</si>
  <si>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</si>
  <si>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7 455.56 руб.</t>
  </si>
  <si>
    <t>SMS-160078</t>
  </si>
  <si>
    <t>V063572</t>
  </si>
  <si>
    <t>5 963.58 руб.</t>
  </si>
  <si>
    <t>SMS-160079</t>
  </si>
  <si>
    <t>V113573</t>
  </si>
  <si>
    <t>13 847.29 руб.</t>
  </si>
  <si>
    <t>SMS-160080</t>
  </si>
  <si>
    <t>V113562</t>
  </si>
  <si>
    <t>Душевая система VIEIR (1/4шт)</t>
  </si>
  <si>
    <t>14 318.98 руб.</t>
  </si>
  <si>
    <t>SMS-160081</t>
  </si>
  <si>
    <t>V033562</t>
  </si>
  <si>
    <t>Душевая система VIEIR (1/5шт)</t>
  </si>
  <si>
    <t>12 124.54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</si>
  <si>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</si>
  <si>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</si>
  <si>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</si>
  <si>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</si>
  <si>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</si>
  <si>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</si>
  <si>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</si>
  <si>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</si>
  <si>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10 449.69 руб.</t>
  </si>
  <si>
    <t>SMS-160085</t>
  </si>
  <si>
    <t>V25001</t>
  </si>
  <si>
    <t>6 882.28 руб.</t>
  </si>
  <si>
    <t>SMS-160086</t>
  </si>
  <si>
    <t>V25002</t>
  </si>
  <si>
    <t>9 297.32 руб.</t>
  </si>
  <si>
    <t>SMS-160087</t>
  </si>
  <si>
    <t>V130162</t>
  </si>
  <si>
    <t>Душевая система VIEIR (1/10шт)</t>
  </si>
  <si>
    <t>12 118.74 руб.</t>
  </si>
  <si>
    <t>SMS-160088</t>
  </si>
  <si>
    <t>V023562</t>
  </si>
  <si>
    <t>8 946.09 руб.</t>
  </si>
  <si>
    <t>SMS-160089</t>
  </si>
  <si>
    <t>V043562</t>
  </si>
  <si>
    <t>15 845.79 руб.</t>
  </si>
  <si>
    <t>SMS-160090</t>
  </si>
  <si>
    <t>V053562</t>
  </si>
  <si>
    <t>13 139.03 руб.</t>
  </si>
  <si>
    <t>SMS-160091</t>
  </si>
  <si>
    <t>V063562</t>
  </si>
  <si>
    <t>13 420.59 руб.</t>
  </si>
  <si>
    <t>SMS-160206</t>
  </si>
  <si>
    <t>V174062</t>
  </si>
  <si>
    <t>Душевая система  Подсолнух  3-х функциональная, литой излив (4/1шт)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</si>
  <si>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</si>
  <si>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</si>
  <si>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</si>
  <si>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</si>
  <si>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16 699.18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</si>
  <si>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</si>
  <si>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</si>
  <si>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</si>
  <si>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</si>
  <si>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</si>
  <si>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</si>
  <si>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21 356.55 руб.</t>
  </si>
  <si>
    <t>Комплектующие для смесителей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</si>
  <si>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</si>
  <si>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</si>
  <si>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</si>
  <si>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</si>
  <si>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</si>
  <si>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&gt;500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</si>
  <si>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</si>
  <si>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</si>
  <si>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</si>
  <si>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</si>
  <si>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</si>
  <si>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</si>
  <si>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</si>
  <si>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</si>
  <si>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&gt;25</t>
  </si>
  <si>
    <t>SMS-380050</t>
  </si>
  <si>
    <t>Аэратор для излива металл (нар. резьба) (1/20шт)</t>
  </si>
  <si>
    <t>35.37 руб.</t>
  </si>
  <si>
    <t>SMS-380051</t>
  </si>
  <si>
    <t>Аэратор для излива металл (вн. резьба) (1/20шт)</t>
  </si>
  <si>
    <t>SMS-381003</t>
  </si>
  <si>
    <t>Аэратор для смесителя поворотный с регулировкой давления, потока и экономией расхода воды</t>
  </si>
  <si>
    <t>60.48 руб.</t>
  </si>
  <si>
    <t>SMS-381004</t>
  </si>
  <si>
    <t>Аэратор для смесителя, на шланге, поворотный, нерж сталь, ПВХ, ABS</t>
  </si>
  <si>
    <t>88.48 руб.</t>
  </si>
  <si>
    <t>Дивертеры</t>
  </si>
  <si>
    <t>FIO-330001</t>
  </si>
  <si>
    <t>Дивертор на кран</t>
  </si>
  <si>
    <t>883.83 руб.</t>
  </si>
  <si>
    <t>SMS-180343</t>
  </si>
  <si>
    <t>UFQ-1202</t>
  </si>
  <si>
    <t>дивертор G.Lauf перекл. ванна/душ картриджный UFQ-1202</t>
  </si>
  <si>
    <t>612.97 руб.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</si>
  <si>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</si>
  <si>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</si>
  <si>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</si>
  <si>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</si>
  <si>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</si>
  <si>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</si>
  <si>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</si>
  <si>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SMS-180414</t>
  </si>
  <si>
    <t>SFQ-1023</t>
  </si>
  <si>
    <t>дивертор Solone перекл. ванна/душ шаровый SFQ-1023</t>
  </si>
  <si>
    <t>646.27 руб.</t>
  </si>
  <si>
    <t>SMS-311002</t>
  </si>
  <si>
    <t>- Дивертор шаровой</t>
  </si>
  <si>
    <t>185.00 руб.</t>
  </si>
  <si>
    <t>SMS-311003</t>
  </si>
  <si>
    <t>SMS-311005</t>
  </si>
  <si>
    <t>- Дивертор шаровой цинк</t>
  </si>
  <si>
    <t>192.64 руб.</t>
  </si>
  <si>
    <t>SMS-311006</t>
  </si>
  <si>
    <t>- Дивертор шаровой, цинк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</si>
  <si>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</si>
  <si>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</si>
  <si>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</si>
  <si>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</si>
  <si>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</si>
  <si>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SMS-180041</t>
  </si>
  <si>
    <t>UCG-3257KB</t>
  </si>
  <si>
    <t>излив G.Lauf рефлекторный для ZOP4, черный UCG-3257KB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</si>
  <si>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</si>
  <si>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</si>
  <si>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</si>
  <si>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</si>
  <si>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</si>
  <si>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</si>
  <si>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</si>
  <si>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</si>
  <si>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</si>
  <si>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</si>
  <si>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SMS-180347</t>
  </si>
  <si>
    <t>UCG-2131</t>
  </si>
  <si>
    <t>излив G.Lauf для кухни, резьба UCG-2131</t>
  </si>
  <si>
    <t>227.03 руб.</t>
  </si>
  <si>
    <t>&gt;50</t>
  </si>
  <si>
    <t>SMS-180348</t>
  </si>
  <si>
    <t>UCG-2230-35cm</t>
  </si>
  <si>
    <t>излив G.Lauf круглый для ванны 350 мм, нерж. UCG-2230</t>
  </si>
  <si>
    <t>284.54 руб.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</si>
  <si>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</si>
  <si>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</si>
  <si>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</si>
  <si>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</si>
  <si>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</si>
  <si>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</si>
  <si>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</si>
  <si>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</si>
  <si>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</si>
  <si>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</si>
  <si>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</si>
  <si>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</si>
  <si>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</si>
  <si>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</si>
  <si>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</si>
  <si>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</si>
  <si>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</si>
  <si>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</si>
  <si>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</si>
  <si>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</si>
  <si>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</si>
  <si>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</si>
  <si>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</si>
  <si>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</si>
  <si>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</si>
  <si>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</si>
  <si>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</si>
  <si>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</si>
  <si>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</si>
  <si>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</si>
  <si>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</si>
  <si>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</si>
  <si>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</si>
  <si>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</si>
  <si>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</si>
  <si>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</si>
  <si>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</si>
  <si>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</si>
  <si>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</si>
  <si>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</si>
  <si>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</si>
  <si>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</si>
  <si>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</si>
  <si>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</si>
  <si>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</si>
  <si>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</si>
  <si>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</si>
  <si>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</si>
  <si>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</si>
  <si>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</si>
  <si>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</si>
  <si>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</si>
  <si>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</si>
  <si>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</si>
  <si>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</si>
  <si>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</si>
  <si>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</si>
  <si>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</si>
  <si>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</si>
  <si>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</si>
  <si>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</si>
  <si>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</si>
  <si>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</si>
  <si>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</si>
  <si>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SMS-340015</t>
  </si>
  <si>
    <t>- Излив для кухни ГИБКИЙ OUTE</t>
  </si>
  <si>
    <t>841.77 руб.</t>
  </si>
  <si>
    <t>SMS-340016</t>
  </si>
  <si>
    <t>Излив для кухни гибкий, белый OUTE</t>
  </si>
  <si>
    <t>824.09 руб.</t>
  </si>
  <si>
    <t>SMS-340017</t>
  </si>
  <si>
    <t>Излив для кухни гибкий, черный OUTE</t>
  </si>
  <si>
    <t>SMS-340018</t>
  </si>
  <si>
    <t>Излив для кухни гибкий, оранжевый OUTE</t>
  </si>
  <si>
    <t>SMS-340019</t>
  </si>
  <si>
    <t>Излив для кухни гибкий, серый OUTE</t>
  </si>
  <si>
    <t>SMS-340020</t>
  </si>
  <si>
    <t>Излив для кухни гибкий, зеленый OUTE</t>
  </si>
  <si>
    <t>SMS-340021</t>
  </si>
  <si>
    <t>Излив для кухни гибкий, желтый OUTE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</si>
  <si>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</si>
  <si>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</si>
  <si>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</si>
  <si>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</si>
  <si>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</si>
  <si>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</si>
  <si>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</si>
  <si>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</si>
  <si>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</si>
  <si>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</si>
  <si>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</si>
  <si>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</si>
  <si>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</si>
  <si>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</si>
  <si>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</si>
  <si>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Картриджи</t>
  </si>
  <si>
    <t>SMS-180329</t>
  </si>
  <si>
    <t>UFX-1246</t>
  </si>
  <si>
    <t>картридж G.Lauf ⌀40 UFX-1246</t>
  </si>
  <si>
    <t>196.76 руб.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</si>
  <si>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</si>
  <si>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</si>
  <si>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</si>
  <si>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</si>
  <si>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</si>
  <si>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</si>
  <si>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</si>
  <si>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</si>
  <si>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</si>
  <si>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</si>
  <si>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</si>
  <si>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</si>
  <si>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</si>
  <si>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</si>
  <si>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</si>
  <si>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204.32 руб.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</si>
  <si>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</si>
  <si>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</si>
  <si>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</si>
  <si>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</si>
  <si>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</si>
  <si>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</si>
  <si>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</si>
  <si>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219.46 руб.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</si>
  <si>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</si>
  <si>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</si>
  <si>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</si>
  <si>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</si>
  <si>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</si>
  <si>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</si>
  <si>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</si>
  <si>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</si>
  <si>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</si>
  <si>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</si>
  <si>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</si>
  <si>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</si>
  <si>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</si>
  <si>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</si>
  <si>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</si>
  <si>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</si>
  <si>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</si>
  <si>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</si>
  <si>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</si>
  <si>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</si>
  <si>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</si>
  <si>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</si>
  <si>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</si>
  <si>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</si>
  <si>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</si>
  <si>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</si>
  <si>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198.27 руб.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</si>
  <si>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</si>
  <si>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</si>
  <si>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</si>
  <si>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</si>
  <si>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</si>
  <si>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</si>
  <si>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</si>
  <si>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</si>
  <si>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</si>
  <si>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</si>
  <si>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</si>
  <si>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</si>
  <si>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</si>
  <si>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</si>
  <si>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</si>
  <si>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SMS-351001</t>
  </si>
  <si>
    <t>Картридж керамический 35мм</t>
  </si>
  <si>
    <t>99.46 руб.</t>
  </si>
  <si>
    <t>SMS-351002</t>
  </si>
  <si>
    <t>Картридж керамический 40мм</t>
  </si>
  <si>
    <t>SMS-390003</t>
  </si>
  <si>
    <t>Картридж для смесителя 40мм</t>
  </si>
  <si>
    <t>113.18 руб.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</si>
  <si>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</si>
  <si>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</si>
  <si>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</si>
  <si>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</si>
  <si>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</si>
  <si>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</si>
  <si>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</si>
  <si>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</si>
  <si>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</si>
  <si>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</si>
  <si>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</si>
  <si>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</si>
  <si>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</si>
  <si>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&gt;100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</si>
  <si>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</si>
  <si>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</si>
  <si>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</si>
  <si>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</si>
  <si>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</si>
  <si>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</si>
  <si>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SMS-180375</t>
  </si>
  <si>
    <t>UFM-1028</t>
  </si>
  <si>
    <t>гайка - корона G.Lauf UFM-1028</t>
  </si>
  <si>
    <t>SMS-180415</t>
  </si>
  <si>
    <t>SJG-001</t>
  </si>
  <si>
    <t>Пара штуцеров- удлинителей Solone для подводки (Lt) SJG-001</t>
  </si>
  <si>
    <t>127.14 руб.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</si>
  <si>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</si>
  <si>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</si>
  <si>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</si>
  <si>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</si>
  <si>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</si>
  <si>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</si>
  <si>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</si>
  <si>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</si>
  <si>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</si>
  <si>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</si>
  <si>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</si>
  <si>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</si>
  <si>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</si>
  <si>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</si>
  <si>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</si>
  <si>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</si>
  <si>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</si>
  <si>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</si>
  <si>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</si>
  <si>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</si>
  <si>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</si>
  <si>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</si>
  <si>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</si>
  <si>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</si>
  <si>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</si>
  <si>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</si>
  <si>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</si>
  <si>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</si>
  <si>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</si>
  <si>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</si>
  <si>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</si>
  <si>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</si>
  <si>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</si>
  <si>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</si>
  <si>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</si>
  <si>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</si>
  <si>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</si>
  <si>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</si>
  <si>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</si>
  <si>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</si>
  <si>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</si>
  <si>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</si>
  <si>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</si>
  <si>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</si>
  <si>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</si>
  <si>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</si>
  <si>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</si>
  <si>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</si>
  <si>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</si>
  <si>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0.00 руб.</t>
  </si>
  <si>
    <t>пар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</si>
  <si>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</si>
  <si>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</si>
  <si>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</si>
  <si>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</si>
  <si>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</si>
  <si>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</si>
  <si>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</si>
  <si>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</si>
  <si>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</si>
  <si>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</si>
  <si>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</si>
  <si>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</si>
  <si>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</si>
  <si>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</si>
  <si>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</si>
  <si>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</si>
  <si>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</si>
  <si>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</si>
  <si>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</si>
  <si>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</si>
  <si>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</si>
  <si>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121.98 руб.</t>
  </si>
  <si>
    <t>SMS-350015</t>
  </si>
  <si>
    <t>VRKP20-1</t>
  </si>
  <si>
    <t>Кран - букса универсальная усиленная  20 ШЛИЦОВ - 1 VR в блистере (1/340шт)</t>
  </si>
  <si>
    <t>188.91 руб.</t>
  </si>
  <si>
    <t>SMS-350016</t>
  </si>
  <si>
    <t>VRKP20-2</t>
  </si>
  <si>
    <t>Пара универсальных усиленных кран-букс 20 ШЛИЦОВ - 2 VR в блистере (2/170пар)</t>
  </si>
  <si>
    <t>383.78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</si>
  <si>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</si>
  <si>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</si>
  <si>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</si>
  <si>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</si>
  <si>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385.26 руб.</t>
  </si>
  <si>
    <t>SMS-350018</t>
  </si>
  <si>
    <t>VRXP20-2</t>
  </si>
  <si>
    <t>Пара кран-букс для смесители 20 ШЛИЦОВ - 2 VR в блистере (2/170пар)</t>
  </si>
  <si>
    <t>361.46 руб.</t>
  </si>
  <si>
    <t>SMS-350019</t>
  </si>
  <si>
    <t>VRXP24-2</t>
  </si>
  <si>
    <t>Пара кран-букс для смесители 24 ШЛИЦА - 2 VR в блистере (2/170пар)</t>
  </si>
  <si>
    <t>SMS-351006</t>
  </si>
  <si>
    <t>- Кран-букса 1/2 керамич. Rain к сериям 500 (к ручкам 03,16), под квадрат, цена за 1шт</t>
  </si>
  <si>
    <t>113.96 руб.</t>
  </si>
  <si>
    <t>SMS-351007</t>
  </si>
  <si>
    <t>- Кран-букса 1/2 керамич. Rain к сериям 500 (к ручкам 12,09,04), вращение 90 грд., цена за 1шт</t>
  </si>
  <si>
    <t>62.72 руб.</t>
  </si>
  <si>
    <t>SMS-351013</t>
  </si>
  <si>
    <t>- Кран-букса 1/2 керамич. под крест 24шл, цена за 1шт</t>
  </si>
  <si>
    <t>53.76 руб.</t>
  </si>
  <si>
    <t>SMS-351016</t>
  </si>
  <si>
    <t>- Кран-букса 18х1 резина (Рос) 036, цена за 1шт</t>
  </si>
  <si>
    <t>63.84 руб.</t>
  </si>
  <si>
    <t>SMS-351017</t>
  </si>
  <si>
    <t>- Кран-букса 18х1 резина под крест (Рос) 036-1, цена за 1шт</t>
  </si>
  <si>
    <t>40.00 руб.</t>
  </si>
  <si>
    <t>SMS-351021</t>
  </si>
  <si>
    <t>- Кран-букса 3/8 резина под квадрат, цена за 1шт</t>
  </si>
  <si>
    <t>24.00 руб.</t>
  </si>
  <si>
    <t>Лейки и держатели</t>
  </si>
  <si>
    <t>SMS-180266</t>
  </si>
  <si>
    <t>UHS-1102</t>
  </si>
  <si>
    <t>Лейка G.Lauf для душа, 1-функциональная, UHS-1102</t>
  </si>
  <si>
    <t>301.19 руб.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</si>
  <si>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</si>
  <si>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</si>
  <si>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</si>
  <si>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</si>
  <si>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</si>
  <si>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</si>
  <si>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</si>
  <si>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SMS-180269</t>
  </si>
  <si>
    <t>UHS-1606</t>
  </si>
  <si>
    <t>Лейка G.Lauf для душа, 1-функциональная, UHS-1606</t>
  </si>
  <si>
    <t>307.24 руб.</t>
  </si>
  <si>
    <t>SMS-180270</t>
  </si>
  <si>
    <t>UHS-1107</t>
  </si>
  <si>
    <t>Лейка G.Lauf для душа, 1-функциональная, UHS-1107</t>
  </si>
  <si>
    <t>SMS-180271</t>
  </si>
  <si>
    <t>UHS-1108 BLUE</t>
  </si>
  <si>
    <t>Лейка G.Lauf для душа, 1-функциональная, UHS-1108 BLUE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</si>
  <si>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</si>
  <si>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</si>
  <si>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</si>
  <si>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</si>
  <si>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</si>
  <si>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</si>
  <si>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</si>
  <si>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SMS-180274</t>
  </si>
  <si>
    <t>UHS-1130</t>
  </si>
  <si>
    <t>Лейка G.Lauf для душа, 1-функциональная, UHS-1130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</si>
  <si>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</si>
  <si>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</si>
  <si>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</si>
  <si>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</si>
  <si>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</si>
  <si>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</si>
  <si>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</si>
  <si>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SMS-180277</t>
  </si>
  <si>
    <t>UHS-1150</t>
  </si>
  <si>
    <t>Лейка G.Lauf для душа, 5-функциональная, UHS-1150</t>
  </si>
  <si>
    <t>346.59 руб.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</si>
  <si>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</si>
  <si>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</si>
  <si>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</si>
  <si>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</si>
  <si>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</si>
  <si>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</si>
  <si>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</si>
  <si>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</si>
  <si>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</si>
  <si>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</si>
  <si>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</si>
  <si>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</si>
  <si>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</si>
  <si>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</si>
  <si>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</si>
  <si>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</si>
  <si>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</si>
  <si>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</si>
  <si>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</si>
  <si>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</si>
  <si>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</si>
  <si>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</si>
  <si>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</si>
  <si>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</si>
  <si>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</si>
  <si>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</si>
  <si>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</si>
  <si>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</si>
  <si>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</si>
  <si>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</si>
  <si>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</si>
  <si>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</si>
  <si>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</si>
  <si>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</si>
  <si>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</si>
  <si>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570.59 руб.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</si>
  <si>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</si>
  <si>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</si>
  <si>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</si>
  <si>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</si>
  <si>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</si>
  <si>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</si>
  <si>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</si>
  <si>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</si>
  <si>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</si>
  <si>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693.19 руб.</t>
  </si>
  <si>
    <t>SMS-180291</t>
  </si>
  <si>
    <t>UHS-1232</t>
  </si>
  <si>
    <t>Лейка G.Lauf для душа, 5-функциональная, UHS-1232</t>
  </si>
  <si>
    <t>611.46 руб.</t>
  </si>
  <si>
    <t>SMS-180293</t>
  </si>
  <si>
    <t>UHS-2101</t>
  </si>
  <si>
    <t>Лейка G.Lauf для биде UHS-2101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</si>
  <si>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</si>
  <si>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</si>
  <si>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</si>
  <si>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</si>
  <si>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</si>
  <si>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</si>
  <si>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</si>
  <si>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</si>
  <si>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</si>
  <si>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</si>
  <si>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</si>
  <si>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</si>
  <si>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</si>
  <si>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</si>
  <si>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</si>
  <si>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SMS-330046</t>
  </si>
  <si>
    <t>VR1001</t>
  </si>
  <si>
    <t>Лейка душевая  однорежимная VIEIR (1/40шт)</t>
  </si>
  <si>
    <t>490.55 руб.</t>
  </si>
  <si>
    <t>SMS-330047</t>
  </si>
  <si>
    <t>VR1002</t>
  </si>
  <si>
    <t>593.60 руб.</t>
  </si>
  <si>
    <t>SMS-330048</t>
  </si>
  <si>
    <t>VR1031</t>
  </si>
  <si>
    <t>551.51 руб.</t>
  </si>
  <si>
    <t>SMS-330049</t>
  </si>
  <si>
    <t>VR1033</t>
  </si>
  <si>
    <t>555.87 руб.</t>
  </si>
  <si>
    <t>SMS-330050</t>
  </si>
  <si>
    <t>VR1044</t>
  </si>
  <si>
    <t>547.16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</si>
  <si>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</si>
  <si>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</si>
  <si>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</si>
  <si>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</si>
  <si>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</si>
  <si>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</si>
  <si>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</si>
  <si>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</si>
  <si>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</si>
  <si>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</si>
  <si>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</si>
  <si>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</si>
  <si>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600.86 руб.</t>
  </si>
  <si>
    <t>SMS-330056</t>
  </si>
  <si>
    <t>VR3005</t>
  </si>
  <si>
    <t>667.62 руб.</t>
  </si>
  <si>
    <t>SMS-330057</t>
  </si>
  <si>
    <t>VR3006</t>
  </si>
  <si>
    <t>1 042.07 руб.</t>
  </si>
  <si>
    <t>SMS-330058</t>
  </si>
  <si>
    <t>VR3031</t>
  </si>
  <si>
    <t>647.30 руб.</t>
  </si>
  <si>
    <t>SMS-330059</t>
  </si>
  <si>
    <t>VR3033</t>
  </si>
  <si>
    <t>SMS-330060</t>
  </si>
  <si>
    <t>VR3083</t>
  </si>
  <si>
    <t>885.32 руб.</t>
  </si>
  <si>
    <t>SMS-330061</t>
  </si>
  <si>
    <t>VR3083C</t>
  </si>
  <si>
    <t>Лейка душевая  3 функции (черная) VIEIR (1/40шт)</t>
  </si>
  <si>
    <t>878.06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</si>
  <si>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</si>
  <si>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</si>
  <si>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</si>
  <si>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</si>
  <si>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</si>
  <si>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</si>
  <si>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738.73 руб.</t>
  </si>
  <si>
    <t>SMS-330064</t>
  </si>
  <si>
    <t>VR5003</t>
  </si>
  <si>
    <t>894.03 руб.</t>
  </si>
  <si>
    <t>SMS-330065</t>
  </si>
  <si>
    <t>VR5005</t>
  </si>
  <si>
    <t>895.48 руб.</t>
  </si>
  <si>
    <t>SMS-330066</t>
  </si>
  <si>
    <t>VR5006</t>
  </si>
  <si>
    <t>658.91 руб.</t>
  </si>
  <si>
    <t>SMS-330067</t>
  </si>
  <si>
    <t>VR5011</t>
  </si>
  <si>
    <t>802.59 руб.</t>
  </si>
  <si>
    <t>SMS-330068</t>
  </si>
  <si>
    <t>VR5012</t>
  </si>
  <si>
    <t>992.72 руб.</t>
  </si>
  <si>
    <t>VER-100196</t>
  </si>
  <si>
    <t>MG09</t>
  </si>
  <si>
    <t>Душевая лейка 1-режимная хром КОБРА</t>
  </si>
  <si>
    <t>65.31 руб.</t>
  </si>
  <si>
    <t>Маховики</t>
  </si>
  <si>
    <t>SMS-180326</t>
  </si>
  <si>
    <t>XOT-722</t>
  </si>
  <si>
    <t>комплект G.Lauf кер. кр-бук. 180°, 1/2 + маховик, XOT-722 (1/5шт)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</si>
  <si>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</si>
  <si>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</si>
  <si>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</si>
  <si>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</si>
  <si>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</si>
  <si>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</si>
  <si>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</si>
  <si>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</si>
  <si>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</si>
  <si>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</si>
  <si>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</si>
  <si>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</si>
  <si>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</si>
  <si>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</si>
  <si>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</si>
  <si>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</si>
  <si>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</si>
  <si>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</si>
  <si>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</si>
  <si>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</si>
  <si>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</si>
  <si>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</si>
  <si>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SMS-180374</t>
  </si>
  <si>
    <t>XOT-1202</t>
  </si>
  <si>
    <t>ремкоплект G.Lauf для излива универсальный</t>
  </si>
  <si>
    <t>134.70 руб.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</si>
  <si>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</si>
  <si>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</si>
  <si>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</si>
  <si>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</si>
  <si>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</si>
  <si>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</si>
  <si>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</si>
  <si>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</si>
  <si>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</si>
  <si>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SMS-180297</t>
  </si>
  <si>
    <t>USJ-1205</t>
  </si>
  <si>
    <t>Стойка для душа USJ-1205</t>
  </si>
  <si>
    <t>2 138.59 руб.</t>
  </si>
  <si>
    <t>SMS-330069</t>
  </si>
  <si>
    <t>VR020</t>
  </si>
  <si>
    <t>Стойка душевая "VIEIR" (10шт)</t>
  </si>
  <si>
    <t>1 613.90 руб.</t>
  </si>
  <si>
    <t>SMS-330070</t>
  </si>
  <si>
    <t>VR030</t>
  </si>
  <si>
    <t>1 792.41 руб.</t>
  </si>
  <si>
    <t>SMS-330071</t>
  </si>
  <si>
    <t>VR040</t>
  </si>
  <si>
    <t>2 050.75 руб.</t>
  </si>
  <si>
    <t>SMS-330072</t>
  </si>
  <si>
    <t>VR050</t>
  </si>
  <si>
    <t>2 014.47 руб.</t>
  </si>
  <si>
    <t>SMS-330073</t>
  </si>
  <si>
    <t>VR060</t>
  </si>
  <si>
    <t>1 795.31 руб.</t>
  </si>
  <si>
    <t>SMS-330074</t>
  </si>
  <si>
    <t>VR011</t>
  </si>
  <si>
    <t>2 010.11 руб.</t>
  </si>
  <si>
    <t>SMS-330075</t>
  </si>
  <si>
    <t>VR031</t>
  </si>
  <si>
    <t>2 219.11 руб.</t>
  </si>
  <si>
    <t>Шланги для душа</t>
  </si>
  <si>
    <t>SMS-180299</t>
  </si>
  <si>
    <t>URG-1103 I*I 150cm</t>
  </si>
  <si>
    <t>Шланг G.Lauf для душа 1/2 (Imp)* 1/2 (Imp) 150 см URG-1103 (50 шт)</t>
  </si>
  <si>
    <t>217.95 руб.</t>
  </si>
  <si>
    <t>SMS-180300</t>
  </si>
  <si>
    <t>URG-1103 I*R 150cm</t>
  </si>
  <si>
    <t>Шланг G.Lauf для душа Rus*Imp 150 см URG-1103</t>
  </si>
  <si>
    <t>SMS-180302</t>
  </si>
  <si>
    <t>URG-1205 I*I 150cm</t>
  </si>
  <si>
    <t>Шланг G.Lauf для душа Imp*Imp 150 см двухслойный URG-1205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</si>
  <si>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</si>
  <si>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</si>
  <si>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</si>
  <si>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</si>
  <si>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</si>
  <si>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</si>
  <si>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</si>
  <si>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</si>
  <si>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</si>
  <si>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</si>
  <si>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</si>
  <si>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</si>
  <si>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</si>
  <si>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</si>
  <si>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</si>
  <si>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</si>
  <si>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</si>
  <si>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</si>
  <si>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</si>
  <si>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</si>
  <si>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</si>
  <si>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</si>
  <si>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</si>
  <si>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</si>
  <si>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</si>
  <si>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</si>
  <si>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</si>
  <si>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</si>
  <si>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</si>
  <si>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</si>
  <si>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</si>
  <si>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</si>
  <si>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</si>
  <si>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</si>
  <si>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</si>
  <si>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641.73 руб.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</si>
  <si>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</si>
  <si>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</si>
  <si>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</si>
  <si>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</si>
  <si>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</si>
  <si>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</si>
  <si>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</si>
  <si>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</si>
  <si>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</si>
  <si>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</si>
  <si>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</si>
  <si>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</si>
  <si>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</si>
  <si>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</si>
  <si>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</si>
  <si>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</si>
  <si>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</si>
  <si>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</si>
  <si>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</si>
  <si>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</si>
  <si>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</si>
  <si>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SMS-320001</t>
  </si>
  <si>
    <t>переходник метрич. 1/2" вн - 22*1,5 имп/рус</t>
  </si>
  <si>
    <t>183.43 руб.</t>
  </si>
  <si>
    <t>SMS-320015</t>
  </si>
  <si>
    <t>VR21150</t>
  </si>
  <si>
    <t>Шланг для душа 1/2x1/2 силиконовый метализированный 150см упак. блистер (50шт)</t>
  </si>
  <si>
    <t>327.25 руб.</t>
  </si>
  <si>
    <t>SMS-320016</t>
  </si>
  <si>
    <t>VR21175</t>
  </si>
  <si>
    <t>Шланг для душа 1/2x1/2 силиконовый метализированный 175см упак. блистер (50шт)</t>
  </si>
  <si>
    <t>351.05 руб.</t>
  </si>
  <si>
    <t>SMS-320017</t>
  </si>
  <si>
    <t>VR21200</t>
  </si>
  <si>
    <t>Шланг для душа 1/2x1/2 силиконовый метализированный 200см упак. блистер (50шт)</t>
  </si>
  <si>
    <t>377.83 руб.</t>
  </si>
  <si>
    <t>SMS-320018</t>
  </si>
  <si>
    <t>VR22150</t>
  </si>
  <si>
    <t>Шланг для душа 1/2x1/2 метал НЕРЖ  РАСТЯГИВАЮЩИЙСЯ ВРАЩАЮЩИЙСЯ 150см упак. блистер (50шт)</t>
  </si>
  <si>
    <t>278.16 руб.</t>
  </si>
  <si>
    <t>SMS-320019</t>
  </si>
  <si>
    <t>VR22175</t>
  </si>
  <si>
    <t>Шланг для душа 1/2x1/2 метал НЕРЖ  РАСТЯГИВАЮЩИЙСЯ ВРАЩАЮЩИЙСЯ 175см упак. блистер (50шт)</t>
  </si>
  <si>
    <t>300.48 руб.</t>
  </si>
  <si>
    <t>SMS-320020</t>
  </si>
  <si>
    <t>VR22200</t>
  </si>
  <si>
    <t>Шланг для душа 1/2x1/2 метал НЕРЖ  РАСТЯГИВАЮЩИЙСЯ ВРАЩАЮЩИЙСЯ  200см упак. блистер (50шт)</t>
  </si>
  <si>
    <t>322.79 руб.</t>
  </si>
  <si>
    <t>SMS-320021</t>
  </si>
  <si>
    <t>VR23150</t>
  </si>
  <si>
    <t>Шланг для душа 1/2x1/2 метал НЕРЖ  РАСТЯГИВАЮЩИЙСЯ 150см упак. блистер (50шт)</t>
  </si>
  <si>
    <t>249.90 руб.</t>
  </si>
  <si>
    <t>SMS-320022</t>
  </si>
  <si>
    <t>VR23175</t>
  </si>
  <si>
    <t>Шланг для душа 1/2x1/2 метал НЕРЖ  РАСТЯГИВАЮЩИЙСЯ 175см упак. блистер (50шт)</t>
  </si>
  <si>
    <t>269.24 руб.</t>
  </si>
  <si>
    <t>SMS-320023</t>
  </si>
  <si>
    <t>VR23200</t>
  </si>
  <si>
    <t>Шланг для душа 1/2x1/2 метал НЕРЖ  РАСТЯГИВАЮЩИЙСЯ 200см упак. блистер (50шт)</t>
  </si>
  <si>
    <t>297.50 руб.</t>
  </si>
  <si>
    <t>SMS-320024</t>
  </si>
  <si>
    <t>VR24150</t>
  </si>
  <si>
    <t>Шланг для душа 1/2х1/2 металлический LUX 150см упак. блистер (1/50шт)</t>
  </si>
  <si>
    <t>415.01 руб.</t>
  </si>
  <si>
    <t>SMS-320025</t>
  </si>
  <si>
    <t>VR24175</t>
  </si>
  <si>
    <t>Шланг для душа 1/2х1/2 металлический LUX 175см упак. блистер (1/50шт)</t>
  </si>
  <si>
    <t>444.76 руб.</t>
  </si>
  <si>
    <t>SMS-320026</t>
  </si>
  <si>
    <t>VR24200</t>
  </si>
  <si>
    <t>Шланг для душа 1/2х1/2 металлический LUX 200см упак. блистер (1/50шт)</t>
  </si>
  <si>
    <t>467.08 руб.</t>
  </si>
  <si>
    <t>SMS-320027</t>
  </si>
  <si>
    <t>VR25150</t>
  </si>
  <si>
    <t>Шланг для душа 1/2х1/2 силиконовый серебро LUX 150см упак. блистер (1/50шт)</t>
  </si>
  <si>
    <t>437.33 руб.</t>
  </si>
  <si>
    <t>SMS-320028</t>
  </si>
  <si>
    <t>VR25175</t>
  </si>
  <si>
    <t>Шланг для душа 1/2х1/2 силиконовый серебро LUX 175см упак. блистер (1/50шт)</t>
  </si>
  <si>
    <t>462.61 руб.</t>
  </si>
  <si>
    <t>SMS-320029</t>
  </si>
  <si>
    <t>VR25200</t>
  </si>
  <si>
    <t>Шланг для душа 1/2х1/2 силиконовый серебро LUX 200см упак. блистер (1/50шт)</t>
  </si>
  <si>
    <t>486.41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</si>
  <si>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</si>
  <si>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</si>
  <si>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</si>
  <si>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395.68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</si>
  <si>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</si>
  <si>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</si>
  <si>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</si>
  <si>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428.40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</si>
  <si>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</si>
  <si>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</si>
  <si>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</si>
  <si>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458.15 руб.</t>
  </si>
  <si>
    <t>SMS-320033</t>
  </si>
  <si>
    <t>40150F</t>
  </si>
  <si>
    <t>Шланг для джакузи 1/2х3/8 металлический 150см упак. блистер (1/50шт)</t>
  </si>
  <si>
    <t>453.69 руб.</t>
  </si>
  <si>
    <t>SMS-320034</t>
  </si>
  <si>
    <t>40150M</t>
  </si>
  <si>
    <t>Шланг для выдвижной лейки металлический 150см упак. блистер (50шт)</t>
  </si>
  <si>
    <t>394.19 руб.</t>
  </si>
  <si>
    <t>SMS-320040</t>
  </si>
  <si>
    <t>Шланг для душа БРОНЗА 1/2х1/2  в металлической оплетке 150см упак. блистер</t>
  </si>
  <si>
    <t>410.89 руб.</t>
  </si>
  <si>
    <t>SMS-320041</t>
  </si>
  <si>
    <t>Шланг для душа ЗОЛОТО 1/2х1/2  в металлической оплетке 150см упак. блистер</t>
  </si>
  <si>
    <t>SMS-320050</t>
  </si>
  <si>
    <t>VR31150</t>
  </si>
  <si>
    <t>Шланг для душа 150см 4-х слойная трубка ПВХ, 5 хлопковых нитей (50шт)</t>
  </si>
  <si>
    <t>301.96 руб.</t>
  </si>
  <si>
    <t>SMS-320051</t>
  </si>
  <si>
    <t>VR31175</t>
  </si>
  <si>
    <t>Шланг для душа 175см 4-х слойная трубка ПВХ, 5 хлопковых нитей (50шт)</t>
  </si>
  <si>
    <t>318.33 руб.</t>
  </si>
  <si>
    <t>SMS-320052</t>
  </si>
  <si>
    <t>VR31200</t>
  </si>
  <si>
    <t>Шланг для душа 200см 4-х слойная трубка ПВХ, 5 хлопковых нитей (50шт)</t>
  </si>
  <si>
    <t>342.13 руб.</t>
  </si>
  <si>
    <t>SMS-320053</t>
  </si>
  <si>
    <t>VR32150</t>
  </si>
  <si>
    <t>Шланг для душа 150см 4-х слойная трубка ПВХ, 8 нитей из полиэстера (50шт)</t>
  </si>
  <si>
    <t>315.35 руб.</t>
  </si>
  <si>
    <t>SMS-320054</t>
  </si>
  <si>
    <t>VR32175</t>
  </si>
  <si>
    <t>Шланг для душа 175см 4-х слойная трубка ПВХ, 8 нитей из полиэстера (50шт)</t>
  </si>
  <si>
    <t>SMS-320055</t>
  </si>
  <si>
    <t>VR32200</t>
  </si>
  <si>
    <t>Шланг для душа 200см 4-х слойная трубка ПВХ, 8 нитей из полиэстера (50шт)</t>
  </si>
  <si>
    <t>367.41 руб.</t>
  </si>
  <si>
    <t>SMS-320056</t>
  </si>
  <si>
    <t>VR33150</t>
  </si>
  <si>
    <t>Шланг для душа металлический арт.33150 (150см) (50шт)</t>
  </si>
  <si>
    <t>174.04 руб.</t>
  </si>
  <si>
    <t>SMS-320057</t>
  </si>
  <si>
    <t>VR33175</t>
  </si>
  <si>
    <t>Шланг для душа металлический арт.33175 (175см)  (50шт)</t>
  </si>
  <si>
    <t>190.40 руб.</t>
  </si>
  <si>
    <t>SMS-320058</t>
  </si>
  <si>
    <t>VR33200</t>
  </si>
  <si>
    <t>Шланг для душа металлический арт.33200 (200см) (50шт)</t>
  </si>
  <si>
    <t>203.79 руб.</t>
  </si>
  <si>
    <t>SMS-320059</t>
  </si>
  <si>
    <t>VR34150</t>
  </si>
  <si>
    <t>Шланг для душа металлический растягивающийся + антитвист арт.34150 (150см) (50шт)</t>
  </si>
  <si>
    <t>285.60 руб.</t>
  </si>
  <si>
    <t>SMS-320060</t>
  </si>
  <si>
    <t>VR34175</t>
  </si>
  <si>
    <t>Шланг для душа металлический растягивающийся + антитвист арт.34175 (175см)  (50шт)</t>
  </si>
  <si>
    <t>306.43 руб.</t>
  </si>
  <si>
    <t>SMS-320061</t>
  </si>
  <si>
    <t>VR34200</t>
  </si>
  <si>
    <t>Шланг для душа металлический растягивающийся + антитвист арт.34200 (200см) (50шт)</t>
  </si>
  <si>
    <t>324.28 руб.</t>
  </si>
  <si>
    <t>SMS-321011</t>
  </si>
  <si>
    <t>- Шланг для душа SW 150см, 1/2"(Имп)-1/2"(Имп), сталь, пластик, ПВХ</t>
  </si>
  <si>
    <t>66.08 руб.</t>
  </si>
  <si>
    <t>Эксцентрики</t>
  </si>
  <si>
    <t>FRK-110172</t>
  </si>
  <si>
    <t>PV43</t>
  </si>
  <si>
    <t>Эксцентрик для смесителя 3/4х1/2" (1/500шт)</t>
  </si>
  <si>
    <t>142.80 руб.</t>
  </si>
  <si>
    <t>FRK-110173</t>
  </si>
  <si>
    <t>PV45</t>
  </si>
  <si>
    <t>Набор коротких усиленных эксцентриков (2шт) в блистере с прокладками (1/48шт)</t>
  </si>
  <si>
    <t>FRK-110174</t>
  </si>
  <si>
    <t>PV46</t>
  </si>
  <si>
    <t>Набор длинных усиленных эксцентриков (2шт) в блистере с прокладками (1/48шт)</t>
  </si>
  <si>
    <t>489.39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</si>
  <si>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</si>
  <si>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</si>
  <si>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</si>
  <si>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</si>
  <si>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</si>
  <si>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</si>
  <si>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</si>
  <si>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SMS-180365</t>
  </si>
  <si>
    <t>XOT-318</t>
  </si>
  <si>
    <t>набор G.Lauf эксцентрики + декор. отражатели в блист. упак. XOT-318</t>
  </si>
  <si>
    <t>705.30 руб.</t>
  </si>
  <si>
    <t>Смесители для ванны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</si>
  <si>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</si>
  <si>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</si>
  <si>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</si>
  <si>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</si>
  <si>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</si>
  <si>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</si>
  <si>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</si>
  <si>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</si>
  <si>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</si>
  <si>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</si>
  <si>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</si>
  <si>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</si>
  <si>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</si>
  <si>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</si>
  <si>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</si>
  <si>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</si>
  <si>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</si>
  <si>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</si>
  <si>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</si>
  <si>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</si>
  <si>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</si>
  <si>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</si>
  <si>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</si>
  <si>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</si>
  <si>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</si>
  <si>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</si>
  <si>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</si>
  <si>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</si>
  <si>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</si>
  <si>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</si>
  <si>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</si>
  <si>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</si>
  <si>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</si>
  <si>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</si>
  <si>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</si>
  <si>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</si>
  <si>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</si>
  <si>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</si>
  <si>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</si>
  <si>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</si>
  <si>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</si>
  <si>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</si>
  <si>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</si>
  <si>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</si>
  <si>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</si>
  <si>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</si>
  <si>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</si>
  <si>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</si>
  <si>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</si>
  <si>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</si>
  <si>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</si>
  <si>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</si>
  <si>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</si>
  <si>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</si>
  <si>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</si>
  <si>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</si>
  <si>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</si>
  <si>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</si>
  <si>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</si>
  <si>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</si>
  <si>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</si>
  <si>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</si>
  <si>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</si>
  <si>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</si>
  <si>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</si>
  <si>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</si>
  <si>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</si>
  <si>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</si>
  <si>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</si>
  <si>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</si>
  <si>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</si>
  <si>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</si>
  <si>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</si>
  <si>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</si>
  <si>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</si>
  <si>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</si>
  <si>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</si>
  <si>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</si>
  <si>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</si>
  <si>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</si>
  <si>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</si>
  <si>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</si>
  <si>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</si>
  <si>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</si>
  <si>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</si>
  <si>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</si>
  <si>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</si>
  <si>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</si>
  <si>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</si>
  <si>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</si>
  <si>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</si>
  <si>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</si>
  <si>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</si>
  <si>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</si>
  <si>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</si>
  <si>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</si>
  <si>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</si>
  <si>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</si>
  <si>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</si>
  <si>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</si>
  <si>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</si>
  <si>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</si>
  <si>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</si>
  <si>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</si>
  <si>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</si>
  <si>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</si>
  <si>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</si>
  <si>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</si>
  <si>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</si>
  <si>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</si>
  <si>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</si>
  <si>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</si>
  <si>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</si>
  <si>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</si>
  <si>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</si>
  <si>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</si>
  <si>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</si>
  <si>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</si>
  <si>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</si>
  <si>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</si>
  <si>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</si>
  <si>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</si>
  <si>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</si>
  <si>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</si>
  <si>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</si>
  <si>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</si>
  <si>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</si>
  <si>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</si>
  <si>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</si>
  <si>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</si>
  <si>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</si>
  <si>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</si>
  <si>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</si>
  <si>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</si>
  <si>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</si>
  <si>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</si>
  <si>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</si>
  <si>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</si>
  <si>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</si>
  <si>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</si>
  <si>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</si>
  <si>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</si>
  <si>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</si>
  <si>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</si>
  <si>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</si>
  <si>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</si>
  <si>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</si>
  <si>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</si>
  <si>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</si>
  <si>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</si>
  <si>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</si>
  <si>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</si>
  <si>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</si>
  <si>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</si>
  <si>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</si>
  <si>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</si>
  <si>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</si>
  <si>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</si>
  <si>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</si>
  <si>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</si>
  <si>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</si>
  <si>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</si>
  <si>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</si>
  <si>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</si>
  <si>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</si>
  <si>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</si>
  <si>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</si>
  <si>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</si>
  <si>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</si>
  <si>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</si>
  <si>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</si>
  <si>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</si>
  <si>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</si>
  <si>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</si>
  <si>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</si>
  <si>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</si>
  <si>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</si>
  <si>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</si>
  <si>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</si>
  <si>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</si>
  <si>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</si>
  <si>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</si>
  <si>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</si>
  <si>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</si>
  <si>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</si>
  <si>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</si>
  <si>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</si>
  <si>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</si>
  <si>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</si>
  <si>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</si>
  <si>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</si>
  <si>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</si>
  <si>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</si>
  <si>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</si>
  <si>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</si>
  <si>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</si>
  <si>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</si>
  <si>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</si>
  <si>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</si>
  <si>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</si>
  <si>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</si>
  <si>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</si>
  <si>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</si>
  <si>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</si>
  <si>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</si>
  <si>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</si>
  <si>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</si>
  <si>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</si>
  <si>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</si>
  <si>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</si>
  <si>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</si>
  <si>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</si>
  <si>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</si>
  <si>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</si>
  <si>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</si>
  <si>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</si>
  <si>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</si>
  <si>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</si>
  <si>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</si>
  <si>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</si>
  <si>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</si>
  <si>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</si>
  <si>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</si>
  <si>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</si>
  <si>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</si>
  <si>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</si>
  <si>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</si>
  <si>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</si>
  <si>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</si>
  <si>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</si>
  <si>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</si>
  <si>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</si>
  <si>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</si>
  <si>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</si>
  <si>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</si>
  <si>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</si>
  <si>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</si>
  <si>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</si>
  <si>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</si>
  <si>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</si>
  <si>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</si>
  <si>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</si>
  <si>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</si>
  <si>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</si>
  <si>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</si>
  <si>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</si>
  <si>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</si>
  <si>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</si>
  <si>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</si>
  <si>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</si>
  <si>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</si>
  <si>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</si>
  <si>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</si>
  <si>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</si>
  <si>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</si>
  <si>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</si>
  <si>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</si>
  <si>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</si>
  <si>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</si>
  <si>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</si>
  <si>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</si>
  <si>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</si>
  <si>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</si>
  <si>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</si>
  <si>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</si>
  <si>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</si>
  <si>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</si>
  <si>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</si>
  <si>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</si>
  <si>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</si>
  <si>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</si>
  <si>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</si>
  <si>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</si>
  <si>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</si>
  <si>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</si>
  <si>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</si>
  <si>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</si>
  <si>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</si>
  <si>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</si>
  <si>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</si>
  <si>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</si>
  <si>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</si>
  <si>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</si>
  <si>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</si>
  <si>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</si>
  <si>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</si>
  <si>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</si>
  <si>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</si>
  <si>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</si>
  <si>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</si>
  <si>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</si>
  <si>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</si>
  <si>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</si>
  <si>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</si>
  <si>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1 999.35 руб.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</si>
  <si>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</si>
  <si>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</si>
  <si>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</si>
  <si>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</si>
  <si>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</si>
  <si>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</si>
  <si>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</si>
  <si>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</si>
  <si>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</si>
  <si>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</si>
  <si>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</si>
  <si>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</si>
  <si>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</si>
  <si>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</si>
  <si>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</si>
  <si>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</si>
  <si>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</si>
  <si>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</si>
  <si>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</si>
  <si>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</si>
  <si>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</si>
  <si>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</si>
  <si>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</si>
  <si>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</si>
  <si>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2 753.08 руб.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</si>
  <si>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</si>
  <si>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</si>
  <si>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</si>
  <si>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</si>
  <si>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</si>
  <si>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</si>
  <si>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2 539.67 руб.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</si>
  <si>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</si>
  <si>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</si>
  <si>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</si>
  <si>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</si>
  <si>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</si>
  <si>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</si>
  <si>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</si>
  <si>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</si>
  <si>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</si>
  <si>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</si>
  <si>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3 417.51 руб.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</si>
  <si>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</si>
  <si>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</si>
  <si>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</si>
  <si>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</si>
  <si>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</si>
  <si>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</si>
  <si>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</si>
  <si>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</si>
  <si>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</si>
  <si>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</si>
  <si>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</si>
  <si>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</si>
  <si>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</si>
  <si>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</si>
  <si>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</si>
  <si>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</si>
  <si>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</si>
  <si>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</si>
  <si>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</si>
  <si>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</si>
  <si>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</si>
  <si>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</si>
  <si>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</si>
  <si>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</si>
  <si>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</si>
  <si>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</si>
  <si>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</si>
  <si>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</si>
  <si>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</si>
  <si>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</si>
  <si>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</si>
  <si>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</si>
  <si>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</si>
  <si>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</si>
  <si>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</si>
  <si>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</si>
  <si>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</si>
  <si>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</si>
  <si>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</si>
  <si>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</si>
  <si>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</si>
  <si>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</si>
  <si>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</si>
  <si>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</si>
  <si>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</si>
  <si>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</si>
  <si>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</si>
  <si>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</si>
  <si>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</si>
  <si>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</si>
  <si>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</si>
  <si>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</si>
  <si>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</si>
  <si>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</si>
  <si>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</si>
  <si>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</si>
  <si>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</si>
  <si>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</si>
  <si>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</si>
  <si>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</si>
  <si>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</si>
  <si>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</si>
  <si>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</si>
  <si>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</si>
  <si>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</si>
  <si>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</si>
  <si>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</si>
  <si>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</si>
  <si>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</si>
  <si>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</si>
  <si>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</si>
  <si>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</si>
  <si>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</si>
  <si>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</si>
  <si>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</si>
  <si>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</si>
  <si>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</si>
  <si>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</si>
  <si>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</si>
  <si>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</si>
  <si>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</si>
  <si>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</si>
  <si>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</si>
  <si>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</si>
  <si>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</si>
  <si>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</si>
  <si>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</si>
  <si>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</si>
  <si>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</si>
  <si>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</si>
  <si>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</si>
  <si>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</si>
  <si>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</si>
  <si>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</si>
  <si>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</si>
  <si>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</si>
  <si>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</si>
  <si>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</si>
  <si>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</si>
  <si>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</si>
  <si>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</si>
  <si>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</si>
  <si>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</si>
  <si>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</si>
  <si>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</si>
  <si>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</si>
  <si>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</si>
  <si>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</si>
  <si>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</si>
  <si>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</si>
  <si>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</si>
  <si>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</si>
  <si>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</si>
  <si>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</si>
  <si>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</si>
  <si>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</si>
  <si>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</si>
  <si>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</si>
  <si>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</si>
  <si>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</si>
  <si>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</si>
  <si>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</si>
  <si>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</si>
  <si>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</si>
  <si>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</si>
  <si>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</si>
  <si>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</si>
  <si>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</si>
  <si>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</si>
  <si>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</si>
  <si>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</si>
  <si>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</si>
  <si>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</si>
  <si>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</si>
  <si>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</si>
  <si>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</si>
  <si>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</si>
  <si>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</si>
  <si>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</si>
  <si>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</si>
  <si>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3 008.86 руб.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</si>
  <si>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</si>
  <si>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</si>
  <si>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</si>
  <si>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</si>
  <si>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</si>
  <si>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</si>
  <si>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</si>
  <si>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</si>
  <si>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</si>
  <si>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</si>
  <si>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</si>
  <si>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</si>
  <si>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</si>
  <si>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</si>
  <si>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</si>
  <si>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</si>
  <si>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</si>
  <si>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</si>
  <si>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</si>
  <si>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</si>
  <si>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</si>
  <si>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</si>
  <si>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</si>
  <si>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</si>
  <si>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</si>
  <si>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7 211.74 руб.</t>
  </si>
  <si>
    <t>SMS-160002</t>
  </si>
  <si>
    <t>V093542</t>
  </si>
  <si>
    <t>Смеситель одноручковый для  ванны с длинным поворотным плоским изливом VIEIR (1/10шт)</t>
  </si>
  <si>
    <t>4 554.32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</si>
  <si>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</si>
  <si>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</si>
  <si>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</si>
  <si>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</si>
  <si>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</si>
  <si>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</si>
  <si>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</si>
  <si>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5 785.06 руб.</t>
  </si>
  <si>
    <t>SMS-160005</t>
  </si>
  <si>
    <t>V174041</t>
  </si>
  <si>
    <t>5 209.52 руб.</t>
  </si>
  <si>
    <t>SMS-160006</t>
  </si>
  <si>
    <t>V184041</t>
  </si>
  <si>
    <t>5 282.90 руб.</t>
  </si>
  <si>
    <t>SMS-160007</t>
  </si>
  <si>
    <t>V194041</t>
  </si>
  <si>
    <t>5 604.87 руб.</t>
  </si>
  <si>
    <t>SMS-160008</t>
  </si>
  <si>
    <t>V204041</t>
  </si>
  <si>
    <t>5 198.72 руб.</t>
  </si>
  <si>
    <t>SMS-160009</t>
  </si>
  <si>
    <t>V184012</t>
  </si>
  <si>
    <t>Смеситель одноручковый для умывальника VIEIR (1/10шт)</t>
  </si>
  <si>
    <t>2 327.96 руб.</t>
  </si>
  <si>
    <t>SMS-160010</t>
  </si>
  <si>
    <t>V103511</t>
  </si>
  <si>
    <t>2 515.85 руб.</t>
  </si>
  <si>
    <t>SMS-160011</t>
  </si>
  <si>
    <t>V093511</t>
  </si>
  <si>
    <t>2 737.24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</si>
  <si>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</si>
  <si>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</si>
  <si>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</si>
  <si>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</si>
  <si>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</si>
  <si>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</si>
  <si>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</si>
  <si>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</si>
  <si>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2 512.28 руб.</t>
  </si>
  <si>
    <t>SMS-160015</t>
  </si>
  <si>
    <t>V013541</t>
  </si>
  <si>
    <t>5 854.73 руб.</t>
  </si>
  <si>
    <t>SMS-160016</t>
  </si>
  <si>
    <t>V023531</t>
  </si>
  <si>
    <t>5 754.59 руб.</t>
  </si>
  <si>
    <t>SMS-160017</t>
  </si>
  <si>
    <t>V023541</t>
  </si>
  <si>
    <t>5 613.81 руб.</t>
  </si>
  <si>
    <t>SMS-160018</t>
  </si>
  <si>
    <t>V033531</t>
  </si>
  <si>
    <t>5 455.61 руб.</t>
  </si>
  <si>
    <t>SMS-160019</t>
  </si>
  <si>
    <t>V053541</t>
  </si>
  <si>
    <t>5 850.37 руб.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</si>
  <si>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</si>
  <si>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</si>
  <si>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</si>
  <si>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</si>
  <si>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</si>
  <si>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</si>
  <si>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</si>
  <si>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</si>
  <si>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</si>
  <si>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</si>
  <si>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</si>
  <si>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5 590.58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</si>
  <si>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</si>
  <si>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</si>
  <si>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</si>
  <si>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</si>
  <si>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</si>
  <si>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</si>
  <si>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5 291.61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</si>
  <si>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</si>
  <si>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</si>
  <si>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</si>
  <si>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5 351.11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</si>
  <si>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</si>
  <si>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</si>
  <si>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</si>
  <si>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4 653.01 руб.</t>
  </si>
  <si>
    <t>SMS-160028</t>
  </si>
  <si>
    <t>V013531</t>
  </si>
  <si>
    <t>5 981.00 руб.</t>
  </si>
  <si>
    <t>SMS-160029</t>
  </si>
  <si>
    <t>V033541</t>
  </si>
  <si>
    <t>5 580.42 руб.</t>
  </si>
  <si>
    <t>SMS-160030</t>
  </si>
  <si>
    <t>V043531</t>
  </si>
  <si>
    <t>5 917.14 руб.</t>
  </si>
  <si>
    <t>SMS-160031</t>
  </si>
  <si>
    <t>V043541</t>
  </si>
  <si>
    <t>5 773.45 руб.</t>
  </si>
  <si>
    <t>SMS-160032</t>
  </si>
  <si>
    <t>V063541</t>
  </si>
  <si>
    <t>4 622.54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</si>
  <si>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</si>
  <si>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</si>
  <si>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</si>
  <si>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</si>
  <si>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</si>
  <si>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</si>
  <si>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</si>
  <si>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</si>
  <si>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</si>
  <si>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</si>
  <si>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4 866.36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</si>
  <si>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</si>
  <si>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</si>
  <si>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</si>
  <si>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4 806.86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</si>
  <si>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</si>
  <si>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</si>
  <si>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</si>
  <si>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4 838.79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</si>
  <si>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</si>
  <si>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</si>
  <si>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</si>
  <si>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12 426.42 руб.</t>
  </si>
  <si>
    <t>SMS-160039</t>
  </si>
  <si>
    <t>V130142</t>
  </si>
  <si>
    <t>4 698.01 руб.</t>
  </si>
  <si>
    <t>SMS-160040</t>
  </si>
  <si>
    <t>V150131</t>
  </si>
  <si>
    <t>Смеситель двуручковый для  ванны с коротким изливом VIEIR (1/10шт)</t>
  </si>
  <si>
    <t>5 576.07 руб.</t>
  </si>
  <si>
    <t>SMS-160041</t>
  </si>
  <si>
    <t>V150142</t>
  </si>
  <si>
    <t>5 422.23 руб.</t>
  </si>
  <si>
    <t>SMS-160042</t>
  </si>
  <si>
    <t>V130131</t>
  </si>
  <si>
    <t>Смеситель двуручковый для  ванны с коротким поворотным изливом VIEIR (1/10шт)</t>
  </si>
  <si>
    <t>4 862.01 руб.</t>
  </si>
  <si>
    <t>SMS-160043</t>
  </si>
  <si>
    <t>V023552</t>
  </si>
  <si>
    <t>Смеситель одноручковый с гигиеническим душем (метал лейка) VIEIR (1/10шт)</t>
  </si>
  <si>
    <t>4 835.88 руб.</t>
  </si>
  <si>
    <t>SMS-160044</t>
  </si>
  <si>
    <t>V023561</t>
  </si>
  <si>
    <t>Смеситель одноручковый для душа VIEIR (1/10шт)</t>
  </si>
  <si>
    <t>4 425.15 руб.</t>
  </si>
  <si>
    <t>SMS-160045</t>
  </si>
  <si>
    <t>V033552</t>
  </si>
  <si>
    <t>Смеситель одноручковый для биде VIEIR (1/10шт)</t>
  </si>
  <si>
    <t>4 821.37 руб.</t>
  </si>
  <si>
    <t>SMS-160046</t>
  </si>
  <si>
    <t>V073561</t>
  </si>
  <si>
    <t>4 404.83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</si>
  <si>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</si>
  <si>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</si>
  <si>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</si>
  <si>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</si>
  <si>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</si>
  <si>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</si>
  <si>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4 204.55 руб.</t>
  </si>
  <si>
    <t>SMS-160049</t>
  </si>
  <si>
    <t>V043532</t>
  </si>
  <si>
    <t>Смеситель одноручковый для душа с плоским поворотным  изливом VIEIR (1/10шт)</t>
  </si>
  <si>
    <t>8 885.14 руб.</t>
  </si>
  <si>
    <t>SMS-160050</t>
  </si>
  <si>
    <t>V063561</t>
  </si>
  <si>
    <t>3 579.02 руб.</t>
  </si>
  <si>
    <t>SMS-160051</t>
  </si>
  <si>
    <t>V013511</t>
  </si>
  <si>
    <t>3 597.89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</si>
  <si>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</si>
  <si>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</si>
  <si>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</si>
  <si>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2 507.93 руб.</t>
  </si>
  <si>
    <t>SMS-160053</t>
  </si>
  <si>
    <t>V043511</t>
  </si>
  <si>
    <t>3 840.26 руб.</t>
  </si>
  <si>
    <t>SMS-160054</t>
  </si>
  <si>
    <t>V053511</t>
  </si>
  <si>
    <t>3 625.46 руб.</t>
  </si>
  <si>
    <t>SMS-160055</t>
  </si>
  <si>
    <t>V063511</t>
  </si>
  <si>
    <t>2 535.50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</si>
  <si>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</si>
  <si>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</si>
  <si>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</si>
  <si>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</si>
  <si>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</si>
  <si>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</si>
  <si>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</si>
  <si>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</si>
  <si>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</si>
  <si>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</si>
  <si>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</si>
  <si>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</si>
  <si>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2 397.62 руб.</t>
  </si>
  <si>
    <t>SMS-160060</t>
  </si>
  <si>
    <t>V113512</t>
  </si>
  <si>
    <t>4 134.88 руб.</t>
  </si>
  <si>
    <t>SMS-160061</t>
  </si>
  <si>
    <t>V023511</t>
  </si>
  <si>
    <t>3 428.08 руб.</t>
  </si>
  <si>
    <t>SMS-160062</t>
  </si>
  <si>
    <t>V033511</t>
  </si>
  <si>
    <t>3 448.40 руб.</t>
  </si>
  <si>
    <t>SMS-160063</t>
  </si>
  <si>
    <t>V063512</t>
  </si>
  <si>
    <t>2 088.49 руб.</t>
  </si>
  <si>
    <t>SMS-160064</t>
  </si>
  <si>
    <t>V113511</t>
  </si>
  <si>
    <t>Смеситель одноручковый для умывальника с плоским поворотным изливом VIEIR (1/10шт)</t>
  </si>
  <si>
    <t>3 499.19 руб.</t>
  </si>
  <si>
    <t>SMS-160065</t>
  </si>
  <si>
    <t>V113521</t>
  </si>
  <si>
    <t>3 692.22 руб.</t>
  </si>
  <si>
    <t>SMS-160066</t>
  </si>
  <si>
    <t>V120111</t>
  </si>
  <si>
    <t>Смеситель двуручковый для умывальника VIEIR (1/10шт)</t>
  </si>
  <si>
    <t>3 005.74 руб.</t>
  </si>
  <si>
    <t>SMS-160067</t>
  </si>
  <si>
    <t>V120112</t>
  </si>
  <si>
    <t>Смеситель двуручковый для умывальника средний поворотный излив VIEIR (1/10шт)</t>
  </si>
  <si>
    <t>3 166.84 руб.</t>
  </si>
  <si>
    <t>SMS-160068</t>
  </si>
  <si>
    <t>V150111</t>
  </si>
  <si>
    <t>3 404.86 руб.</t>
  </si>
  <si>
    <t>SMS-160069</t>
  </si>
  <si>
    <t>V243512</t>
  </si>
  <si>
    <t>2 689.88 руб.</t>
  </si>
  <si>
    <t>SMS-160070</t>
  </si>
  <si>
    <t>V130111</t>
  </si>
  <si>
    <t>3 008.64 руб.</t>
  </si>
  <si>
    <t>SMS-160104</t>
  </si>
  <si>
    <t>V263531C</t>
  </si>
  <si>
    <t>Смеситель для ванны “VIEIR  (10/1шт)  (10/1шт)</t>
  </si>
  <si>
    <t>5 219.04 руб.</t>
  </si>
  <si>
    <t>SMS-160118</t>
  </si>
  <si>
    <t>V273541</t>
  </si>
  <si>
    <t>Смеситель для ванны “VIEIR  (8/1шт)  (8/1шт)</t>
  </si>
  <si>
    <t>5 965.03 руб.</t>
  </si>
  <si>
    <t>SMS-160126</t>
  </si>
  <si>
    <t>V150141</t>
  </si>
  <si>
    <t>Смеситель для ванны, длинный с поворотным изливом 320мм   (10/1шт)</t>
  </si>
  <si>
    <t>5 390.30 руб.</t>
  </si>
  <si>
    <t>SMS-160130</t>
  </si>
  <si>
    <t>V140142</t>
  </si>
  <si>
    <t>Смеситель для ванны, с плоским длинным поворотным изливом 310мм   (10/1шт)</t>
  </si>
  <si>
    <t>SMS-160143</t>
  </si>
  <si>
    <t>V333541</t>
  </si>
  <si>
    <t>Смеситель для ванны“VIEIR  (10/1шт)  (10/1шт)</t>
  </si>
  <si>
    <t>6 432.36 руб.</t>
  </si>
  <si>
    <t>SMS-160149</t>
  </si>
  <si>
    <t>V263511C</t>
  </si>
  <si>
    <t>Смеситель для раковины “VIEIR  (10/1шт)  (10/1шт)</t>
  </si>
  <si>
    <t>3 281.49 руб.</t>
  </si>
  <si>
    <t>SMS-160151</t>
  </si>
  <si>
    <t>V273511D</t>
  </si>
  <si>
    <t>4 872.17 руб.</t>
  </si>
  <si>
    <t>SMS-160161</t>
  </si>
  <si>
    <t>V293511CL</t>
  </si>
  <si>
    <t>4 385.97 руб.</t>
  </si>
  <si>
    <t>SMS-160162</t>
  </si>
  <si>
    <t>V293511FL</t>
  </si>
  <si>
    <t>SMS-160165</t>
  </si>
  <si>
    <t>V332511C</t>
  </si>
  <si>
    <t>3 429.53 руб.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</si>
  <si>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</si>
  <si>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</si>
  <si>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</si>
  <si>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</si>
  <si>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</si>
  <si>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</si>
  <si>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</si>
  <si>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6 162.41 руб.</t>
  </si>
  <si>
    <t>Смесители для кухни</t>
  </si>
  <si>
    <t>Смесители для кухни VIEIR</t>
  </si>
  <si>
    <t>SMS-260001</t>
  </si>
  <si>
    <t>V204022</t>
  </si>
  <si>
    <t>Смеситель одноручковый для кухни с плоским поворотным средним изливом VIEIR (1/10шт)</t>
  </si>
  <si>
    <t>2 756.11 руб.</t>
  </si>
  <si>
    <t>SMS-260002</t>
  </si>
  <si>
    <t>V093521</t>
  </si>
  <si>
    <t>Смеситель одноручковый для кухни с поворотным высоким изливом VIEIR (1/10шт)</t>
  </si>
  <si>
    <t>2 661.77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</si>
  <si>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</si>
  <si>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</si>
  <si>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</si>
  <si>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</si>
  <si>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</si>
  <si>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</si>
  <si>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</si>
  <si>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</si>
  <si>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</si>
  <si>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</si>
  <si>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</si>
  <si>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3 592.08 руб.</t>
  </si>
  <si>
    <t>SMS-260007</t>
  </si>
  <si>
    <t>V184022</t>
  </si>
  <si>
    <t>2 465.84 руб.</t>
  </si>
  <si>
    <t>SMS-260008</t>
  </si>
  <si>
    <t>V194021</t>
  </si>
  <si>
    <t>2 967.95 руб.</t>
  </si>
  <si>
    <t>SMS-260009</t>
  </si>
  <si>
    <t>V194022</t>
  </si>
  <si>
    <t>2 097.19 руб.</t>
  </si>
  <si>
    <t>SMS-260010</t>
  </si>
  <si>
    <t>V204021</t>
  </si>
  <si>
    <t>2 709.66 руб.</t>
  </si>
  <si>
    <t>SMS-260011</t>
  </si>
  <si>
    <t>V033521</t>
  </si>
  <si>
    <t>3 028.96 руб.</t>
  </si>
  <si>
    <t>SMS-260012</t>
  </si>
  <si>
    <t>V033522</t>
  </si>
  <si>
    <t>2 567.43 руб.</t>
  </si>
  <si>
    <t>SMS-260013</t>
  </si>
  <si>
    <t>V033523</t>
  </si>
  <si>
    <t>Смеситель одноручковый для кухни с гибким изливом VIEIR (1/10шт)</t>
  </si>
  <si>
    <t>3 089.91 руб.</t>
  </si>
  <si>
    <t>SMS-260014</t>
  </si>
  <si>
    <t>V063521</t>
  </si>
  <si>
    <t>2 684.99 руб.</t>
  </si>
  <si>
    <t>SMS-260015</t>
  </si>
  <si>
    <t>V063522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</si>
  <si>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</si>
  <si>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</si>
  <si>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</si>
  <si>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</si>
  <si>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</si>
  <si>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</si>
  <si>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</si>
  <si>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</si>
  <si>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</si>
  <si>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</si>
  <si>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</si>
  <si>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3 052.18 руб.</t>
  </si>
  <si>
    <t>SMS-260021</t>
  </si>
  <si>
    <t>V093520</t>
  </si>
  <si>
    <t>3 838.81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</si>
  <si>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</si>
  <si>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</si>
  <si>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</si>
  <si>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</si>
  <si>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</si>
  <si>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</si>
  <si>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</si>
  <si>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</si>
  <si>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</si>
  <si>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</si>
  <si>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</si>
  <si>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3 116.04 руб.</t>
  </si>
  <si>
    <t>SMS-260026</t>
  </si>
  <si>
    <t>V150112</t>
  </si>
  <si>
    <t>Смеситель двуручковый для кухни  VIEIR (1/10шт)</t>
  </si>
  <si>
    <t>3 483.23 руб.</t>
  </si>
  <si>
    <t>SMS-260027</t>
  </si>
  <si>
    <t>V150121</t>
  </si>
  <si>
    <t>3 375.83 руб.</t>
  </si>
  <si>
    <t>SMS-260028</t>
  </si>
  <si>
    <t>V130122</t>
  </si>
  <si>
    <t>2 976.71 руб.</t>
  </si>
  <si>
    <t>SMS-260029</t>
  </si>
  <si>
    <t>V130112</t>
  </si>
  <si>
    <t>3 023.15 руб.</t>
  </si>
  <si>
    <t>SMS-260030</t>
  </si>
  <si>
    <t>V023521F</t>
  </si>
  <si>
    <t>Смеситель одноручковый для кухни с гибким изливом (белый) VIEIR (1/10шт)</t>
  </si>
  <si>
    <t>3 491.94 руб.</t>
  </si>
  <si>
    <t>SMS-260031</t>
  </si>
  <si>
    <t>V043521F</t>
  </si>
  <si>
    <t>3 770.60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</si>
  <si>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</si>
  <si>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</si>
  <si>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</si>
  <si>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</si>
  <si>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</si>
  <si>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4 028.94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</si>
  <si>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</si>
  <si>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</si>
  <si>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</si>
  <si>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</si>
  <si>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</si>
  <si>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3 908.47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</si>
  <si>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</si>
  <si>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</si>
  <si>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</si>
  <si>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5 998.41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</si>
  <si>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</si>
  <si>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</si>
  <si>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</si>
  <si>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</si>
  <si>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</si>
  <si>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</si>
  <si>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4 741.55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</si>
  <si>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</si>
  <si>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</si>
  <si>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</si>
  <si>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</si>
  <si>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</si>
  <si>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</si>
  <si>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</si>
  <si>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</si>
  <si>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</si>
  <si>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5 208.88 руб.</t>
  </si>
  <si>
    <t>SMS-260042</t>
  </si>
  <si>
    <t>V15003B</t>
  </si>
  <si>
    <t>5 329.34 руб.</t>
  </si>
  <si>
    <t>SMS-260043</t>
  </si>
  <si>
    <t>V15003</t>
  </si>
  <si>
    <t>5 171.14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</si>
  <si>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</si>
  <si>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</si>
  <si>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</si>
  <si>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</si>
  <si>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</si>
  <si>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5 885.21 руб.</t>
  </si>
  <si>
    <t>SMS-260046</t>
  </si>
  <si>
    <t>V15004</t>
  </si>
  <si>
    <t>5 197.27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</si>
  <si>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</si>
  <si>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</si>
  <si>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</si>
  <si>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</si>
  <si>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</si>
  <si>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</si>
  <si>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</si>
  <si>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SMS-260049</t>
  </si>
  <si>
    <t>V15006C</t>
  </si>
  <si>
    <t>5 693.63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</si>
  <si>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</si>
  <si>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</si>
  <si>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</si>
  <si>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</si>
  <si>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</si>
  <si>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</si>
  <si>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</si>
  <si>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</si>
  <si>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</si>
  <si>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</si>
  <si>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</si>
  <si>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6 908.41 руб.</t>
  </si>
  <si>
    <t>SMS-260054</t>
  </si>
  <si>
    <t>V15007C</t>
  </si>
  <si>
    <t>SMS-260149</t>
  </si>
  <si>
    <t>V15001</t>
  </si>
  <si>
    <t>Смеситель для кухни с фильтром и поворотным изливом (биканальный) (10/1шт)</t>
  </si>
  <si>
    <t>5 846.02 руб.</t>
  </si>
  <si>
    <t>SMS-260152</t>
  </si>
  <si>
    <t>V15001G</t>
  </si>
  <si>
    <t>6 217.56 руб.</t>
  </si>
  <si>
    <t>SMS-260500</t>
  </si>
  <si>
    <t>V15020</t>
  </si>
  <si>
    <t>Смеситель из нержавеющей стали для кухни “VIEIR  (10/1шт)  (10/1шт)</t>
  </si>
  <si>
    <t>2 043.49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</si>
  <si>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</si>
  <si>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</si>
  <si>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</si>
  <si>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</si>
  <si>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</si>
  <si>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</si>
  <si>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</si>
  <si>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</si>
  <si>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</si>
  <si>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</si>
  <si>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</si>
  <si>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3 220.54 руб.</t>
  </si>
  <si>
    <t>SMS-260509</t>
  </si>
  <si>
    <t>V15021(A)</t>
  </si>
  <si>
    <t>SMS-260510</t>
  </si>
  <si>
    <t>V15021(B)</t>
  </si>
  <si>
    <t>SMS-260513</t>
  </si>
  <si>
    <t>V15023</t>
  </si>
  <si>
    <t>SMS-260517</t>
  </si>
  <si>
    <t>V15024(M)</t>
  </si>
  <si>
    <t>4 774.93 руб.</t>
  </si>
  <si>
    <t>SMS-260521</t>
  </si>
  <si>
    <t>V15026</t>
  </si>
  <si>
    <t>5 605.10 руб.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</si>
  <si>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</si>
  <si>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</si>
  <si>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</si>
  <si>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</si>
  <si>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</si>
  <si>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</si>
  <si>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</si>
  <si>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</si>
  <si>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</si>
  <si>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</si>
  <si>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</si>
  <si>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</si>
  <si>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</si>
  <si>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</si>
  <si>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</si>
  <si>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</si>
  <si>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</si>
  <si>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</si>
  <si>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</si>
  <si>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</si>
  <si>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</si>
  <si>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</si>
  <si>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</si>
  <si>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</si>
  <si>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</si>
  <si>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</si>
  <si>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</si>
  <si>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</si>
  <si>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</si>
  <si>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</si>
  <si>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</si>
  <si>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</si>
  <si>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</si>
  <si>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</si>
  <si>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</si>
  <si>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</si>
  <si>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</si>
  <si>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</si>
  <si>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</si>
  <si>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</si>
  <si>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</si>
  <si>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</si>
  <si>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</si>
  <si>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</si>
  <si>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</si>
  <si>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</si>
  <si>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</si>
  <si>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</si>
  <si>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</si>
  <si>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</si>
  <si>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</si>
  <si>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</si>
  <si>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</si>
  <si>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</si>
  <si>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</si>
  <si>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</si>
  <si>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</si>
  <si>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</si>
  <si>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</si>
  <si>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</si>
  <si>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</si>
  <si>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</si>
  <si>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</si>
  <si>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</si>
  <si>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</si>
  <si>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</si>
  <si>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</si>
  <si>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</si>
  <si>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</si>
  <si>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</si>
  <si>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</si>
  <si>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</si>
  <si>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</si>
  <si>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</si>
  <si>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</si>
  <si>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</si>
  <si>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</si>
  <si>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</si>
  <si>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</si>
  <si>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</si>
  <si>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</si>
  <si>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</si>
  <si>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</si>
  <si>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</si>
  <si>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</si>
  <si>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</si>
  <si>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SMS-180610</t>
  </si>
  <si>
    <t>4D4-A027</t>
  </si>
  <si>
    <t>смеситель G.Lauf для кух. м. (Lt) с изл. хирург ручка 240мм, ø40, шпилька 4D4-A027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</si>
  <si>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</si>
  <si>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</si>
  <si>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</si>
  <si>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</si>
  <si>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</si>
  <si>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</si>
  <si>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</si>
  <si>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</si>
  <si>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</si>
  <si>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</si>
  <si>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</si>
  <si>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</si>
  <si>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</si>
  <si>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</si>
  <si>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</si>
  <si>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</si>
  <si>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</si>
  <si>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</si>
  <si>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</si>
  <si>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</si>
  <si>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</si>
  <si>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</si>
  <si>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</si>
  <si>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</si>
  <si>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</si>
  <si>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</si>
  <si>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</si>
  <si>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</si>
  <si>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</si>
  <si>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</si>
  <si>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</si>
  <si>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</si>
  <si>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</si>
  <si>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</si>
  <si>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</si>
  <si>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</si>
  <si>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</si>
  <si>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</si>
  <si>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</si>
  <si>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</si>
  <si>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</si>
  <si>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</si>
  <si>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</si>
  <si>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</si>
  <si>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</si>
  <si>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</si>
  <si>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</si>
  <si>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</si>
  <si>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</si>
  <si>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</si>
  <si>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</si>
  <si>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</si>
  <si>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</si>
  <si>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</si>
  <si>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</si>
  <si>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</si>
  <si>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</si>
  <si>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</si>
  <si>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</si>
  <si>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</si>
  <si>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</si>
  <si>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</si>
  <si>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</si>
  <si>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</si>
  <si>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</si>
  <si>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</si>
  <si>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</si>
  <si>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</si>
  <si>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</si>
  <si>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</si>
  <si>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</si>
  <si>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</si>
  <si>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</si>
  <si>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</si>
  <si>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</si>
  <si>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</si>
  <si>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</si>
  <si>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</si>
  <si>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</si>
  <si>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</si>
  <si>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</si>
  <si>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</si>
  <si>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</si>
  <si>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</si>
  <si>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</si>
  <si>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</si>
  <si>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</si>
  <si>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</si>
  <si>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</si>
  <si>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</si>
  <si>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</si>
  <si>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</si>
  <si>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</si>
  <si>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</si>
  <si>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</si>
  <si>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</si>
  <si>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</si>
  <si>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</si>
  <si>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</si>
  <si>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</si>
  <si>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</si>
  <si>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</si>
  <si>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</si>
  <si>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</si>
  <si>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</si>
  <si>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</si>
  <si>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</si>
  <si>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</si>
  <si>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</si>
  <si>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</si>
  <si>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</si>
  <si>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</si>
  <si>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</si>
  <si>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</si>
  <si>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</si>
  <si>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</si>
  <si>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</si>
  <si>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</si>
  <si>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</si>
  <si>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</si>
  <si>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</si>
  <si>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</si>
  <si>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</si>
  <si>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</si>
  <si>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</si>
  <si>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</si>
  <si>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</si>
  <si>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</si>
  <si>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</si>
  <si>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</si>
  <si>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</si>
  <si>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</si>
  <si>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</si>
  <si>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</si>
  <si>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</si>
  <si>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</si>
  <si>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</si>
  <si>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</si>
  <si>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</si>
  <si>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</si>
  <si>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</si>
  <si>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</si>
  <si>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</si>
  <si>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</si>
  <si>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</si>
  <si>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</si>
  <si>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</si>
  <si>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</si>
  <si>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</si>
  <si>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</si>
  <si>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</si>
  <si>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</si>
  <si>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</si>
  <si>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</si>
  <si>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</si>
  <si>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</si>
  <si>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</si>
  <si>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</si>
  <si>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</si>
  <si>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</si>
  <si>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</si>
  <si>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</si>
  <si>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</si>
  <si>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</si>
  <si>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</si>
  <si>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</si>
  <si>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</si>
  <si>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</si>
  <si>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</si>
  <si>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</si>
  <si>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</si>
  <si>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</si>
  <si>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</si>
  <si>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</si>
  <si>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</si>
  <si>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</si>
  <si>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</si>
  <si>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</si>
  <si>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</si>
  <si>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</si>
  <si>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</si>
  <si>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</si>
  <si>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</si>
  <si>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</si>
  <si>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</si>
  <si>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</si>
  <si>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</si>
  <si>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</si>
  <si>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</si>
  <si>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</si>
  <si>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</si>
  <si>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</si>
  <si>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</si>
  <si>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</si>
  <si>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</si>
  <si>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</si>
  <si>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</si>
  <si>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</si>
  <si>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</si>
  <si>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</si>
  <si>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</si>
  <si>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</si>
  <si>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</si>
  <si>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</si>
  <si>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</si>
  <si>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</si>
  <si>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</si>
  <si>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</si>
  <si>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</si>
  <si>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</si>
  <si>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</si>
  <si>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</si>
  <si>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</si>
  <si>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</si>
  <si>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</si>
  <si>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</si>
  <si>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</si>
  <si>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</si>
  <si>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</si>
  <si>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</si>
  <si>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</si>
  <si>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</si>
  <si>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</si>
  <si>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</si>
  <si>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</si>
  <si>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</si>
  <si>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</si>
  <si>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</si>
  <si>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</si>
  <si>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</si>
  <si>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</si>
  <si>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</si>
  <si>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</si>
  <si>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</si>
  <si>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</si>
  <si>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</si>
  <si>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</si>
  <si>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</si>
  <si>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</si>
  <si>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</si>
  <si>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</si>
  <si>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</si>
  <si>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</si>
  <si>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</si>
  <si>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</si>
  <si>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</si>
  <si>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</si>
  <si>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</si>
  <si>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</si>
  <si>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</si>
  <si>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</si>
  <si>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</si>
  <si>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</si>
  <si>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</si>
  <si>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</si>
  <si>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</si>
  <si>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</si>
  <si>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</si>
  <si>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</si>
  <si>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</si>
  <si>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</si>
  <si>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</si>
  <si>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</si>
  <si>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</si>
  <si>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</si>
  <si>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</si>
  <si>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</si>
  <si>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</si>
  <si>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</si>
  <si>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</si>
  <si>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</si>
  <si>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</si>
  <si>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</si>
  <si>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1 315.24 руб.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</si>
  <si>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</si>
  <si>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</si>
  <si>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</si>
  <si>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</si>
  <si>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</si>
  <si>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</si>
  <si>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</si>
  <si>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</si>
  <si>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</si>
  <si>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</si>
  <si>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</si>
  <si>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</si>
  <si>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</si>
  <si>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</si>
  <si>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</si>
  <si>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</si>
  <si>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</si>
  <si>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</si>
  <si>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</si>
  <si>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</si>
  <si>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</si>
  <si>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</si>
  <si>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</si>
  <si>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</si>
  <si>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</si>
  <si>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</si>
  <si>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</si>
  <si>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</si>
  <si>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</si>
  <si>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</si>
  <si>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</si>
  <si>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</si>
  <si>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</si>
  <si>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</si>
  <si>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</si>
  <si>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</si>
  <si>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</si>
  <si>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</si>
  <si>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</si>
  <si>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</si>
  <si>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</si>
  <si>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</si>
  <si>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</si>
  <si>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</si>
  <si>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</si>
  <si>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</si>
  <si>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</si>
  <si>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</si>
  <si>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</si>
  <si>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</si>
  <si>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</si>
  <si>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</si>
  <si>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</si>
  <si>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</si>
  <si>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</si>
  <si>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</si>
  <si>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</si>
  <si>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</si>
  <si>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</si>
  <si>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</si>
  <si>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</si>
  <si>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</si>
  <si>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</si>
  <si>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</si>
  <si>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</si>
  <si>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</si>
  <si>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</si>
  <si>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</si>
  <si>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</si>
  <si>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</si>
  <si>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</si>
  <si>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</si>
  <si>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</si>
  <si>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</si>
  <si>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</si>
  <si>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</si>
  <si>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</si>
  <si>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</si>
  <si>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</si>
  <si>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</si>
  <si>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</si>
  <si>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</si>
  <si>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</si>
  <si>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</si>
  <si>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</si>
  <si>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</si>
  <si>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</si>
  <si>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</si>
  <si>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</si>
  <si>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</si>
  <si>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</si>
  <si>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</si>
  <si>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</si>
  <si>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</si>
  <si>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</si>
  <si>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</si>
  <si>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</si>
  <si>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</si>
  <si>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</si>
  <si>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</si>
  <si>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</si>
  <si>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</si>
  <si>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</si>
  <si>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</si>
  <si>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</si>
  <si>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</si>
  <si>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</si>
  <si>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</si>
  <si>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</si>
  <si>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</si>
  <si>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</si>
  <si>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</si>
  <si>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</si>
  <si>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</si>
  <si>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</si>
  <si>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</si>
  <si>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</si>
  <si>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</si>
  <si>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</si>
  <si>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</si>
  <si>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</si>
  <si>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</si>
  <si>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</si>
  <si>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</si>
  <si>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</si>
  <si>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</si>
  <si>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</si>
  <si>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</si>
  <si>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</si>
  <si>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</si>
  <si>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</si>
  <si>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</si>
  <si>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</si>
  <si>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</si>
  <si>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</si>
  <si>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</si>
  <si>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</si>
  <si>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</si>
  <si>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</si>
  <si>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</si>
  <si>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</si>
  <si>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</si>
  <si>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</si>
  <si>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</si>
  <si>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</si>
  <si>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</si>
  <si>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</si>
  <si>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</si>
  <si>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</si>
  <si>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</si>
  <si>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</si>
  <si>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</si>
  <si>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</si>
  <si>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</si>
  <si>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</si>
  <si>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</si>
  <si>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</si>
  <si>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</si>
  <si>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</si>
  <si>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</si>
  <si>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</si>
  <si>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</si>
  <si>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</si>
  <si>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</si>
  <si>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</si>
  <si>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</si>
  <si>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</si>
  <si>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</si>
  <si>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</si>
  <si>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</si>
  <si>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</si>
  <si>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</si>
  <si>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</si>
  <si>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</si>
  <si>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</si>
  <si>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</si>
  <si>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</si>
  <si>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</si>
  <si>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</si>
  <si>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</si>
  <si>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</si>
  <si>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SMS-290044</t>
  </si>
  <si>
    <t>JIK22-A102-A</t>
  </si>
  <si>
    <t>Моно смеситель, кер. (1/2) 90°, настенный JIK22-A102-A</t>
  </si>
  <si>
    <t>643.24 руб.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</si>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</sst>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42_a8d2_11ea_8135_003048fd731b_64c8bad8_5a46_11f0_a775_047c1617b1431.jpeg"/><Relationship Id="rId2" Type="http://schemas.openxmlformats.org/officeDocument/2006/relationships/image" Target="../media/5f07516e_a8d2_11ea_8135_003048fd731b_db41c252_7e65_11eb_8259_003048fd731b2.jpeg"/><Relationship Id="rId3" Type="http://schemas.openxmlformats.org/officeDocument/2006/relationships/image" Target="../media/5f07518e_a8d2_11ea_8135_003048fd731b_baec8dd7_c020_11ee_a549_047c1617b1433.jpeg"/><Relationship Id="rId4" Type="http://schemas.openxmlformats.org/officeDocument/2006/relationships/image" Target="../media/5f075270_a8d2_11ea_8135_003048fd731b_db41c254_7e65_11eb_8259_003048fd731b4.jpeg"/><Relationship Id="rId5" Type="http://schemas.openxmlformats.org/officeDocument/2006/relationships/image" Target="../media/65805432_a8d2_11ea_8135_003048fd731b_64c8bada_5a46_11f0_a775_047c1617b1435.jpeg"/><Relationship Id="rId6" Type="http://schemas.openxmlformats.org/officeDocument/2006/relationships/image" Target="../media/030c9fad_a7ee_11eb_8299_003048fd731b_f01e389b_67f8_11ec_a210_00259070b4876.jpeg"/><Relationship Id="rId7" Type="http://schemas.openxmlformats.org/officeDocument/2006/relationships/image" Target="../media/3fc0ec81_ad62_11ea_813b_003048fd731b_db41c257_7e65_11eb_8259_003048fd731b7.jpeg"/><Relationship Id="rId8" Type="http://schemas.openxmlformats.org/officeDocument/2006/relationships/image" Target="../media/3fc0ec8b_ad62_11ea_813b_003048fd731b_db41c258_7e65_11eb_8259_003048fd731b8.jpeg"/><Relationship Id="rId9" Type="http://schemas.openxmlformats.org/officeDocument/2006/relationships/image" Target="../media/3fc0ec9f_ad62_11ea_813b_003048fd731b_db41c259_7e65_11eb_8259_003048fd731b9.jpeg"/><Relationship Id="rId10" Type="http://schemas.openxmlformats.org/officeDocument/2006/relationships/image" Target="../media/3fc0eca1_ad62_11ea_813b_003048fd731b_db41c25a_7e65_11eb_8259_003048fd731b10.jpeg"/><Relationship Id="rId11" Type="http://schemas.openxmlformats.org/officeDocument/2006/relationships/image" Target="../media/3fc0eca3_ad62_11ea_813b_003048fd731b_9d1cd8b2_c39d_11ea_8157_003048fd731b11.jpeg"/><Relationship Id="rId12" Type="http://schemas.openxmlformats.org/officeDocument/2006/relationships/image" Target="../media/f460426b_77ea_11ea_8111_003048fd731b_8c533315_5a46_11f0_a775_047c1617b14312.jpeg"/><Relationship Id="rId13" Type="http://schemas.openxmlformats.org/officeDocument/2006/relationships/image" Target="../media/f460426d_77ea_11ea_8111_003048fd731b_8c5332ee_5a46_11f0_a775_047c1617b14313.jpeg"/><Relationship Id="rId14" Type="http://schemas.openxmlformats.org/officeDocument/2006/relationships/image" Target="../media/f460426f_77ea_11ea_8111_003048fd731b_8c5332f3_5a46_11f0_a775_047c1617b14314.jpeg"/><Relationship Id="rId15" Type="http://schemas.openxmlformats.org/officeDocument/2006/relationships/image" Target="../media/f4604271_77ea_11ea_8111_003048fd731b_8c5332f8_5a46_11f0_a775_047c1617b14315.jpeg"/><Relationship Id="rId16" Type="http://schemas.openxmlformats.org/officeDocument/2006/relationships/image" Target="../media/f4604273_77ea_11ea_8111_003048fd731b_33fbb007_a59a_11ee_a526_047c1617b14316.jpeg"/><Relationship Id="rId17" Type="http://schemas.openxmlformats.org/officeDocument/2006/relationships/image" Target="../media/f4604275_77ea_11ea_8111_003048fd731b_8c533308_5a46_11f0_a775_047c1617b14317.jpeg"/><Relationship Id="rId18" Type="http://schemas.openxmlformats.org/officeDocument/2006/relationships/image" Target="../media/f4604277_77ea_11ea_8111_003048fd731b_8c533303_5a46_11f0_a775_047c1617b14318.jpeg"/><Relationship Id="rId19" Type="http://schemas.openxmlformats.org/officeDocument/2006/relationships/image" Target="../media/f4604279_77ea_11ea_8111_003048fd731b_8c533305_5a46_11f0_a775_047c1617b14319.jpeg"/><Relationship Id="rId20" Type="http://schemas.openxmlformats.org/officeDocument/2006/relationships/image" Target="../media/f460427b_77ea_11ea_8111_003048fd731b_8c53330c_5a46_11f0_a775_047c1617b14320.jpeg"/><Relationship Id="rId21" Type="http://schemas.openxmlformats.org/officeDocument/2006/relationships/image" Target="../media/f460427d_77ea_11ea_8111_003048fd731b_8c53330a_5a46_11f0_a775_047c1617b14321.jpeg"/><Relationship Id="rId22" Type="http://schemas.openxmlformats.org/officeDocument/2006/relationships/image" Target="../media/f460427f_77ea_11ea_8111_003048fd731b_8c5332f5_5a46_11f0_a775_047c1617b14322.jpeg"/><Relationship Id="rId23" Type="http://schemas.openxmlformats.org/officeDocument/2006/relationships/image" Target="../media/f4604281_77ea_11ea_8111_003048fd731b_8c533309_5a46_11f0_a775_047c1617b14323.jpeg"/><Relationship Id="rId24" Type="http://schemas.openxmlformats.org/officeDocument/2006/relationships/image" Target="../media/f4604283_77ea_11ea_8111_003048fd731b_8c533313_5a46_11f0_a775_047c1617b14324.jpeg"/><Relationship Id="rId25" Type="http://schemas.openxmlformats.org/officeDocument/2006/relationships/image" Target="../media/f4604285_77ea_11ea_8111_003048fd731b_8c533314_5a46_11f0_a775_047c1617b14325.jpeg"/><Relationship Id="rId26" Type="http://schemas.openxmlformats.org/officeDocument/2006/relationships/image" Target="../media/f4604287_77ea_11ea_8111_003048fd731b_8c533317_5a46_11f0_a775_047c1617b14326.jpeg"/><Relationship Id="rId27" Type="http://schemas.openxmlformats.org/officeDocument/2006/relationships/image" Target="../media/f4604289_77ea_11ea_8111_003048fd731b_8c533319_5a46_11f0_a775_047c1617b14327.jpeg"/><Relationship Id="rId28" Type="http://schemas.openxmlformats.org/officeDocument/2006/relationships/image" Target="../media/f460428b_77ea_11ea_8111_003048fd731b_8c53330e_5a46_11f0_a775_047c1617b14328.jpeg"/><Relationship Id="rId29" Type="http://schemas.openxmlformats.org/officeDocument/2006/relationships/image" Target="../media/f460428d_77ea_11ea_8111_003048fd731b_8c5332f0_5a46_11f0_a775_047c1617b14329.jpeg"/><Relationship Id="rId30" Type="http://schemas.openxmlformats.org/officeDocument/2006/relationships/image" Target="../media/f460428f_77ea_11ea_8111_003048fd731b_8c5332fa_5a46_11f0_a775_047c1617b14330.jpeg"/><Relationship Id="rId31" Type="http://schemas.openxmlformats.org/officeDocument/2006/relationships/image" Target="../media/f4604291_77ea_11ea_8111_003048fd731b_19e968d9_793a_11f0_a79f_047c1617b14331.jpeg"/><Relationship Id="rId32" Type="http://schemas.openxmlformats.org/officeDocument/2006/relationships/image" Target="../media/f4604293_77ea_11ea_8111_003048fd731b_8c533300_5a46_11f0_a775_047c1617b14332.jpeg"/><Relationship Id="rId33" Type="http://schemas.openxmlformats.org/officeDocument/2006/relationships/image" Target="../media/ed4ec177_5f8c_11eb_822d_003048fd731b_8c533312_5a46_11f0_a775_047c1617b14333.jpeg"/><Relationship Id="rId34" Type="http://schemas.openxmlformats.org/officeDocument/2006/relationships/image" Target="../media/ed4ec185_5f8c_11eb_822d_003048fd731b_8c5332fc_5a46_11f0_a775_047c1617b14334.jpeg"/><Relationship Id="rId35" Type="http://schemas.openxmlformats.org/officeDocument/2006/relationships/image" Target="../media/ed4ec187_5f8c_11eb_822d_003048fd731b_8c533307_5a46_11f0_a775_047c1617b14335.jpeg"/><Relationship Id="rId36" Type="http://schemas.openxmlformats.org/officeDocument/2006/relationships/image" Target="../media/ed4ec18f_5f8c_11eb_822d_003048fd731b_8c53331d_5a46_11f0_a775_047c1617b14336.jpeg"/><Relationship Id="rId37" Type="http://schemas.openxmlformats.org/officeDocument/2006/relationships/image" Target="../media/658054b2_a8d2_11ea_8135_003048fd731b_00bb7b9c_a8d8_11ea_8135_003048fd731b37.jpeg"/><Relationship Id="rId38" Type="http://schemas.openxmlformats.org/officeDocument/2006/relationships/image" Target="../media/658054b4_a8d2_11ea_8135_003048fd731b_00bb7b9d_a8d8_11ea_8135_003048fd731b38.jpeg"/><Relationship Id="rId39" Type="http://schemas.openxmlformats.org/officeDocument/2006/relationships/image" Target="../media/394bab2a_c392_11ea_8157_003048fd731b_9d1cd8cb_c39d_11ea_8157_003048fd731b39.jpeg"/><Relationship Id="rId40" Type="http://schemas.openxmlformats.org/officeDocument/2006/relationships/image" Target="../media/9088d55c_e115_11ea_817f_003048fd731b_b40443b1_3ef3_11eb_8202_003048fd731b40.jpeg"/><Relationship Id="rId41" Type="http://schemas.openxmlformats.org/officeDocument/2006/relationships/image" Target="../media/febcfac6_77ea_11ea_8111_003048fd731b_c3fa1579_99e0_11ea_8121_003048fd731b41.jpeg"/><Relationship Id="rId42" Type="http://schemas.openxmlformats.org/officeDocument/2006/relationships/image" Target="../media/9088d55e_e115_11ea_817f_003048fd731b_b40443b2_3ef3_11eb_8202_003048fd731b42.jpeg"/><Relationship Id="rId43" Type="http://schemas.openxmlformats.org/officeDocument/2006/relationships/image" Target="../media/9088d560_e115_11ea_817f_003048fd731b_79368bc2_e197_11ea_817f_003048fd731b43.jpeg"/><Relationship Id="rId44" Type="http://schemas.openxmlformats.org/officeDocument/2006/relationships/image" Target="../media/ed667e7a_77ea_11ea_8111_003048fd731b_83424922_7d94_11ea_8111_003048fd731b44.jpeg"/><Relationship Id="rId45" Type="http://schemas.openxmlformats.org/officeDocument/2006/relationships/image" Target="../media/6580548c_a8d2_11ea_8135_003048fd731b_64c8badc_5a46_11f0_a775_047c1617b14345.jpeg"/><Relationship Id="rId46" Type="http://schemas.openxmlformats.org/officeDocument/2006/relationships/image" Target="../media/6580548e_a8d2_11ea_8135_003048fd731b_64c8badb_5a46_11f0_a775_047c1617b14346.jpeg"/><Relationship Id="rId47" Type="http://schemas.openxmlformats.org/officeDocument/2006/relationships/image" Target="../media/65805490_a8d2_11ea_8135_003048fd731b_64c8badd_5a46_11f0_a775_047c1617b14347.jpeg"/><Relationship Id="rId48" Type="http://schemas.openxmlformats.org/officeDocument/2006/relationships/image" Target="../media/b8d31825_c362_11ea_8157_003048fd731b_64c8bade_5a46_11f0_a775_047c1617b14348.jpeg"/><Relationship Id="rId49" Type="http://schemas.openxmlformats.org/officeDocument/2006/relationships/image" Target="../media/9088d564_e115_11ea_817f_003048fd731b_79368bc6_e197_11ea_817f_003048fd731b49.jpeg"/><Relationship Id="rId50" Type="http://schemas.openxmlformats.org/officeDocument/2006/relationships/image" Target="../media/9088d566_e115_11ea_817f_003048fd731b_14e1e08a_f93d_11ef_a6ea_047c1617b14350.jpeg"/><Relationship Id="rId51" Type="http://schemas.openxmlformats.org/officeDocument/2006/relationships/image" Target="../media/9088d56a_e115_11ea_817f_003048fd731b_b404435e_3ef3_11eb_8202_003048fd731b51.jpeg"/><Relationship Id="rId52" Type="http://schemas.openxmlformats.org/officeDocument/2006/relationships/image" Target="../media/9088d56c_e115_11ea_817f_003048fd731b_b404435f_3ef3_11eb_8202_003048fd731b52.jpeg"/><Relationship Id="rId53" Type="http://schemas.openxmlformats.org/officeDocument/2006/relationships/image" Target="../media/5f07512c_a8d2_11ea_8135_003048fd731b_64c8bae1_5a46_11f0_a775_047c1617b14353.jpeg"/><Relationship Id="rId54" Type="http://schemas.openxmlformats.org/officeDocument/2006/relationships/image" Target="../media/5f07512e_a8d2_11ea_8135_003048fd731b_64c8bae4_5a46_11f0_a775_047c1617b14354.jpeg"/><Relationship Id="rId55" Type="http://schemas.openxmlformats.org/officeDocument/2006/relationships/image" Target="../media/5f075130_a8d2_11ea_8135_003048fd731b_64c8bae2_5a46_11f0_a775_047c1617b14355.jpeg"/><Relationship Id="rId56" Type="http://schemas.openxmlformats.org/officeDocument/2006/relationships/image" Target="../media/5f075132_a8d2_11ea_8135_003048fd731b_64c8bae3_5a46_11f0_a775_047c1617b14356.jpeg"/><Relationship Id="rId57" Type="http://schemas.openxmlformats.org/officeDocument/2006/relationships/image" Target="../media/65805492_a8d2_11ea_8135_003048fd731b_00bb7b8c_a8d8_11ea_8135_003048fd731b57.jpeg"/><Relationship Id="rId58" Type="http://schemas.openxmlformats.org/officeDocument/2006/relationships/image" Target="../media/65805494_a8d2_11ea_8135_003048fd731b_00bb7b8d_a8d8_11ea_8135_003048fd731b58.jpeg"/><Relationship Id="rId59" Type="http://schemas.openxmlformats.org/officeDocument/2006/relationships/image" Target="../media/65805496_a8d2_11ea_8135_003048fd731b_00bb7b8e_a8d8_11ea_8135_003048fd731b59.jpeg"/><Relationship Id="rId60" Type="http://schemas.openxmlformats.org/officeDocument/2006/relationships/image" Target="../media/65805498_a8d2_11ea_8135_003048fd731b_00bb7b8f_a8d8_11ea_8135_003048fd731b60.jpeg"/><Relationship Id="rId61" Type="http://schemas.openxmlformats.org/officeDocument/2006/relationships/image" Target="../media/6580549a_a8d2_11ea_8135_003048fd731b_00bb7b90_a8d8_11ea_8135_003048fd731b61.jpeg"/><Relationship Id="rId62" Type="http://schemas.openxmlformats.org/officeDocument/2006/relationships/image" Target="../media/6580549c_a8d2_11ea_8135_003048fd731b_00bb7b91_a8d8_11ea_8135_003048fd731b62.jpeg"/><Relationship Id="rId63" Type="http://schemas.openxmlformats.org/officeDocument/2006/relationships/image" Target="../media/6580549e_a8d2_11ea_8135_003048fd731b_00bb7b92_a8d8_11ea_8135_003048fd731b63.jpeg"/><Relationship Id="rId64" Type="http://schemas.openxmlformats.org/officeDocument/2006/relationships/image" Target="../media/658054a0_a8d2_11ea_8135_003048fd731b_00bb7b93_a8d8_11ea_8135_003048fd731b64.jpeg"/><Relationship Id="rId65" Type="http://schemas.openxmlformats.org/officeDocument/2006/relationships/image" Target="../media/658054a2_a8d2_11ea_8135_003048fd731b_00bb7b94_a8d8_11ea_8135_003048fd731b65.jpeg"/><Relationship Id="rId66" Type="http://schemas.openxmlformats.org/officeDocument/2006/relationships/image" Target="../media/658054a4_a8d2_11ea_8135_003048fd731b_00bb7b95_a8d8_11ea_8135_003048fd731b66.jpeg"/><Relationship Id="rId67" Type="http://schemas.openxmlformats.org/officeDocument/2006/relationships/image" Target="../media/658054a6_a8d2_11ea_8135_003048fd731b_00bb7b96_a8d8_11ea_8135_003048fd731b67.jpeg"/><Relationship Id="rId68" Type="http://schemas.openxmlformats.org/officeDocument/2006/relationships/image" Target="../media/658054a8_a8d2_11ea_8135_003048fd731b_00bb7b97_a8d8_11ea_8135_003048fd731b68.jpeg"/><Relationship Id="rId69" Type="http://schemas.openxmlformats.org/officeDocument/2006/relationships/image" Target="../media/658054aa_a8d2_11ea_8135_003048fd731b_64c8bae0_5a46_11f0_a775_047c1617b14369.jpeg"/><Relationship Id="rId70" Type="http://schemas.openxmlformats.org/officeDocument/2006/relationships/image" Target="../media/658054ac_a8d2_11ea_8135_003048fd731b_00bb7b99_a8d8_11ea_8135_003048fd731b70.jpeg"/><Relationship Id="rId71" Type="http://schemas.openxmlformats.org/officeDocument/2006/relationships/image" Target="../media/658054ae_a8d2_11ea_8135_003048fd731b_00bb7b9a_a8d8_11ea_8135_003048fd731b71.jpeg"/><Relationship Id="rId72" Type="http://schemas.openxmlformats.org/officeDocument/2006/relationships/image" Target="../media/658054b0_a8d2_11ea_8135_003048fd731b_00bb7b9b_a8d8_11ea_8135_003048fd731b72.jpeg"/><Relationship Id="rId73" Type="http://schemas.openxmlformats.org/officeDocument/2006/relationships/image" Target="../media/b8d31829_c362_11ea_8157_003048fd731b_64c8badf_5a46_11f0_a775_047c1617b14373.jpeg"/><Relationship Id="rId74" Type="http://schemas.openxmlformats.org/officeDocument/2006/relationships/image" Target="../media/f8d83f40_0ad6_11ec_831e_003048fd731b_a73d6bf2_3fbb_11ef_a5f3_047c1617b14374.png"/><Relationship Id="rId75" Type="http://schemas.openxmlformats.org/officeDocument/2006/relationships/image" Target="../media/f8d83f42_0ad6_11ec_831e_003048fd731b_a73d6bf3_3fbb_11ef_a5f3_047c1617b14375.png"/><Relationship Id="rId76" Type="http://schemas.openxmlformats.org/officeDocument/2006/relationships/image" Target="../media/f8d83f44_0ad6_11ec_831e_003048fd731b_a73d6bf4_3fbb_11ef_a5f3_047c1617b14376.png"/><Relationship Id="rId77" Type="http://schemas.openxmlformats.org/officeDocument/2006/relationships/image" Target="../media/febcfa86_77ea_11ea_8111_003048fd731b_c3fa1559_99e0_11ea_8121_003048fd731b77.jpeg"/><Relationship Id="rId78" Type="http://schemas.openxmlformats.org/officeDocument/2006/relationships/image" Target="../media/febcfa88_77ea_11ea_8111_003048fd731b_c3fa155a_99e0_11ea_8121_003048fd731b78.jpeg"/><Relationship Id="rId79" Type="http://schemas.openxmlformats.org/officeDocument/2006/relationships/image" Target="../media/febcfa8a_77ea_11ea_8111_003048fd731b_c3fa155b_99e0_11ea_8121_003048fd731b79.jpeg"/><Relationship Id="rId80" Type="http://schemas.openxmlformats.org/officeDocument/2006/relationships/image" Target="../media/febcfa8c_77ea_11ea_8111_003048fd731b_c3fa155c_99e0_11ea_8121_003048fd731b80.jpeg"/><Relationship Id="rId81" Type="http://schemas.openxmlformats.org/officeDocument/2006/relationships/image" Target="../media/febcfa8e_77ea_11ea_8111_003048fd731b_c3fa155d_99e0_11ea_8121_003048fd731b81.jpeg"/><Relationship Id="rId82" Type="http://schemas.openxmlformats.org/officeDocument/2006/relationships/image" Target="../media/febcfa90_77ea_11ea_8111_003048fd731b_c3fa155e_99e0_11ea_8121_003048fd731b82.jpeg"/><Relationship Id="rId83" Type="http://schemas.openxmlformats.org/officeDocument/2006/relationships/image" Target="../media/febcfa92_77ea_11ea_8111_003048fd731b_c3fa155f_99e0_11ea_8121_003048fd731b83.jpeg"/><Relationship Id="rId84" Type="http://schemas.openxmlformats.org/officeDocument/2006/relationships/image" Target="../media/febcfa94_77ea_11ea_8111_003048fd731b_c3fa1560_99e0_11ea_8121_003048fd731b84.jpeg"/><Relationship Id="rId85" Type="http://schemas.openxmlformats.org/officeDocument/2006/relationships/image" Target="../media/febcfa96_77ea_11ea_8111_003048fd731b_c3fa1561_99e0_11ea_8121_003048fd731b85.jpeg"/><Relationship Id="rId86" Type="http://schemas.openxmlformats.org/officeDocument/2006/relationships/image" Target="../media/febcfa98_77ea_11ea_8111_003048fd731b_c3fa1562_99e0_11ea_8121_003048fd731b86.jpeg"/><Relationship Id="rId87" Type="http://schemas.openxmlformats.org/officeDocument/2006/relationships/image" Target="../media/febcfa9a_77ea_11ea_8111_003048fd731b_c3fa1563_99e0_11ea_8121_003048fd731b87.jpeg"/><Relationship Id="rId88" Type="http://schemas.openxmlformats.org/officeDocument/2006/relationships/image" Target="../media/febcfa9c_77ea_11ea_8111_003048fd731b_c3fa1564_99e0_11ea_8121_003048fd731b88.jpeg"/><Relationship Id="rId89" Type="http://schemas.openxmlformats.org/officeDocument/2006/relationships/image" Target="../media/65805470_a8d2_11ea_8135_003048fd731b_00bb7b7b_a8d8_11ea_8135_003048fd731b89.jpeg"/><Relationship Id="rId90" Type="http://schemas.openxmlformats.org/officeDocument/2006/relationships/image" Target="../media/65805472_a8d2_11ea_8135_003048fd731b_00bb7b7c_a8d8_11ea_8135_003048fd731b90.jpeg"/><Relationship Id="rId91" Type="http://schemas.openxmlformats.org/officeDocument/2006/relationships/image" Target="../media/65805474_a8d2_11ea_8135_003048fd731b_00bb7b7d_a8d8_11ea_8135_003048fd731b91.jpeg"/><Relationship Id="rId92" Type="http://schemas.openxmlformats.org/officeDocument/2006/relationships/image" Target="../media/65805476_a8d2_11ea_8135_003048fd731b_00bb7b7e_a8d8_11ea_8135_003048fd731b92.jpeg"/><Relationship Id="rId93" Type="http://schemas.openxmlformats.org/officeDocument/2006/relationships/image" Target="../media/65805478_a8d2_11ea_8135_003048fd731b_00bb7b7f_a8d8_11ea_8135_003048fd731b93.jpeg"/><Relationship Id="rId94" Type="http://schemas.openxmlformats.org/officeDocument/2006/relationships/image" Target="../media/6580547a_a8d2_11ea_8135_003048fd731b_00bb7b80_a8d8_11ea_8135_003048fd731b94.jpeg"/><Relationship Id="rId95" Type="http://schemas.openxmlformats.org/officeDocument/2006/relationships/image" Target="../media/6580547c_a8d2_11ea_8135_003048fd731b_00bb7b81_a8d8_11ea_8135_003048fd731b95.jpeg"/><Relationship Id="rId96" Type="http://schemas.openxmlformats.org/officeDocument/2006/relationships/image" Target="../media/6580547e_a8d2_11ea_8135_003048fd731b_00bb7b82_a8d8_11ea_8135_003048fd731b96.jpeg"/><Relationship Id="rId97" Type="http://schemas.openxmlformats.org/officeDocument/2006/relationships/image" Target="../media/65805480_a8d2_11ea_8135_003048fd731b_00bb7b83_a8d8_11ea_8135_003048fd731b97.jpeg"/><Relationship Id="rId98" Type="http://schemas.openxmlformats.org/officeDocument/2006/relationships/image" Target="../media/65805482_a8d2_11ea_8135_003048fd731b_00bb7b84_a8d8_11ea_8135_003048fd731b98.jpeg"/><Relationship Id="rId99" Type="http://schemas.openxmlformats.org/officeDocument/2006/relationships/image" Target="../media/65805484_a8d2_11ea_8135_003048fd731b_00bb7b85_a8d8_11ea_8135_003048fd731b99.jpeg"/><Relationship Id="rId100" Type="http://schemas.openxmlformats.org/officeDocument/2006/relationships/image" Target="../media/65805486_a8d2_11ea_8135_003048fd731b_00bb7b86_a8d8_11ea_8135_003048fd731b100.jpeg"/><Relationship Id="rId101" Type="http://schemas.openxmlformats.org/officeDocument/2006/relationships/image" Target="../media/65805488_a8d2_11ea_8135_003048fd731b_00bb7b87_a8d8_11ea_8135_003048fd731b101.jpeg"/><Relationship Id="rId102" Type="http://schemas.openxmlformats.org/officeDocument/2006/relationships/image" Target="../media/b8d31819_c362_11ea_8157_003048fd731b_9d1cd8bb_c39d_11ea_8157_003048fd731b102.jpeg"/><Relationship Id="rId103" Type="http://schemas.openxmlformats.org/officeDocument/2006/relationships/image" Target="../media/b8d3181b_c362_11ea_8157_003048fd731b_9d1cd8bc_c39d_11ea_8157_003048fd731b103.jpeg"/><Relationship Id="rId104" Type="http://schemas.openxmlformats.org/officeDocument/2006/relationships/image" Target="../media/b8d3181d_c362_11ea_8157_003048fd731b_9d1cd8bd_c39d_11ea_8157_003048fd731b104.jpeg"/><Relationship Id="rId105" Type="http://schemas.openxmlformats.org/officeDocument/2006/relationships/image" Target="../media/b8d3181f_c362_11ea_8157_003048fd731b_9d1cd8be_c39d_11ea_8157_003048fd731b105.jpeg"/><Relationship Id="rId106" Type="http://schemas.openxmlformats.org/officeDocument/2006/relationships/image" Target="../media/b8d31821_c362_11ea_8157_003048fd731b_9d1cd8bf_c39d_11ea_8157_003048fd731b106.jpeg"/><Relationship Id="rId107" Type="http://schemas.openxmlformats.org/officeDocument/2006/relationships/image" Target="../media/9088d5a8_e115_11ea_817f_003048fd731b_79368be4_e197_11ea_817f_003048fd731b107.jpeg"/><Relationship Id="rId108" Type="http://schemas.openxmlformats.org/officeDocument/2006/relationships/image" Target="../media/9088d5aa_e115_11ea_817f_003048fd731b_b40443b3_3ef3_11eb_8202_003048fd731b108.jpeg"/><Relationship Id="rId109" Type="http://schemas.openxmlformats.org/officeDocument/2006/relationships/image" Target="../media/febcfacc_77ea_11ea_8111_003048fd731b_c3fa157c_99e0_11ea_8121_003048fd731b109.jpeg"/><Relationship Id="rId110" Type="http://schemas.openxmlformats.org/officeDocument/2006/relationships/image" Target="../media/658054ba_a8d2_11ea_8135_003048fd731b_64c8bae6_5a46_11f0_a775_047c1617b143110.jpeg"/><Relationship Id="rId111" Type="http://schemas.openxmlformats.org/officeDocument/2006/relationships/image" Target="../media/658054bc_a8d2_11ea_8135_003048fd731b_64c8bae5_5a46_11f0_a775_047c1617b143111.jpeg"/><Relationship Id="rId112" Type="http://schemas.openxmlformats.org/officeDocument/2006/relationships/image" Target="../media/658054c2_a8d2_11ea_8135_003048fd731b_00bb7ba4_a8d8_11ea_8135_003048fd731b112.jpeg"/><Relationship Id="rId113" Type="http://schemas.openxmlformats.org/officeDocument/2006/relationships/image" Target="../media/658054c4_a8d2_11ea_8135_003048fd731b_00bb7ba5_a8d8_11ea_8135_003048fd731b113.jpeg"/><Relationship Id="rId114" Type="http://schemas.openxmlformats.org/officeDocument/2006/relationships/image" Target="../media/658054c8_a8d2_11ea_8135_003048fd731b_00bb7ba7_a8d8_11ea_8135_003048fd731b114.jpeg"/><Relationship Id="rId115" Type="http://schemas.openxmlformats.org/officeDocument/2006/relationships/image" Target="../media/658054cc_a8d2_11ea_8135_003048fd731b_00bb7ba9_a8d8_11ea_8135_003048fd731b115.jpeg"/><Relationship Id="rId116" Type="http://schemas.openxmlformats.org/officeDocument/2006/relationships/image" Target="../media/b8d31827_c362_11ea_8157_003048fd731b_9d1cd8c2_c39d_11ea_8157_003048fd731b116.jpeg"/><Relationship Id="rId117" Type="http://schemas.openxmlformats.org/officeDocument/2006/relationships/image" Target="../media/6580545c_a8d2_11ea_8135_003048fd731b_00bb7b71_a8d8_11ea_8135_003048fd731b117.jpeg"/><Relationship Id="rId118" Type="http://schemas.openxmlformats.org/officeDocument/2006/relationships/image" Target="../media/6580545e_a8d2_11ea_8135_003048fd731b_00bb7b72_a8d8_11ea_8135_003048fd731b118.jpeg"/><Relationship Id="rId119" Type="http://schemas.openxmlformats.org/officeDocument/2006/relationships/image" Target="../media/65805460_a8d2_11ea_8135_003048fd731b_00bb7b73_a8d8_11ea_8135_003048fd731b119.jpeg"/><Relationship Id="rId120" Type="http://schemas.openxmlformats.org/officeDocument/2006/relationships/image" Target="../media/65805462_a8d2_11ea_8135_003048fd731b_00bb7b74_a8d8_11ea_8135_003048fd731b120.jpeg"/><Relationship Id="rId121" Type="http://schemas.openxmlformats.org/officeDocument/2006/relationships/image" Target="../media/65805464_a8d2_11ea_8135_003048fd731b_00bb7b75_a8d8_11ea_8135_003048fd731b121.jpeg"/><Relationship Id="rId122" Type="http://schemas.openxmlformats.org/officeDocument/2006/relationships/image" Target="../media/65805466_a8d2_11ea_8135_003048fd731b_00bb7b76_a8d8_11ea_8135_003048fd731b122.jpeg"/><Relationship Id="rId123" Type="http://schemas.openxmlformats.org/officeDocument/2006/relationships/image" Target="../media/65805468_a8d2_11ea_8135_003048fd731b_00bb7b77_a8d8_11ea_8135_003048fd731b123.jpeg"/><Relationship Id="rId124" Type="http://schemas.openxmlformats.org/officeDocument/2006/relationships/image" Target="../media/b8d31809_c362_11ea_8157_003048fd731b_64c8bae9_5a46_11f0_a775_047c1617b143124.jpeg"/><Relationship Id="rId125" Type="http://schemas.openxmlformats.org/officeDocument/2006/relationships/image" Target="../media/b8d3180b_c362_11ea_8157_003048fd731b_64c8baea_5a46_11f0_a775_047c1617b143125.jpeg"/><Relationship Id="rId126" Type="http://schemas.openxmlformats.org/officeDocument/2006/relationships/image" Target="../media/b8d3180d_c362_11ea_8157_003048fd731b_64c8baec_5a46_11f0_a775_047c1617b143126.jpeg"/><Relationship Id="rId127" Type="http://schemas.openxmlformats.org/officeDocument/2006/relationships/image" Target="../media/b8d3180f_c362_11ea_8157_003048fd731b_64c8baeb_5a46_11f0_a775_047c1617b143127.jpeg"/><Relationship Id="rId128" Type="http://schemas.openxmlformats.org/officeDocument/2006/relationships/image" Target="../media/b8d31811_c362_11ea_8157_003048fd731b_9d1cd8b7_c39d_11ea_8157_003048fd731b128.jpeg"/><Relationship Id="rId129" Type="http://schemas.openxmlformats.org/officeDocument/2006/relationships/image" Target="../media/b8d31813_c362_11ea_8157_003048fd731b_9d1cd8b8_c39d_11ea_8157_003048fd731b129.jpeg"/><Relationship Id="rId130" Type="http://schemas.openxmlformats.org/officeDocument/2006/relationships/image" Target="../media/b8d31815_c362_11ea_8157_003048fd731b_64c8bae8_5a46_11f0_a775_047c1617b143130.jpeg"/><Relationship Id="rId131" Type="http://schemas.openxmlformats.org/officeDocument/2006/relationships/image" Target="../media/b8d31817_c362_11ea_8157_003048fd731b_9d1cd8ba_c39d_11ea_8157_003048fd731b131.jpeg"/><Relationship Id="rId132" Type="http://schemas.openxmlformats.org/officeDocument/2006/relationships/image" Target="../media/b8d31823_c362_11ea_8157_003048fd731b_64c8bae7_5a46_11f0_a775_047c1617b143132.jpeg"/><Relationship Id="rId133" Type="http://schemas.openxmlformats.org/officeDocument/2006/relationships/image" Target="../media/3d54d8ab_7f15_11eb_825a_003048fd731b_a73d6bf7_3fbb_11ef_a5f3_047c1617b143133.jpeg"/><Relationship Id="rId134" Type="http://schemas.openxmlformats.org/officeDocument/2006/relationships/image" Target="../media/3d54d8ad_7f15_11eb_825a_003048fd731b_a73d6bf8_3fbb_11ef_a5f3_047c1617b143134.jpeg"/><Relationship Id="rId135" Type="http://schemas.openxmlformats.org/officeDocument/2006/relationships/image" Target="../media/6873af1c_d543_11e9_8109_003048fd731b_4829b109_0627_11ea_810d_003048fd731b135.png"/><Relationship Id="rId136" Type="http://schemas.openxmlformats.org/officeDocument/2006/relationships/image" Target="../media/6873af1e_d543_11e9_8109_003048fd731b_14e1e08d_f93d_11ef_a6ea_047c1617b143136.jpeg"/><Relationship Id="rId137" Type="http://schemas.openxmlformats.org/officeDocument/2006/relationships/image" Target="../media/6873af20_d543_11e9_8109_003048fd731b_4829b10a_0627_11ea_810d_003048fd731b137.png"/><Relationship Id="rId138" Type="http://schemas.openxmlformats.org/officeDocument/2006/relationships/image" Target="../media/6873af22_d543_11e9_8109_003048fd731b_19e968db_793a_11f0_a79f_047c1617b143138.jpeg"/><Relationship Id="rId139" Type="http://schemas.openxmlformats.org/officeDocument/2006/relationships/image" Target="../media/6873af24_d543_11e9_8109_003048fd731b_14e1e08e_f93d_11ef_a6ea_047c1617b143139.jpeg"/><Relationship Id="rId140" Type="http://schemas.openxmlformats.org/officeDocument/2006/relationships/image" Target="../media/6873af26_d543_11e9_8109_003048fd731b_14e1e090_f93d_11ef_a6ea_047c1617b143140.jpeg"/><Relationship Id="rId141" Type="http://schemas.openxmlformats.org/officeDocument/2006/relationships/image" Target="../media/9088d5b2_e115_11ea_817f_003048fd731b_b4044394_3ef3_11eb_8202_003048fd731b141.jpeg"/><Relationship Id="rId142" Type="http://schemas.openxmlformats.org/officeDocument/2006/relationships/image" Target="../media/9088d5b4_e115_11ea_817f_003048fd731b_b4044395_3ef3_11eb_8202_003048fd731b142.jpeg"/><Relationship Id="rId143" Type="http://schemas.openxmlformats.org/officeDocument/2006/relationships/image" Target="../media/9088d5c0_e115_11ea_817f_003048fd731b_b404439b_3ef3_11eb_8202_003048fd731b143.jpeg"/><Relationship Id="rId144" Type="http://schemas.openxmlformats.org/officeDocument/2006/relationships/image" Target="../media/9088d5c6_e115_11ea_817f_003048fd731b_b404439d_3ef3_11eb_8202_003048fd731b144.jpeg"/><Relationship Id="rId145" Type="http://schemas.openxmlformats.org/officeDocument/2006/relationships/image" Target="../media/9088d5c8_e115_11ea_817f_003048fd731b_b404439e_3ef3_11eb_8202_003048fd731b145.jpeg"/><Relationship Id="rId146" Type="http://schemas.openxmlformats.org/officeDocument/2006/relationships/image" Target="../media/9088d5d0_e115_11ea_817f_003048fd731b_b40443a2_3ef3_11eb_8202_003048fd731b146.jpeg"/><Relationship Id="rId147" Type="http://schemas.openxmlformats.org/officeDocument/2006/relationships/image" Target="../media/658053f2_a8d2_11ea_8135_003048fd731b_64c8baed_5a46_11f0_a775_047c1617b143147.jpeg"/><Relationship Id="rId148" Type="http://schemas.openxmlformats.org/officeDocument/2006/relationships/image" Target="../media/658053f4_a8d2_11ea_8135_003048fd731b_00bb7b3d_a8d8_11ea_8135_003048fd731b148.jpeg"/><Relationship Id="rId149" Type="http://schemas.openxmlformats.org/officeDocument/2006/relationships/image" Target="../media/658053f6_a8d2_11ea_8135_003048fd731b_00bb7b3e_a8d8_11ea_8135_003048fd731b149.jpeg"/><Relationship Id="rId150" Type="http://schemas.openxmlformats.org/officeDocument/2006/relationships/image" Target="../media/658053f8_a8d2_11ea_8135_003048fd731b_00bb7b3f_a8d8_11ea_8135_003048fd731b150.jpeg"/><Relationship Id="rId151" Type="http://schemas.openxmlformats.org/officeDocument/2006/relationships/image" Target="../media/658053fa_a8d2_11ea_8135_003048fd731b_00bb7b40_a8d8_11ea_8135_003048fd731b151.jpeg"/><Relationship Id="rId152" Type="http://schemas.openxmlformats.org/officeDocument/2006/relationships/image" Target="../media/658053fc_a8d2_11ea_8135_003048fd731b_00bb7b41_a8d8_11ea_8135_003048fd731b152.jpeg"/><Relationship Id="rId153" Type="http://schemas.openxmlformats.org/officeDocument/2006/relationships/image" Target="../media/658053fe_a8d2_11ea_8135_003048fd731b_00bb7b42_a8d8_11ea_8135_003048fd731b153.jpeg"/><Relationship Id="rId154" Type="http://schemas.openxmlformats.org/officeDocument/2006/relationships/image" Target="../media/65805400_a8d2_11ea_8135_003048fd731b_00bb7b43_a8d8_11ea_8135_003048fd731b154.jpeg"/><Relationship Id="rId155" Type="http://schemas.openxmlformats.org/officeDocument/2006/relationships/image" Target="../media/65805402_a8d2_11ea_8135_003048fd731b_00bb7b44_a8d8_11ea_8135_003048fd731b155.jpeg"/><Relationship Id="rId156" Type="http://schemas.openxmlformats.org/officeDocument/2006/relationships/image" Target="../media/65805404_a8d2_11ea_8135_003048fd731b_00bb7b45_a8d8_11ea_8135_003048fd731b156.jpeg"/><Relationship Id="rId157" Type="http://schemas.openxmlformats.org/officeDocument/2006/relationships/image" Target="../media/65805406_a8d2_11ea_8135_003048fd731b_00bb7b46_a8d8_11ea_8135_003048fd731b157.jpeg"/><Relationship Id="rId158" Type="http://schemas.openxmlformats.org/officeDocument/2006/relationships/image" Target="../media/65805408_a8d2_11ea_8135_003048fd731b_00bb7b47_a8d8_11ea_8135_003048fd731b158.jpeg"/><Relationship Id="rId159" Type="http://schemas.openxmlformats.org/officeDocument/2006/relationships/image" Target="../media/6580540a_a8d2_11ea_8135_003048fd731b_00bb7b48_a8d8_11ea_8135_003048fd731b159.jpeg"/><Relationship Id="rId160" Type="http://schemas.openxmlformats.org/officeDocument/2006/relationships/image" Target="../media/6580540c_a8d2_11ea_8135_003048fd731b_00bb7b49_a8d8_11ea_8135_003048fd731b160.jpeg"/><Relationship Id="rId161" Type="http://schemas.openxmlformats.org/officeDocument/2006/relationships/image" Target="../media/6580540e_a8d2_11ea_8135_003048fd731b_00bb7b4a_a8d8_11ea_8135_003048fd731b161.jpeg"/><Relationship Id="rId162" Type="http://schemas.openxmlformats.org/officeDocument/2006/relationships/image" Target="../media/65805410_a8d2_11ea_8135_003048fd731b_00bb7b4b_a8d8_11ea_8135_003048fd731b162.jpeg"/><Relationship Id="rId163" Type="http://schemas.openxmlformats.org/officeDocument/2006/relationships/image" Target="../media/65805412_a8d2_11ea_8135_003048fd731b_00bb7b4c_a8d8_11ea_8135_003048fd731b163.jpeg"/><Relationship Id="rId164" Type="http://schemas.openxmlformats.org/officeDocument/2006/relationships/image" Target="../media/65805414_a8d2_11ea_8135_003048fd731b_00bb7b4d_a8d8_11ea_8135_003048fd731b164.jpeg"/><Relationship Id="rId165" Type="http://schemas.openxmlformats.org/officeDocument/2006/relationships/image" Target="../media/65805416_a8d2_11ea_8135_003048fd731b_00bb7b4e_a8d8_11ea_8135_003048fd731b165.jpeg"/><Relationship Id="rId166" Type="http://schemas.openxmlformats.org/officeDocument/2006/relationships/image" Target="../media/65805418_a8d2_11ea_8135_003048fd731b_00bb7b4f_a8d8_11ea_8135_003048fd731b166.jpeg"/><Relationship Id="rId167" Type="http://schemas.openxmlformats.org/officeDocument/2006/relationships/image" Target="../media/6580541a_a8d2_11ea_8135_003048fd731b_00bb7b50_a8d8_11ea_8135_003048fd731b167.jpeg"/><Relationship Id="rId168" Type="http://schemas.openxmlformats.org/officeDocument/2006/relationships/image" Target="../media/6580541c_a8d2_11ea_8135_003048fd731b_00bb7b51_a8d8_11ea_8135_003048fd731b168.jpeg"/><Relationship Id="rId169" Type="http://schemas.openxmlformats.org/officeDocument/2006/relationships/image" Target="../media/6580541e_a8d2_11ea_8135_003048fd731b_00bb7b52_a8d8_11ea_8135_003048fd731b169.jpeg"/><Relationship Id="rId170" Type="http://schemas.openxmlformats.org/officeDocument/2006/relationships/image" Target="../media/65805420_a8d2_11ea_8135_003048fd731b_00bb7b53_a8d8_11ea_8135_003048fd731b170.jpeg"/><Relationship Id="rId171" Type="http://schemas.openxmlformats.org/officeDocument/2006/relationships/image" Target="../media/65805422_a8d2_11ea_8135_003048fd731b_00bb7b54_a8d8_11ea_8135_003048fd731b171.jpeg"/><Relationship Id="rId172" Type="http://schemas.openxmlformats.org/officeDocument/2006/relationships/image" Target="../media/65805424_a8d2_11ea_8135_003048fd731b_00bb7b55_a8d8_11ea_8135_003048fd731b172.jpeg"/><Relationship Id="rId173" Type="http://schemas.openxmlformats.org/officeDocument/2006/relationships/image" Target="../media/65805428_a8d2_11ea_8135_003048fd731b_00bb7b57_a8d8_11ea_8135_003048fd731b173.jpeg"/><Relationship Id="rId174" Type="http://schemas.openxmlformats.org/officeDocument/2006/relationships/image" Target="../media/6580542a_a8d2_11ea_8135_003048fd731b_00bb7b58_a8d8_11ea_8135_003048fd731b174.jpeg"/><Relationship Id="rId175" Type="http://schemas.openxmlformats.org/officeDocument/2006/relationships/image" Target="../media/658054be_a8d2_11ea_8135_003048fd731b_00bb7ba2_a8d8_11ea_8135_003048fd731b175.jpeg"/><Relationship Id="rId176" Type="http://schemas.openxmlformats.org/officeDocument/2006/relationships/image" Target="../media/658054c0_a8d2_11ea_8135_003048fd731b_00bb7ba3_a8d8_11ea_8135_003048fd731b176.jpeg"/><Relationship Id="rId177" Type="http://schemas.openxmlformats.org/officeDocument/2006/relationships/image" Target="../media/b8d3182d_c362_11ea_8157_003048fd731b_64c8baee_5a46_11f0_a775_047c1617b143177.jpeg"/><Relationship Id="rId178" Type="http://schemas.openxmlformats.org/officeDocument/2006/relationships/image" Target="../media/febcfa46_77ea_11ea_8111_003048fd731b_14e1e092_f93d_11ef_a6ea_047c1617b143178.jpeg"/><Relationship Id="rId179" Type="http://schemas.openxmlformats.org/officeDocument/2006/relationships/image" Target="../media/febcfa48_77ea_11ea_8111_003048fd731b_dccccd1c_83b0_11ea_8111_003048fd731b179.jpeg"/><Relationship Id="rId180" Type="http://schemas.openxmlformats.org/officeDocument/2006/relationships/image" Target="../media/febcfa4a_77ea_11ea_8111_003048fd731b_dccccd1d_83b0_11ea_8111_003048fd731b180.jpeg"/><Relationship Id="rId181" Type="http://schemas.openxmlformats.org/officeDocument/2006/relationships/image" Target="../media/febcfa4c_77ea_11ea_8111_003048fd731b_dccccd1e_83b0_11ea_8111_003048fd731b181.jpeg"/><Relationship Id="rId182" Type="http://schemas.openxmlformats.org/officeDocument/2006/relationships/image" Target="../media/febcfa4e_77ea_11ea_8111_003048fd731b_dccccd1f_83b0_11ea_8111_003048fd731b182.jpeg"/><Relationship Id="rId183" Type="http://schemas.openxmlformats.org/officeDocument/2006/relationships/image" Target="../media/febcfa50_77ea_11ea_8111_003048fd731b_dccccd20_83b0_11ea_8111_003048fd731b183.jpeg"/><Relationship Id="rId184" Type="http://schemas.openxmlformats.org/officeDocument/2006/relationships/image" Target="../media/febcfa52_77ea_11ea_8111_003048fd731b_dccccd21_83b0_11ea_8111_003048fd731b184.jpeg"/><Relationship Id="rId185" Type="http://schemas.openxmlformats.org/officeDocument/2006/relationships/image" Target="../media/febcfa54_77ea_11ea_8111_003048fd731b_dccccd22_83b0_11ea_8111_003048fd731b185.jpeg"/><Relationship Id="rId186" Type="http://schemas.openxmlformats.org/officeDocument/2006/relationships/image" Target="../media/febcfa56_77ea_11ea_8111_003048fd731b_dccccd23_83b0_11ea_8111_003048fd731b186.jpeg"/><Relationship Id="rId187" Type="http://schemas.openxmlformats.org/officeDocument/2006/relationships/image" Target="../media/febcfa58_77ea_11ea_8111_003048fd731b_dccccd24_83b0_11ea_8111_003048fd731b187.jpeg"/><Relationship Id="rId188" Type="http://schemas.openxmlformats.org/officeDocument/2006/relationships/image" Target="../media/febcfa5a_77ea_11ea_8111_003048fd731b_dccccd25_83b0_11ea_8111_003048fd731b188.jpeg"/><Relationship Id="rId189" Type="http://schemas.openxmlformats.org/officeDocument/2006/relationships/image" Target="../media/febcfa5c_77ea_11ea_8111_003048fd731b_a73d6bef_3fbb_11ef_a5f3_047c1617b143189.jpeg"/><Relationship Id="rId190" Type="http://schemas.openxmlformats.org/officeDocument/2006/relationships/image" Target="../media/febcfa5e_77ea_11ea_8111_003048fd731b_dccccd27_83b0_11ea_8111_003048fd731b190.jpeg"/><Relationship Id="rId191" Type="http://schemas.openxmlformats.org/officeDocument/2006/relationships/image" Target="../media/febcfa60_77ea_11ea_8111_003048fd731b_dccccd28_83b0_11ea_8111_003048fd731b191.jpeg"/><Relationship Id="rId192" Type="http://schemas.openxmlformats.org/officeDocument/2006/relationships/image" Target="../media/febcfa62_77ea_11ea_8111_003048fd731b_dccccd29_83b0_11ea_8111_003048fd731b192.jpeg"/><Relationship Id="rId193" Type="http://schemas.openxmlformats.org/officeDocument/2006/relationships/image" Target="../media/febcfa64_77ea_11ea_8111_003048fd731b_dccccd2a_83b0_11ea_8111_003048fd731b193.jpeg"/><Relationship Id="rId194" Type="http://schemas.openxmlformats.org/officeDocument/2006/relationships/image" Target="../media/febcfa66_77ea_11ea_8111_003048fd731b_dccccd2b_83b0_11ea_8111_003048fd731b194.jpeg"/><Relationship Id="rId195" Type="http://schemas.openxmlformats.org/officeDocument/2006/relationships/image" Target="../media/febcfa68_77ea_11ea_8111_003048fd731b_dccccd2c_83b0_11ea_8111_003048fd731b195.jpeg"/><Relationship Id="rId196" Type="http://schemas.openxmlformats.org/officeDocument/2006/relationships/image" Target="../media/febcfa6a_77ea_11ea_8111_003048fd731b_dccccd2d_83b0_11ea_8111_003048fd731b196.jpeg"/><Relationship Id="rId197" Type="http://schemas.openxmlformats.org/officeDocument/2006/relationships/image" Target="../media/febcfa6c_77ea_11ea_8111_003048fd731b_dccccd2e_83b0_11ea_8111_003048fd731b197.jpeg"/><Relationship Id="rId198" Type="http://schemas.openxmlformats.org/officeDocument/2006/relationships/image" Target="../media/febcfa6e_77ea_11ea_8111_003048fd731b_dccccd2f_83b0_11ea_8111_003048fd731b198.jpeg"/><Relationship Id="rId199" Type="http://schemas.openxmlformats.org/officeDocument/2006/relationships/image" Target="../media/febcfa70_77ea_11ea_8111_003048fd731b_dccccd30_83b0_11ea_8111_003048fd731b199.jpeg"/><Relationship Id="rId200" Type="http://schemas.openxmlformats.org/officeDocument/2006/relationships/image" Target="../media/febcfa72_77ea_11ea_8111_003048fd731b_dccccd31_83b0_11ea_8111_003048fd731b200.jpeg"/><Relationship Id="rId201" Type="http://schemas.openxmlformats.org/officeDocument/2006/relationships/image" Target="../media/9311fa3c_40dc_11ec_8373_003048fd731b_a73d6bf1_3fbb_11ef_a5f3_047c1617b143201.jpeg"/><Relationship Id="rId202" Type="http://schemas.openxmlformats.org/officeDocument/2006/relationships/image" Target="../media/6580546a_a8d2_11ea_8135_003048fd731b_00bb7b78_a8d8_11ea_8135_003048fd731b202.jpeg"/><Relationship Id="rId203" Type="http://schemas.openxmlformats.org/officeDocument/2006/relationships/image" Target="../media/6580546c_a8d2_11ea_8135_003048fd731b_a73d6bfd_3fbb_11ef_a5f3_047c1617b143203.png"/><Relationship Id="rId204" Type="http://schemas.openxmlformats.org/officeDocument/2006/relationships/image" Target="../media/6580546e_a8d2_11ea_8135_003048fd731b_a73d6bff_3fbb_11ef_a5f3_047c1617b143204.png"/><Relationship Id="rId205" Type="http://schemas.openxmlformats.org/officeDocument/2006/relationships/image" Target="../media/febcfab2_77ea_11ea_8111_003048fd731b_c3fa156f_99e0_11ea_8121_003048fd731b205.jpeg"/><Relationship Id="rId206" Type="http://schemas.openxmlformats.org/officeDocument/2006/relationships/image" Target="../media/febcfab4_77ea_11ea_8111_003048fd731b_c3fa1570_99e0_11ea_8121_003048fd731b206.jpeg"/><Relationship Id="rId207" Type="http://schemas.openxmlformats.org/officeDocument/2006/relationships/image" Target="../media/febcfab6_77ea_11ea_8111_003048fd731b_c3fa1571_99e0_11ea_8121_003048fd731b207.jpeg"/><Relationship Id="rId208" Type="http://schemas.openxmlformats.org/officeDocument/2006/relationships/image" Target="../media/658054c6_a8d2_11ea_8135_003048fd731b_00bb7ba6_a8d8_11ea_8135_003048fd731b208.jpeg"/><Relationship Id="rId209" Type="http://schemas.openxmlformats.org/officeDocument/2006/relationships/image" Target="../media/658054ca_a8d2_11ea_8135_003048fd731b_00bb7ba8_a8d8_11ea_8135_003048fd731b209.jpeg"/><Relationship Id="rId210" Type="http://schemas.openxmlformats.org/officeDocument/2006/relationships/image" Target="../media/6580542c_a8d2_11ea_8135_003048fd731b_00bb7b59_a8d8_11ea_8135_003048fd731b210.jpeg"/><Relationship Id="rId211" Type="http://schemas.openxmlformats.org/officeDocument/2006/relationships/image" Target="../media/6580542e_a8d2_11ea_8135_003048fd731b_00bb7b5a_a8d8_11ea_8135_003048fd731b211.jpeg"/><Relationship Id="rId212" Type="http://schemas.openxmlformats.org/officeDocument/2006/relationships/image" Target="../media/65805430_a8d2_11ea_8135_003048fd731b_00bb7b5b_a8d8_11ea_8135_003048fd731b212.jpeg"/><Relationship Id="rId213" Type="http://schemas.openxmlformats.org/officeDocument/2006/relationships/image" Target="../media/febcfa74_77ea_11ea_8111_003048fd731b_a73d6c03_3fbb_11ef_a5f3_047c1617b143213.jpeg"/><Relationship Id="rId214" Type="http://schemas.openxmlformats.org/officeDocument/2006/relationships/image" Target="../media/febcfa76_77ea_11ea_8111_003048fd731b_33fbaff3_a59a_11ee_a526_047c1617b143214.jpeg"/><Relationship Id="rId215" Type="http://schemas.openxmlformats.org/officeDocument/2006/relationships/image" Target="../media/febcfa78_77ea_11ea_8111_003048fd731b_33fbaff5_a59a_11ee_a526_047c1617b143215.jpeg"/><Relationship Id="rId216" Type="http://schemas.openxmlformats.org/officeDocument/2006/relationships/image" Target="../media/febcfa7a_77ea_11ea_8111_003048fd731b_dccccd35_83b0_11ea_8111_003048fd731b216.jpeg"/><Relationship Id="rId217" Type="http://schemas.openxmlformats.org/officeDocument/2006/relationships/image" Target="../media/febcfa7c_77ea_11ea_8111_003048fd731b_33fbaff7_a59a_11ee_a526_047c1617b143217.jpeg"/><Relationship Id="rId218" Type="http://schemas.openxmlformats.org/officeDocument/2006/relationships/image" Target="../media/febcfa7e_77ea_11ea_8111_003048fd731b_33fbaff9_a59a_11ee_a526_047c1617b143218.jpeg"/><Relationship Id="rId219" Type="http://schemas.openxmlformats.org/officeDocument/2006/relationships/image" Target="../media/febcfa80_77ea_11ea_8111_003048fd731b_33fbaffb_a59a_11ee_a526_047c1617b143219.jpeg"/><Relationship Id="rId220" Type="http://schemas.openxmlformats.org/officeDocument/2006/relationships/image" Target="../media/65805434_a8d2_11ea_8135_003048fd731b_a73d6beb_3fbb_11ef_a5f3_047c1617b143220.jpeg"/><Relationship Id="rId221" Type="http://schemas.openxmlformats.org/officeDocument/2006/relationships/image" Target="../media/65805436_a8d2_11ea_8135_003048fd731b_a73d6bed_3fbb_11ef_a5f3_047c1617b143221.jpeg"/><Relationship Id="rId222" Type="http://schemas.openxmlformats.org/officeDocument/2006/relationships/image" Target="../media/6580543a_a8d2_11ea_8135_003048fd731b_00bb7b60_a8d8_11ea_8135_003048fd731b222.jpeg"/><Relationship Id="rId223" Type="http://schemas.openxmlformats.org/officeDocument/2006/relationships/image" Target="../media/6580543c_a8d2_11ea_8135_003048fd731b_00bb7b61_a8d8_11ea_8135_003048fd731b223.jpeg"/><Relationship Id="rId224" Type="http://schemas.openxmlformats.org/officeDocument/2006/relationships/image" Target="../media/65805440_a8d2_11ea_8135_003048fd731b_00bb7b63_a8d8_11ea_8135_003048fd731b224.jpeg"/><Relationship Id="rId225" Type="http://schemas.openxmlformats.org/officeDocument/2006/relationships/image" Target="../media/65805442_a8d2_11ea_8135_003048fd731b_00bb7b64_a8d8_11ea_8135_003048fd731b225.jpeg"/><Relationship Id="rId226" Type="http://schemas.openxmlformats.org/officeDocument/2006/relationships/image" Target="../media/65805444_a8d2_11ea_8135_003048fd731b_00bb7b65_a8d8_11ea_8135_003048fd731b226.jpeg"/><Relationship Id="rId227" Type="http://schemas.openxmlformats.org/officeDocument/2006/relationships/image" Target="../media/65805446_a8d2_11ea_8135_003048fd731b_00bb7b66_a8d8_11ea_8135_003048fd731b227.jpeg"/><Relationship Id="rId228" Type="http://schemas.openxmlformats.org/officeDocument/2006/relationships/image" Target="../media/65805448_a8d2_11ea_8135_003048fd731b_00bb7b67_a8d8_11ea_8135_003048fd731b228.jpeg"/><Relationship Id="rId229" Type="http://schemas.openxmlformats.org/officeDocument/2006/relationships/image" Target="../media/6580544a_a8d2_11ea_8135_003048fd731b_00bb7b68_a8d8_11ea_8135_003048fd731b229.jpeg"/><Relationship Id="rId230" Type="http://schemas.openxmlformats.org/officeDocument/2006/relationships/image" Target="../media/6580544c_a8d2_11ea_8135_003048fd731b_00bb7b69_a8d8_11ea_8135_003048fd731b230.jpeg"/><Relationship Id="rId231" Type="http://schemas.openxmlformats.org/officeDocument/2006/relationships/image" Target="../media/6580544e_a8d2_11ea_8135_003048fd731b_00bb7b6a_a8d8_11ea_8135_003048fd731b231.jpeg"/><Relationship Id="rId232" Type="http://schemas.openxmlformats.org/officeDocument/2006/relationships/image" Target="../media/65805450_a8d2_11ea_8135_003048fd731b_00bb7b6b_a8d8_11ea_8135_003048fd731b232.jpeg"/><Relationship Id="rId233" Type="http://schemas.openxmlformats.org/officeDocument/2006/relationships/image" Target="../media/65805452_a8d2_11ea_8135_003048fd731b_00bb7b6c_a8d8_11ea_8135_003048fd731b233.jpeg"/><Relationship Id="rId234" Type="http://schemas.openxmlformats.org/officeDocument/2006/relationships/image" Target="../media/65805454_a8d2_11ea_8135_003048fd731b_00bb7b6d_a8d8_11ea_8135_003048fd731b234.jpeg"/><Relationship Id="rId235" Type="http://schemas.openxmlformats.org/officeDocument/2006/relationships/image" Target="../media/65805456_a8d2_11ea_8135_003048fd731b_00bb7b6e_a8d8_11ea_8135_003048fd731b235.jpeg"/><Relationship Id="rId236" Type="http://schemas.openxmlformats.org/officeDocument/2006/relationships/image" Target="../media/65805458_a8d2_11ea_8135_003048fd731b_00bb7b6f_a8d8_11ea_8135_003048fd731b236.jpeg"/><Relationship Id="rId237" Type="http://schemas.openxmlformats.org/officeDocument/2006/relationships/image" Target="../media/6580545a_a8d2_11ea_8135_003048fd731b_00bb7b70_a8d8_11ea_8135_003048fd731b237.jpeg"/><Relationship Id="rId238" Type="http://schemas.openxmlformats.org/officeDocument/2006/relationships/image" Target="../media/b8d3182b_c362_11ea_8157_003048fd731b_9d1cd8c4_c39d_11ea_8157_003048fd731b238.jpeg"/><Relationship Id="rId239" Type="http://schemas.openxmlformats.org/officeDocument/2006/relationships/image" Target="../media/6469dc3a_86a6_11e9_8101_003048fd731b_af04db62_4847_11ea_810f_003048fd731b239.jpeg"/><Relationship Id="rId240" Type="http://schemas.openxmlformats.org/officeDocument/2006/relationships/image" Target="../media/e825a776_3767_11ea_810f_003048fd731b_892ca50d_3773_11ea_810f_003048fd731b240.jpeg"/><Relationship Id="rId241" Type="http://schemas.openxmlformats.org/officeDocument/2006/relationships/image" Target="../media/e825a778_3767_11ea_810f_003048fd731b_892ca50e_3773_11ea_810f_003048fd731b241.jpeg"/><Relationship Id="rId242" Type="http://schemas.openxmlformats.org/officeDocument/2006/relationships/image" Target="../media/e825a77a_3767_11ea_810f_003048fd731b_af04db6c_4847_11ea_810f_003048fd731b242.jpeg"/><Relationship Id="rId243" Type="http://schemas.openxmlformats.org/officeDocument/2006/relationships/image" Target="../media/e825a77c_3767_11ea_810f_003048fd731b_892ca510_3773_11ea_810f_003048fd731b243.jpeg"/><Relationship Id="rId244" Type="http://schemas.openxmlformats.org/officeDocument/2006/relationships/image" Target="../media/e825a77e_3767_11ea_810f_003048fd731b_892ca511_3773_11ea_810f_003048fd731b244.jpeg"/><Relationship Id="rId245" Type="http://schemas.openxmlformats.org/officeDocument/2006/relationships/image" Target="../media/e825a780_3767_11ea_810f_003048fd731b_af04db6b_4847_11ea_810f_003048fd731b245.jpeg"/><Relationship Id="rId246" Type="http://schemas.openxmlformats.org/officeDocument/2006/relationships/image" Target="../media/e825a782_3767_11ea_810f_003048fd731b_af04db68_4847_11ea_810f_003048fd731b246.jpeg"/><Relationship Id="rId247" Type="http://schemas.openxmlformats.org/officeDocument/2006/relationships/image" Target="../media/e825a784_3767_11ea_810f_003048fd731b_af04db69_4847_11ea_810f_003048fd731b247.jpeg"/><Relationship Id="rId248" Type="http://schemas.openxmlformats.org/officeDocument/2006/relationships/image" Target="../media/e825a786_3767_11ea_810f_003048fd731b_af04db6a_4847_11ea_810f_003048fd731b248.jpeg"/><Relationship Id="rId249" Type="http://schemas.openxmlformats.org/officeDocument/2006/relationships/image" Target="../media/e825a788_3767_11ea_810f_003048fd731b_af04db6d_4847_11ea_810f_003048fd731b249.jpeg"/><Relationship Id="rId250" Type="http://schemas.openxmlformats.org/officeDocument/2006/relationships/image" Target="../media/e825a78a_3767_11ea_810f_003048fd731b_af04db6e_4847_11ea_810f_003048fd731b250.jpeg"/><Relationship Id="rId251" Type="http://schemas.openxmlformats.org/officeDocument/2006/relationships/image" Target="../media/e825a78c_3767_11ea_810f_003048fd731b_af04db6f_4847_11ea_810f_003048fd731b251.jpeg"/><Relationship Id="rId252" Type="http://schemas.openxmlformats.org/officeDocument/2006/relationships/image" Target="../media/e825a78e_3767_11ea_810f_003048fd731b_af04db70_4847_11ea_810f_003048fd731b252.jpeg"/><Relationship Id="rId253" Type="http://schemas.openxmlformats.org/officeDocument/2006/relationships/image" Target="../media/e825a790_3767_11ea_810f_003048fd731b_af04db71_4847_11ea_810f_003048fd731b253.jpeg"/><Relationship Id="rId254" Type="http://schemas.openxmlformats.org/officeDocument/2006/relationships/image" Target="../media/e825a792_3767_11ea_810f_003048fd731b_af04db72_4847_11ea_810f_003048fd731b254.jpeg"/><Relationship Id="rId255" Type="http://schemas.openxmlformats.org/officeDocument/2006/relationships/image" Target="../media/e825a794_3767_11ea_810f_003048fd731b_af04db73_4847_11ea_810f_003048fd731b255.jpeg"/><Relationship Id="rId256" Type="http://schemas.openxmlformats.org/officeDocument/2006/relationships/image" Target="../media/e825a796_3767_11ea_810f_003048fd731b_af04db74_4847_11ea_810f_003048fd731b256.jpeg"/><Relationship Id="rId257" Type="http://schemas.openxmlformats.org/officeDocument/2006/relationships/image" Target="../media/e825a798_3767_11ea_810f_003048fd731b_af04db75_4847_11ea_810f_003048fd731b257.jpeg"/><Relationship Id="rId258" Type="http://schemas.openxmlformats.org/officeDocument/2006/relationships/image" Target="../media/e825a79a_3767_11ea_810f_003048fd731b_af04db67_4847_11ea_810f_003048fd731b258.jpeg"/><Relationship Id="rId259" Type="http://schemas.openxmlformats.org/officeDocument/2006/relationships/image" Target="../media/e825a79c_3767_11ea_810f_003048fd731b_af04db66_4847_11ea_810f_003048fd731b259.jpeg"/><Relationship Id="rId260" Type="http://schemas.openxmlformats.org/officeDocument/2006/relationships/image" Target="../media/be5e0731_902e_11ea_8115_003048fd731b_d43ed6d6_f115_11ee_a58b_047c1617b143260.jpeg"/><Relationship Id="rId261" Type="http://schemas.openxmlformats.org/officeDocument/2006/relationships/image" Target="../media/be5e0733_902e_11ea_8115_003048fd731b_d43ed6d7_f115_11ee_a58b_047c1617b143261.jpeg"/><Relationship Id="rId262" Type="http://schemas.openxmlformats.org/officeDocument/2006/relationships/image" Target="../media/bde6263c_091f_11eb_81b8_003048fd731b_a043d91e_14ec_11eb_81c7_003048fd731b262.jpeg"/><Relationship Id="rId263" Type="http://schemas.openxmlformats.org/officeDocument/2006/relationships/image" Target="../media/bde6263e_091f_11eb_81b8_003048fd731b_a043d91f_14ec_11eb_81c7_003048fd731b263.jpeg"/><Relationship Id="rId264" Type="http://schemas.openxmlformats.org/officeDocument/2006/relationships/image" Target="../media/bde62640_091f_11eb_81b8_003048fd731b_a043d920_14ec_11eb_81c7_003048fd731b264.jpeg"/><Relationship Id="rId265" Type="http://schemas.openxmlformats.org/officeDocument/2006/relationships/image" Target="../media/bde62642_091f_11eb_81b8_003048fd731b_a043d921_14ec_11eb_81c7_003048fd731b265.jpeg"/><Relationship Id="rId266" Type="http://schemas.openxmlformats.org/officeDocument/2006/relationships/image" Target="../media/bde62644_091f_11eb_81b8_003048fd731b_a043d922_14ec_11eb_81c7_003048fd731b266.jpeg"/><Relationship Id="rId267" Type="http://schemas.openxmlformats.org/officeDocument/2006/relationships/image" Target="../media/bde62646_091f_11eb_81b8_003048fd731b_a043d923_14ec_11eb_81c7_003048fd731b267.jpeg"/><Relationship Id="rId268" Type="http://schemas.openxmlformats.org/officeDocument/2006/relationships/image" Target="../media/bde62648_091f_11eb_81b8_003048fd731b_a043d924_14ec_11eb_81c7_003048fd731b268.jpeg"/><Relationship Id="rId269" Type="http://schemas.openxmlformats.org/officeDocument/2006/relationships/image" Target="../media/bde6264a_091f_11eb_81b8_003048fd731b_a043d925_14ec_11eb_81c7_003048fd731b269.jpeg"/><Relationship Id="rId270" Type="http://schemas.openxmlformats.org/officeDocument/2006/relationships/image" Target="../media/bde6264c_091f_11eb_81b8_003048fd731b_a043d926_14ec_11eb_81c7_003048fd731b270.jpeg"/><Relationship Id="rId271" Type="http://schemas.openxmlformats.org/officeDocument/2006/relationships/image" Target="../media/bde6264e_091f_11eb_81b8_003048fd731b_a043d927_14ec_11eb_81c7_003048fd731b271.jpeg"/><Relationship Id="rId272" Type="http://schemas.openxmlformats.org/officeDocument/2006/relationships/image" Target="../media/bde62650_091f_11eb_81b8_003048fd731b_a043d928_14ec_11eb_81c7_003048fd731b272.jpeg"/><Relationship Id="rId273" Type="http://schemas.openxmlformats.org/officeDocument/2006/relationships/image" Target="../media/bde62652_091f_11eb_81b8_003048fd731b_a043d929_14ec_11eb_81c7_003048fd731b273.jpeg"/><Relationship Id="rId274" Type="http://schemas.openxmlformats.org/officeDocument/2006/relationships/image" Target="../media/9088d542_e115_11ea_817f_003048fd731b_b404436b_3ef3_11eb_8202_003048fd731b274.jpeg"/><Relationship Id="rId275" Type="http://schemas.openxmlformats.org/officeDocument/2006/relationships/image" Target="../media/e19ee507_d540_11e9_8109_003048fd731b_a73d6c01_3fbb_11ef_a5f3_047c1617b143275.jpeg"/><Relationship Id="rId276" Type="http://schemas.openxmlformats.org/officeDocument/2006/relationships/image" Target="../media/e19ee509_d540_11e9_8109_003048fd731b_19e968df_793a_11f0_a79f_047c1617b143276.jpeg"/><Relationship Id="rId277" Type="http://schemas.openxmlformats.org/officeDocument/2006/relationships/image" Target="../media/e19ee50b_d540_11e9_8109_003048fd731b_19e968dd_793a_11f0_a79f_047c1617b143277.jpeg"/><Relationship Id="rId278" Type="http://schemas.openxmlformats.org/officeDocument/2006/relationships/image" Target="../media/9088d586_e115_11ea_817f_003048fd731b_b40443b5_3ef3_11eb_8202_003048fd731b278.jpeg"/><Relationship Id="rId279" Type="http://schemas.openxmlformats.org/officeDocument/2006/relationships/image" Target="../media/658054b6_a8d2_11ea_8135_003048fd731b_00bb7b9e_a8d8_11ea_8135_003048fd731b279.jpeg"/><Relationship Id="rId280" Type="http://schemas.openxmlformats.org/officeDocument/2006/relationships/image" Target="../media/658054b8_a8d2_11ea_8135_003048fd731b_a73d6c02_3fbb_11ef_a5f3_047c1617b143280.png"/><Relationship Id="rId281" Type="http://schemas.openxmlformats.org/officeDocument/2006/relationships/image" Target="../media/5f0751d2_a8d2_11ea_8135_003048fd731b_c206fa4c_7e65_11eb_8259_003048fd731b281.jpeg"/><Relationship Id="rId282" Type="http://schemas.openxmlformats.org/officeDocument/2006/relationships/image" Target="../media/5f0751d4_a8d2_11ea_8135_003048fd731b_c206fa4d_7e65_11eb_8259_003048fd731b282.jpeg"/><Relationship Id="rId283" Type="http://schemas.openxmlformats.org/officeDocument/2006/relationships/image" Target="../media/5f0751d6_a8d2_11ea_8135_003048fd731b_c206fa4e_7e65_11eb_8259_003048fd731b283.jpeg"/><Relationship Id="rId284" Type="http://schemas.openxmlformats.org/officeDocument/2006/relationships/image" Target="../media/5f0751da_a8d2_11ea_8135_003048fd731b_c206fa4f_7e65_11eb_8259_003048fd731b284.jpeg"/><Relationship Id="rId285" Type="http://schemas.openxmlformats.org/officeDocument/2006/relationships/image" Target="../media/658053da_a8d2_11ea_8135_003048fd731b_c206fa52_7e65_11eb_8259_003048fd731b285.jpeg"/><Relationship Id="rId286" Type="http://schemas.openxmlformats.org/officeDocument/2006/relationships/image" Target="../media/658053ea_a8d2_11ea_8135_003048fd731b_c206fa53_7e65_11eb_8259_003048fd731b286.jpeg"/><Relationship Id="rId287" Type="http://schemas.openxmlformats.org/officeDocument/2006/relationships/image" Target="../media/658053ec_a8d2_11ea_8135_003048fd731b_c206fa54_7e65_11eb_8259_003048fd731b287.jpeg"/><Relationship Id="rId288" Type="http://schemas.openxmlformats.org/officeDocument/2006/relationships/image" Target="../media/5f075254_a8d2_11ea_8135_003048fd731b_c206fa45_7e65_11eb_8259_003048fd731b288.jpeg"/><Relationship Id="rId289" Type="http://schemas.openxmlformats.org/officeDocument/2006/relationships/image" Target="../media/5f075256_a8d2_11ea_8135_003048fd731b_c206fa46_7e65_11eb_8259_003048fd731b289.jpeg"/><Relationship Id="rId290" Type="http://schemas.openxmlformats.org/officeDocument/2006/relationships/image" Target="../media/5f07525c_a8d2_11ea_8135_003048fd731b_c206fa48_7e65_11eb_8259_003048fd731b290.jpeg"/><Relationship Id="rId291" Type="http://schemas.openxmlformats.org/officeDocument/2006/relationships/image" Target="../media/f8d83f48_0ad6_11ec_831e_003048fd731b_f01e389d_67f8_11ec_a210_00259070b487291.jpeg"/><Relationship Id="rId292" Type="http://schemas.openxmlformats.org/officeDocument/2006/relationships/image" Target="../media/4ce16182_a88f_11ea_8135_003048fd731b_b93eaf26_7e65_11eb_8259_003048fd731b292.jpeg"/><Relationship Id="rId293" Type="http://schemas.openxmlformats.org/officeDocument/2006/relationships/image" Target="../media/4ce16184_a88f_11ea_8135_003048fd731b_b93eaf27_7e65_11eb_8259_003048fd731b293.jpeg"/><Relationship Id="rId294" Type="http://schemas.openxmlformats.org/officeDocument/2006/relationships/image" Target="../media/4ce16186_a88f_11ea_8135_003048fd731b_b93eaf28_7e65_11eb_8259_003048fd731b294.jpeg"/><Relationship Id="rId295" Type="http://schemas.openxmlformats.org/officeDocument/2006/relationships/image" Target="../media/4ce16188_a88f_11ea_8135_003048fd731b_b93eaf29_7e65_11eb_8259_003048fd731b295.jpeg"/><Relationship Id="rId296" Type="http://schemas.openxmlformats.org/officeDocument/2006/relationships/image" Target="../media/4ce1618a_a88f_11ea_8135_003048fd731b_b93eaf2a_7e65_11eb_8259_003048fd731b296.jpeg"/><Relationship Id="rId297" Type="http://schemas.openxmlformats.org/officeDocument/2006/relationships/image" Target="../media/4ce1618c_a88f_11ea_8135_003048fd731b_b93eaf2b_7e65_11eb_8259_003048fd731b297.jpeg"/><Relationship Id="rId298" Type="http://schemas.openxmlformats.org/officeDocument/2006/relationships/image" Target="../media/4ce16192_a88f_11ea_8135_003048fd731b_b93eaf2c_7e65_11eb_8259_003048fd731b298.jpeg"/><Relationship Id="rId299" Type="http://schemas.openxmlformats.org/officeDocument/2006/relationships/image" Target="../media/4ce16194_a88f_11ea_8135_003048fd731b_b93eaf2d_7e65_11eb_8259_003048fd731b299.jpeg"/><Relationship Id="rId300" Type="http://schemas.openxmlformats.org/officeDocument/2006/relationships/image" Target="../media/4ce16196_a88f_11ea_8135_003048fd731b_b93eaf2e_7e65_11eb_8259_003048fd731b300.jpeg"/><Relationship Id="rId301" Type="http://schemas.openxmlformats.org/officeDocument/2006/relationships/image" Target="../media/4ce16198_a88f_11ea_8135_003048fd731b_b93eaf2f_7e65_11eb_8259_003048fd731b301.jpeg"/><Relationship Id="rId302" Type="http://schemas.openxmlformats.org/officeDocument/2006/relationships/image" Target="../media/4ce1619a_a88f_11ea_8135_003048fd731b_b93eaf30_7e65_11eb_8259_003048fd731b302.jpeg"/><Relationship Id="rId303" Type="http://schemas.openxmlformats.org/officeDocument/2006/relationships/image" Target="../media/4ce1619c_a88f_11ea_8135_003048fd731b_b93eaf31_7e65_11eb_8259_003048fd731b303.jpeg"/><Relationship Id="rId304" Type="http://schemas.openxmlformats.org/officeDocument/2006/relationships/image" Target="../media/4ce1619e_a88f_11ea_8135_003048fd731b_00bb7a44_a8d8_11ea_8135_003048fd731b304.jpeg"/><Relationship Id="rId305" Type="http://schemas.openxmlformats.org/officeDocument/2006/relationships/image" Target="../media/4ce161a0_a88f_11ea_8135_003048fd731b_b93eaf33_7e65_11eb_8259_003048fd731b305.jpeg"/><Relationship Id="rId306" Type="http://schemas.openxmlformats.org/officeDocument/2006/relationships/image" Target="../media/4ce161a4_a88f_11ea_8135_003048fd731b_b93eaf35_7e65_11eb_8259_003048fd731b306.jpeg"/><Relationship Id="rId307" Type="http://schemas.openxmlformats.org/officeDocument/2006/relationships/image" Target="../media/4ce161aa_a88f_11ea_8135_003048fd731b_b93eaf36_7e65_11eb_8259_003048fd731b307.jpeg"/><Relationship Id="rId308" Type="http://schemas.openxmlformats.org/officeDocument/2006/relationships/image" Target="../media/4ce161ac_a88f_11ea_8135_003048fd731b_b93eaf37_7e65_11eb_8259_003048fd731b308.jpeg"/><Relationship Id="rId309" Type="http://schemas.openxmlformats.org/officeDocument/2006/relationships/image" Target="../media/4ce161ae_a88f_11ea_8135_003048fd731b_b93eaf38_7e65_11eb_8259_003048fd731b309.jpeg"/><Relationship Id="rId310" Type="http://schemas.openxmlformats.org/officeDocument/2006/relationships/image" Target="../media/4ce161b0_a88f_11ea_8135_003048fd731b_b93eaf39_7e65_11eb_8259_003048fd731b310.jpeg"/><Relationship Id="rId311" Type="http://schemas.openxmlformats.org/officeDocument/2006/relationships/image" Target="../media/4ce161b2_a88f_11ea_8135_003048fd731b_b93eaf3a_7e65_11eb_8259_003048fd731b311.jpeg"/><Relationship Id="rId312" Type="http://schemas.openxmlformats.org/officeDocument/2006/relationships/image" Target="../media/4ce161b6_a88f_11ea_8135_003048fd731b_b93eaf3b_7e65_11eb_8259_003048fd731b312.jpeg"/><Relationship Id="rId313" Type="http://schemas.openxmlformats.org/officeDocument/2006/relationships/image" Target="../media/4ce161b8_a88f_11ea_8135_003048fd731b_b93eaf3c_7e65_11eb_8259_003048fd731b313.jpeg"/><Relationship Id="rId314" Type="http://schemas.openxmlformats.org/officeDocument/2006/relationships/image" Target="../media/4ce161ba_a88f_11ea_8135_003048fd731b_b93eaf3d_7e65_11eb_8259_003048fd731b314.jpeg"/><Relationship Id="rId315" Type="http://schemas.openxmlformats.org/officeDocument/2006/relationships/image" Target="../media/4ce161be_a88f_11ea_8135_003048fd731b_b93eaf3e_7e65_11eb_8259_003048fd731b315.jpeg"/><Relationship Id="rId316" Type="http://schemas.openxmlformats.org/officeDocument/2006/relationships/image" Target="../media/5f07511c_a8d2_11ea_8135_003048fd731b_b93eaf3f_7e65_11eb_8259_003048fd731b316.jpeg"/><Relationship Id="rId317" Type="http://schemas.openxmlformats.org/officeDocument/2006/relationships/image" Target="../media/5f075134_a8d2_11ea_8135_003048fd731b_b93eaf40_7e65_11eb_8259_003048fd731b317.jpeg"/><Relationship Id="rId318" Type="http://schemas.openxmlformats.org/officeDocument/2006/relationships/image" Target="../media/5f075138_a8d2_11ea_8135_003048fd731b_b93eaf42_7e65_11eb_8259_003048fd731b318.jpeg"/><Relationship Id="rId319" Type="http://schemas.openxmlformats.org/officeDocument/2006/relationships/image" Target="../media/5f07513c_a8d2_11ea_8135_003048fd731b_b93eaf43_7e65_11eb_8259_003048fd731b319.jpeg"/><Relationship Id="rId320" Type="http://schemas.openxmlformats.org/officeDocument/2006/relationships/image" Target="../media/5f07513e_a8d2_11ea_8135_003048fd731b_b93eaf44_7e65_11eb_8259_003048fd731b320.jpeg"/><Relationship Id="rId321" Type="http://schemas.openxmlformats.org/officeDocument/2006/relationships/image" Target="../media/5f075140_a8d2_11ea_8135_003048fd731b_c206f9f2_7e65_11eb_8259_003048fd731b321.jpeg"/><Relationship Id="rId322" Type="http://schemas.openxmlformats.org/officeDocument/2006/relationships/image" Target="../media/5f075148_a8d2_11ea_8135_003048fd731b_00bb7a6b_a8d8_11ea_8135_003048fd731b322.jpeg"/><Relationship Id="rId323" Type="http://schemas.openxmlformats.org/officeDocument/2006/relationships/image" Target="../media/5f075152_a8d2_11ea_8135_003048fd731b_c206f9f8_7e65_11eb_8259_003048fd731b323.jpeg"/><Relationship Id="rId324" Type="http://schemas.openxmlformats.org/officeDocument/2006/relationships/image" Target="../media/5f075154_a8d2_11ea_8135_003048fd731b_c206f9f9_7e65_11eb_8259_003048fd731b324.jpeg"/><Relationship Id="rId325" Type="http://schemas.openxmlformats.org/officeDocument/2006/relationships/image" Target="../media/5f07515a_a8d2_11ea_8135_003048fd731b_c206f9fc_7e65_11eb_8259_003048fd731b325.jpeg"/><Relationship Id="rId326" Type="http://schemas.openxmlformats.org/officeDocument/2006/relationships/image" Target="../media/5f07515e_a8d2_11ea_8135_003048fd731b_c206f9fd_7e65_11eb_8259_003048fd731b326.jpeg"/><Relationship Id="rId327" Type="http://schemas.openxmlformats.org/officeDocument/2006/relationships/image" Target="../media/5f075160_a8d2_11ea_8135_003048fd731b_00bb7a77_a8d8_11ea_8135_003048fd731b327.jpeg"/><Relationship Id="rId328" Type="http://schemas.openxmlformats.org/officeDocument/2006/relationships/image" Target="../media/5f075162_a8d2_11ea_8135_003048fd731b_c206f9fe_7e65_11eb_8259_003048fd731b328.jpeg"/><Relationship Id="rId329" Type="http://schemas.openxmlformats.org/officeDocument/2006/relationships/image" Target="../media/5f075166_a8d2_11ea_8135_003048fd731b_c206fa00_7e65_11eb_8259_003048fd731b329.jpeg"/><Relationship Id="rId330" Type="http://schemas.openxmlformats.org/officeDocument/2006/relationships/image" Target="../media/5f07516c_a8d2_11ea_8135_003048fd731b_c206fa02_7e65_11eb_8259_003048fd731b330.jpeg"/><Relationship Id="rId331" Type="http://schemas.openxmlformats.org/officeDocument/2006/relationships/image" Target="../media/5f075180_a8d2_11ea_8135_003048fd731b_c206fa0a_7e65_11eb_8259_003048fd731b331.jpeg"/><Relationship Id="rId332" Type="http://schemas.openxmlformats.org/officeDocument/2006/relationships/image" Target="../media/5f075184_a8d2_11ea_8135_003048fd731b_c206fa0c_7e65_11eb_8259_003048fd731b332.jpeg"/><Relationship Id="rId333" Type="http://schemas.openxmlformats.org/officeDocument/2006/relationships/image" Target="../media/5f07518c_a8d2_11ea_8135_003048fd731b_c206fa0e_7e65_11eb_8259_003048fd731b333.jpeg"/><Relationship Id="rId334" Type="http://schemas.openxmlformats.org/officeDocument/2006/relationships/image" Target="../media/5f075190_a8d2_11ea_8135_003048fd731b_a73d6ba8_3fbb_11ef_a5f3_047c1617b143334.jpeg"/><Relationship Id="rId335" Type="http://schemas.openxmlformats.org/officeDocument/2006/relationships/image" Target="../media/5f075194_a8d2_11ea_8135_003048fd731b_a73d6baa_3fbb_11ef_a5f3_047c1617b143335.jpeg"/><Relationship Id="rId336" Type="http://schemas.openxmlformats.org/officeDocument/2006/relationships/image" Target="../media/5f0751a6_a8d2_11ea_8135_003048fd731b_a73d6bac_3fbb_11ef_a5f3_047c1617b143336.jpeg"/><Relationship Id="rId337" Type="http://schemas.openxmlformats.org/officeDocument/2006/relationships/image" Target="../media/5f0751a8_a8d2_11ea_8135_003048fd731b_a73d6bae_3fbb_11ef_a5f3_047c1617b143337.jpeg"/><Relationship Id="rId338" Type="http://schemas.openxmlformats.org/officeDocument/2006/relationships/image" Target="../media/5f0751aa_a8d2_11ea_8135_003048fd731b_c206fa14_7e65_11eb_8259_003048fd731b338.jpeg"/><Relationship Id="rId339" Type="http://schemas.openxmlformats.org/officeDocument/2006/relationships/image" Target="../media/5f0751ae_a8d2_11ea_8135_003048fd731b_c206fa16_7e65_11eb_8259_003048fd731b339.jpeg"/><Relationship Id="rId340" Type="http://schemas.openxmlformats.org/officeDocument/2006/relationships/image" Target="../media/5f0751b4_a8d2_11ea_8135_003048fd731b_c206fa18_7e65_11eb_8259_003048fd731b340.jpeg"/><Relationship Id="rId341" Type="http://schemas.openxmlformats.org/officeDocument/2006/relationships/image" Target="../media/5f0751b6_a8d2_11ea_8135_003048fd731b_c206fa19_7e65_11eb_8259_003048fd731b341.jpeg"/><Relationship Id="rId342" Type="http://schemas.openxmlformats.org/officeDocument/2006/relationships/image" Target="../media/5f0751ba_a8d2_11ea_8135_003048fd731b_c206fa1a_7e65_11eb_8259_003048fd731b342.jpeg"/><Relationship Id="rId343" Type="http://schemas.openxmlformats.org/officeDocument/2006/relationships/image" Target="../media/5f0751bc_a8d2_11ea_8135_003048fd731b_c206fa1b_7e65_11eb_8259_003048fd731b343.jpeg"/><Relationship Id="rId344" Type="http://schemas.openxmlformats.org/officeDocument/2006/relationships/image" Target="../media/5f0751c2_a8d2_11ea_8135_003048fd731b_c206fa1c_7e65_11eb_8259_003048fd731b344.jpeg"/><Relationship Id="rId345" Type="http://schemas.openxmlformats.org/officeDocument/2006/relationships/image" Target="../media/5f0751c4_a8d2_11ea_8135_003048fd731b_c206fa1d_7e65_11eb_8259_003048fd731b345.jpeg"/><Relationship Id="rId346" Type="http://schemas.openxmlformats.org/officeDocument/2006/relationships/image" Target="../media/5f0751c6_a8d2_11ea_8135_003048fd731b_c206fa1e_7e65_11eb_8259_003048fd731b346.jpeg"/><Relationship Id="rId347" Type="http://schemas.openxmlformats.org/officeDocument/2006/relationships/image" Target="../media/5f0751ca_a8d2_11ea_8135_003048fd731b_c206fa1f_7e65_11eb_8259_003048fd731b347.jpeg"/><Relationship Id="rId348" Type="http://schemas.openxmlformats.org/officeDocument/2006/relationships/image" Target="../media/5f0751d0_a8d2_11ea_8135_003048fd731b_00bb7aac_a8d8_11ea_8135_003048fd731b348.jpeg"/><Relationship Id="rId349" Type="http://schemas.openxmlformats.org/officeDocument/2006/relationships/image" Target="../media/5f0751de_a8d2_11ea_8135_003048fd731b_c206fa20_7e65_11eb_8259_003048fd731b349.jpeg"/><Relationship Id="rId350" Type="http://schemas.openxmlformats.org/officeDocument/2006/relationships/image" Target="../media/5f0751e4_a8d2_11ea_8135_003048fd731b_c206fa23_7e65_11eb_8259_003048fd731b350.jpeg"/><Relationship Id="rId351" Type="http://schemas.openxmlformats.org/officeDocument/2006/relationships/image" Target="../media/5f0751ea_a8d2_11ea_8135_003048fd731b_cfa971b9_7e65_11eb_8259_003048fd731b351.jpeg"/><Relationship Id="rId352" Type="http://schemas.openxmlformats.org/officeDocument/2006/relationships/image" Target="../media/5f0751ee_a8d2_11ea_8135_003048fd731b_c206fa25_7e65_11eb_8259_003048fd731b352.jpeg"/><Relationship Id="rId353" Type="http://schemas.openxmlformats.org/officeDocument/2006/relationships/image" Target="../media/5f0751f0_a8d2_11ea_8135_003048fd731b_c206fa26_7e65_11eb_8259_003048fd731b353.jpeg"/><Relationship Id="rId354" Type="http://schemas.openxmlformats.org/officeDocument/2006/relationships/image" Target="../media/5f0751f4_a8d2_11ea_8135_003048fd731b_c206fa27_7e65_11eb_8259_003048fd731b354.jpeg"/><Relationship Id="rId355" Type="http://schemas.openxmlformats.org/officeDocument/2006/relationships/image" Target="../media/5f0751f8_a8d2_11ea_8135_003048fd731b_c206fa29_7e65_11eb_8259_003048fd731b355.jpeg"/><Relationship Id="rId356" Type="http://schemas.openxmlformats.org/officeDocument/2006/relationships/image" Target="../media/5f0751fa_a8d2_11ea_8135_003048fd731b_00bb7ac1_a8d8_11ea_8135_003048fd731b356.jpeg"/><Relationship Id="rId357" Type="http://schemas.openxmlformats.org/officeDocument/2006/relationships/image" Target="../media/5f0751fc_a8d2_11ea_8135_003048fd731b_c206fa2b_7e65_11eb_8259_003048fd731b357.jpeg"/><Relationship Id="rId358" Type="http://schemas.openxmlformats.org/officeDocument/2006/relationships/image" Target="../media/5f075274_a8d2_11ea_8135_003048fd731b_49c4af14_056a_11f0_a6fc_047c1617b143358.jpeg"/><Relationship Id="rId359" Type="http://schemas.openxmlformats.org/officeDocument/2006/relationships/image" Target="../media/5f075276_a8d2_11ea_8135_003048fd731b_c206fa2d_7e65_11eb_8259_003048fd731b359.jpeg"/><Relationship Id="rId360" Type="http://schemas.openxmlformats.org/officeDocument/2006/relationships/image" Target="../media/5f075278_a8d2_11ea_8135_003048fd731b_c206fa2e_7e65_11eb_8259_003048fd731b360.jpeg"/><Relationship Id="rId361" Type="http://schemas.openxmlformats.org/officeDocument/2006/relationships/image" Target="../media/5f075280_a8d2_11ea_8135_003048fd731b_c206fa2f_7e65_11eb_8259_003048fd731b361.jpeg"/><Relationship Id="rId362" Type="http://schemas.openxmlformats.org/officeDocument/2006/relationships/image" Target="../media/5f075282_a8d2_11ea_8135_003048fd731b_c206fa30_7e65_11eb_8259_003048fd731b362.jpeg"/><Relationship Id="rId363" Type="http://schemas.openxmlformats.org/officeDocument/2006/relationships/image" Target="../media/5f075284_a8d2_11ea_8135_003048fd731b_c206fa31_7e65_11eb_8259_003048fd731b363.jpeg"/><Relationship Id="rId364" Type="http://schemas.openxmlformats.org/officeDocument/2006/relationships/image" Target="../media/5f07528a_a8d2_11ea_8135_003048fd731b_c206fa32_7e65_11eb_8259_003048fd731b364.jpeg"/><Relationship Id="rId365" Type="http://schemas.openxmlformats.org/officeDocument/2006/relationships/image" Target="../media/5f07528c_a8d2_11ea_8135_003048fd731b_c206fa33_7e65_11eb_8259_003048fd731b365.jpeg"/><Relationship Id="rId366" Type="http://schemas.openxmlformats.org/officeDocument/2006/relationships/image" Target="../media/5f07528e_a8d2_11ea_8135_003048fd731b_c206fa34_7e65_11eb_8259_003048fd731b366.jpeg"/><Relationship Id="rId367" Type="http://schemas.openxmlformats.org/officeDocument/2006/relationships/image" Target="../media/5f075290_a8d2_11ea_8135_003048fd731b_c206fa35_7e65_11eb_8259_003048fd731b367.jpeg"/><Relationship Id="rId368" Type="http://schemas.openxmlformats.org/officeDocument/2006/relationships/image" Target="../media/658053b0_a8d2_11ea_8135_003048fd731b_00bb7b1b_a8d8_11ea_8135_003048fd731b368.jpeg"/><Relationship Id="rId369" Type="http://schemas.openxmlformats.org/officeDocument/2006/relationships/image" Target="../media/658053b2_a8d2_11ea_8135_003048fd731b_c206fa37_7e65_11eb_8259_003048fd731b369.jpeg"/><Relationship Id="rId370" Type="http://schemas.openxmlformats.org/officeDocument/2006/relationships/image" Target="../media/658053b4_a8d2_11ea_8135_003048fd731b_c206fa38_7e65_11eb_8259_003048fd731b370.jpeg"/><Relationship Id="rId371" Type="http://schemas.openxmlformats.org/officeDocument/2006/relationships/image" Target="../media/658053b6_a8d2_11ea_8135_003048fd731b_c206fa39_7e65_11eb_8259_003048fd731b371.jpeg"/><Relationship Id="rId372" Type="http://schemas.openxmlformats.org/officeDocument/2006/relationships/image" Target="../media/658053b8_a8d2_11ea_8135_003048fd731b_c206fa3a_7e65_11eb_8259_003048fd731b372.jpeg"/><Relationship Id="rId373" Type="http://schemas.openxmlformats.org/officeDocument/2006/relationships/image" Target="../media/658053be_a8d2_11ea_8135_003048fd731b_c206fa3b_7e65_11eb_8259_003048fd731b373.jpeg"/><Relationship Id="rId374" Type="http://schemas.openxmlformats.org/officeDocument/2006/relationships/image" Target="../media/658053c2_a8d2_11ea_8135_003048fd731b_c206fa3d_7e65_11eb_8259_003048fd731b374.jpeg"/><Relationship Id="rId375" Type="http://schemas.openxmlformats.org/officeDocument/2006/relationships/image" Target="../media/658053ca_a8d2_11ea_8135_003048fd731b_c206fa3f_7e65_11eb_8259_003048fd731b375.jpeg"/><Relationship Id="rId376" Type="http://schemas.openxmlformats.org/officeDocument/2006/relationships/image" Target="../media/658053d2_a8d2_11ea_8135_003048fd731b_c206fa41_7e65_11eb_8259_003048fd731b376.jpeg"/><Relationship Id="rId377" Type="http://schemas.openxmlformats.org/officeDocument/2006/relationships/image" Target="../media/658053de_a8d2_11ea_8135_003048fd731b_c206fa42_7e65_11eb_8259_003048fd731b377.jpeg"/><Relationship Id="rId378" Type="http://schemas.openxmlformats.org/officeDocument/2006/relationships/image" Target="../media/658053e2_a8d2_11ea_8135_003048fd731b_00bb7b34_a8d8_11ea_8135_003048fd731b378.jpeg"/><Relationship Id="rId379" Type="http://schemas.openxmlformats.org/officeDocument/2006/relationships/image" Target="../media/6dfb45a1_f78f_11ea_819f_003048fd731b_c206fa43_7e65_11eb_8259_003048fd731b379.jpeg"/><Relationship Id="rId380" Type="http://schemas.openxmlformats.org/officeDocument/2006/relationships/image" Target="../media/33dad9b9_296e_11eb_81e2_003048fd731b_c206fa44_7e65_11eb_8259_003048fd731b380.jpeg"/><Relationship Id="rId381" Type="http://schemas.openxmlformats.org/officeDocument/2006/relationships/image" Target="../media/3d54d8a9_7f15_11eb_825a_003048fd731b_f01e3899_67f8_11ec_a210_00259070b487381.jpeg"/><Relationship Id="rId382" Type="http://schemas.openxmlformats.org/officeDocument/2006/relationships/image" Target="../media/3d54d8a7_7f15_11eb_825a_003048fd731b_f01e389a_67f8_11ec_a210_00259070b487382.jpeg"/><Relationship Id="rId383" Type="http://schemas.openxmlformats.org/officeDocument/2006/relationships/image" Target="../media/f8d83f46_0ad6_11ec_831e_003048fd731b_a73d6baf_3fbb_11ef_a5f3_047c1617b143383.jpeg"/><Relationship Id="rId384" Type="http://schemas.openxmlformats.org/officeDocument/2006/relationships/image" Target="../media/3ab9550f_2b35_11ec_8350_003048fd731b_f01e38a2_67f8_11ec_a210_00259070b487384.jpeg"/><Relationship Id="rId385" Type="http://schemas.openxmlformats.org/officeDocument/2006/relationships/image" Target="../media/4b79ff42_fe7c_11ec_a2d8_00259070b487_a73d6bdb_3fbb_11ef_a5f3_047c1617b143385.png"/><Relationship Id="rId386" Type="http://schemas.openxmlformats.org/officeDocument/2006/relationships/image" Target="../media/a16b84a3_663d_11ed_a377_047c1617b143_a73d6bbe_3fbb_11ef_a5f3_047c1617b143386.png"/><Relationship Id="rId387" Type="http://schemas.openxmlformats.org/officeDocument/2006/relationships/image" Target="../media/3a60339e_93a4_11ee_a50e_047c1617b143_d0f60f8c_ca39_11ee_a557_047c1617b143387.jpeg"/><Relationship Id="rId388" Type="http://schemas.openxmlformats.org/officeDocument/2006/relationships/image" Target="../media/40b139a6_ad61_11ea_813b_003048fd731b_b93eaf20_7e65_11eb_8259_003048fd731b388.jpeg"/><Relationship Id="rId389" Type="http://schemas.openxmlformats.org/officeDocument/2006/relationships/image" Target="../media/40b139a8_ad61_11ea_813b_003048fd731b_b93eaf21_7e65_11eb_8259_003048fd731b389.jpeg"/><Relationship Id="rId390" Type="http://schemas.openxmlformats.org/officeDocument/2006/relationships/image" Target="../media/3fc0ec83_ad62_11ea_813b_003048fd731b_b93eaf22_7e65_11eb_8259_003048fd731b390.jpeg"/><Relationship Id="rId391" Type="http://schemas.openxmlformats.org/officeDocument/2006/relationships/image" Target="../media/3fc0ec85_ad62_11ea_813b_003048fd731b_b93eaf23_7e65_11eb_8259_003048fd731b391.jpeg"/><Relationship Id="rId392" Type="http://schemas.openxmlformats.org/officeDocument/2006/relationships/image" Target="../media/3fc0ec87_ad62_11ea_813b_003048fd731b_b93eaf24_7e65_11eb_8259_003048fd731b392.jpeg"/><Relationship Id="rId393" Type="http://schemas.openxmlformats.org/officeDocument/2006/relationships/image" Target="../media/3fc0ec89_ad62_11ea_813b_003048fd731b_b93eaf25_7e65_11eb_8259_003048fd731b393.jpeg"/><Relationship Id="rId394" Type="http://schemas.openxmlformats.org/officeDocument/2006/relationships/image" Target="../media/604c4ea0_d7b4_11ed_a417_047c1617b143_daef3f56_f115_11ee_a58b_047c1617b143394.jpeg"/><Relationship Id="rId395" Type="http://schemas.openxmlformats.org/officeDocument/2006/relationships/image" Target="../media/40b13980_ad61_11ea_813b_003048fd731b_b93eaf0b_7e65_11eb_8259_003048fd731b395.jpeg"/><Relationship Id="rId396" Type="http://schemas.openxmlformats.org/officeDocument/2006/relationships/image" Target="../media/40b13982_ad61_11ea_813b_003048fd731b_b93eaf0c_7e65_11eb_8259_003048fd731b396.jpeg"/><Relationship Id="rId397" Type="http://schemas.openxmlformats.org/officeDocument/2006/relationships/image" Target="../media/40b13984_ad61_11ea_813b_003048fd731b_b93eaf0d_7e65_11eb_8259_003048fd731b397.jpeg"/><Relationship Id="rId398" Type="http://schemas.openxmlformats.org/officeDocument/2006/relationships/image" Target="../media/40b13986_ad61_11ea_813b_003048fd731b_b93eaf0e_7e65_11eb_8259_003048fd731b398.jpeg"/><Relationship Id="rId399" Type="http://schemas.openxmlformats.org/officeDocument/2006/relationships/image" Target="../media/40b13988_ad61_11ea_813b_003048fd731b_b93eaf0f_7e65_11eb_8259_003048fd731b399.jpeg"/><Relationship Id="rId400" Type="http://schemas.openxmlformats.org/officeDocument/2006/relationships/image" Target="../media/40b1398c_ad61_11ea_813b_003048fd731b_b93eaf10_7e65_11eb_8259_003048fd731b400.jpeg"/><Relationship Id="rId401" Type="http://schemas.openxmlformats.org/officeDocument/2006/relationships/image" Target="../media/40b1398e_ad61_11ea_813b_003048fd731b_b93eaf11_7e65_11eb_8259_003048fd731b401.jpeg"/><Relationship Id="rId402" Type="http://schemas.openxmlformats.org/officeDocument/2006/relationships/image" Target="../media/40b13990_ad61_11ea_813b_003048fd731b_b93eaf12_7e65_11eb_8259_003048fd731b402.jpeg"/><Relationship Id="rId403" Type="http://schemas.openxmlformats.org/officeDocument/2006/relationships/image" Target="../media/40b1399a_ad61_11ea_813b_003048fd731b_b93eaf17_7e65_11eb_8259_003048fd731b403.jpeg"/><Relationship Id="rId404" Type="http://schemas.openxmlformats.org/officeDocument/2006/relationships/image" Target="../media/40b1399c_ad61_11ea_813b_003048fd731b_b93eaf18_7e65_11eb_8259_003048fd731b404.jpeg"/><Relationship Id="rId405" Type="http://schemas.openxmlformats.org/officeDocument/2006/relationships/image" Target="../media/40b1399e_ad61_11ea_813b_003048fd731b_b93eaf19_7e65_11eb_8259_003048fd731b405.jpeg"/><Relationship Id="rId406" Type="http://schemas.openxmlformats.org/officeDocument/2006/relationships/image" Target="../media/40b139a0_ad61_11ea_813b_003048fd731b_b93eaf1a_7e65_11eb_8259_003048fd731b406.jpeg"/><Relationship Id="rId407" Type="http://schemas.openxmlformats.org/officeDocument/2006/relationships/image" Target="../media/40b139a2_ad61_11ea_813b_003048fd731b_b93eaf1b_7e65_11eb_8259_003048fd731b407.jpeg"/><Relationship Id="rId408" Type="http://schemas.openxmlformats.org/officeDocument/2006/relationships/image" Target="../media/40b139a4_ad61_11ea_813b_003048fd731b_b93eaf1c_7e65_11eb_8259_003048fd731b408.jpeg"/><Relationship Id="rId409" Type="http://schemas.openxmlformats.org/officeDocument/2006/relationships/image" Target="../media/3fc0ec99_ad62_11ea_813b_003048fd731b_b93eaf1d_7e65_11eb_8259_003048fd731b409.jpeg"/><Relationship Id="rId410" Type="http://schemas.openxmlformats.org/officeDocument/2006/relationships/image" Target="../media/3fc0ec9b_ad62_11ea_813b_003048fd731b_b93eaf1e_7e65_11eb_8259_003048fd731b410.jpeg"/><Relationship Id="rId411" Type="http://schemas.openxmlformats.org/officeDocument/2006/relationships/image" Target="../media/3fc0ec9d_ad62_11ea_813b_003048fd731b_b93eaf1f_7e65_11eb_8259_003048fd731b411.jpeg"/><Relationship Id="rId412" Type="http://schemas.openxmlformats.org/officeDocument/2006/relationships/image" Target="../media/f8d83f4a_0ad6_11ec_831e_003048fd731b_f01e389e_67f8_11ec_a210_00259070b487412.jpeg"/><Relationship Id="rId413" Type="http://schemas.openxmlformats.org/officeDocument/2006/relationships/image" Target="../media/f46041df_77ea_11ea_8111_003048fd731b_8c533372_5a46_11f0_a775_047c1617b143413.jpeg"/><Relationship Id="rId414" Type="http://schemas.openxmlformats.org/officeDocument/2006/relationships/image" Target="../media/f46041e1_77ea_11ea_8111_003048fd731b_8c533365_5a46_11f0_a775_047c1617b143414.jpeg"/><Relationship Id="rId415" Type="http://schemas.openxmlformats.org/officeDocument/2006/relationships/image" Target="../media/f46041e3_77ea_11ea_8111_003048fd731b_8c53336b_5a46_11f0_a775_047c1617b143415.jpeg"/><Relationship Id="rId416" Type="http://schemas.openxmlformats.org/officeDocument/2006/relationships/image" Target="../media/f46041e5_77ea_11ea_8111_003048fd731b_8c533374_5a46_11f0_a775_047c1617b143416.jpeg"/><Relationship Id="rId417" Type="http://schemas.openxmlformats.org/officeDocument/2006/relationships/image" Target="../media/f46041e7_77ea_11ea_8111_003048fd731b_8c533398_5a46_11f0_a775_047c1617b143417.jpeg"/><Relationship Id="rId418" Type="http://schemas.openxmlformats.org/officeDocument/2006/relationships/image" Target="../media/f46041e9_77ea_11ea_8111_003048fd731b_8c53339b_5a46_11f0_a775_047c1617b143418.jpeg"/><Relationship Id="rId419" Type="http://schemas.openxmlformats.org/officeDocument/2006/relationships/image" Target="../media/f46041eb_77ea_11ea_8111_003048fd731b_8c53339f_5a46_11f0_a775_047c1617b143419.jpeg"/><Relationship Id="rId420" Type="http://schemas.openxmlformats.org/officeDocument/2006/relationships/image" Target="../media/f46041ed_77ea_11ea_8111_003048fd731b_8c5333a2_5a46_11f0_a775_047c1617b143420.jpeg"/><Relationship Id="rId421" Type="http://schemas.openxmlformats.org/officeDocument/2006/relationships/image" Target="../media/f46041ef_77ea_11ea_8111_003048fd731b_8c533399_5a46_11f0_a775_047c1617b143421.jpeg"/><Relationship Id="rId422" Type="http://schemas.openxmlformats.org/officeDocument/2006/relationships/image" Target="../media/f46041f1_77ea_11ea_8111_003048fd731b_8c533367_5a46_11f0_a775_047c1617b143422.jpeg"/><Relationship Id="rId423" Type="http://schemas.openxmlformats.org/officeDocument/2006/relationships/image" Target="../media/f46041f3_77ea_11ea_8111_003048fd731b_8c53335f_5a46_11f0_a775_047c1617b143423.jpeg"/><Relationship Id="rId424" Type="http://schemas.openxmlformats.org/officeDocument/2006/relationships/image" Target="../media/f46041f5_77ea_11ea_8111_003048fd731b_8c533397_5a46_11f0_a775_047c1617b143424.jpeg"/><Relationship Id="rId425" Type="http://schemas.openxmlformats.org/officeDocument/2006/relationships/image" Target="../media/f46041f7_77ea_11ea_8111_003048fd731b_8c53339d_5a46_11f0_a775_047c1617b143425.jpeg"/><Relationship Id="rId426" Type="http://schemas.openxmlformats.org/officeDocument/2006/relationships/image" Target="../media/f46041f9_77ea_11ea_8111_003048fd731b_8c5333a0_5a46_11f0_a775_047c1617b143426.jpeg"/><Relationship Id="rId427" Type="http://schemas.openxmlformats.org/officeDocument/2006/relationships/image" Target="../media/f46041fb_77ea_11ea_8111_003048fd731b_8c533326_5a46_11f0_a775_047c1617b143427.jpeg"/><Relationship Id="rId428" Type="http://schemas.openxmlformats.org/officeDocument/2006/relationships/image" Target="../media/f46041fd_77ea_11ea_8111_003048fd731b_8c53332c_5a46_11f0_a775_047c1617b143428.jpeg"/><Relationship Id="rId429" Type="http://schemas.openxmlformats.org/officeDocument/2006/relationships/image" Target="../media/f46041ff_77ea_11ea_8111_003048fd731b_8c53332e_5a46_11f0_a775_047c1617b143429.jpeg"/><Relationship Id="rId430" Type="http://schemas.openxmlformats.org/officeDocument/2006/relationships/image" Target="../media/f4604201_77ea_11ea_8111_003048fd731b_8c533338_5a46_11f0_a775_047c1617b143430.jpeg"/><Relationship Id="rId431" Type="http://schemas.openxmlformats.org/officeDocument/2006/relationships/image" Target="../media/f4604203_77ea_11ea_8111_003048fd731b_8c53334c_5a46_11f0_a775_047c1617b143431.jpeg"/><Relationship Id="rId432" Type="http://schemas.openxmlformats.org/officeDocument/2006/relationships/image" Target="../media/f4604205_77ea_11ea_8111_003048fd731b_8c533358_5a46_11f0_a775_047c1617b143432.jpeg"/><Relationship Id="rId433" Type="http://schemas.openxmlformats.org/officeDocument/2006/relationships/image" Target="../media/f4604207_77ea_11ea_8111_003048fd731b_8c533359_5a46_11f0_a775_047c1617b143433.jpeg"/><Relationship Id="rId434" Type="http://schemas.openxmlformats.org/officeDocument/2006/relationships/image" Target="../media/f4604209_77ea_11ea_8111_003048fd731b_8c53335d_5a46_11f0_a775_047c1617b143434.jpeg"/><Relationship Id="rId435" Type="http://schemas.openxmlformats.org/officeDocument/2006/relationships/image" Target="../media/f460420b_77ea_11ea_8111_003048fd731b_8c5333ac_5a46_11f0_a775_047c1617b143435.jpeg"/><Relationship Id="rId436" Type="http://schemas.openxmlformats.org/officeDocument/2006/relationships/image" Target="../media/f460420d_77ea_11ea_8111_003048fd731b_8c5333ae_5a46_11f0_a775_047c1617b143436.jpeg"/><Relationship Id="rId437" Type="http://schemas.openxmlformats.org/officeDocument/2006/relationships/image" Target="../media/f460420f_77ea_11ea_8111_003048fd731b_8c533361_5a46_11f0_a775_047c1617b143437.jpeg"/><Relationship Id="rId438" Type="http://schemas.openxmlformats.org/officeDocument/2006/relationships/image" Target="../media/f4604211_77ea_11ea_8111_003048fd731b_8c533363_5a46_11f0_a775_047c1617b143438.jpeg"/><Relationship Id="rId439" Type="http://schemas.openxmlformats.org/officeDocument/2006/relationships/image" Target="../media/f4604213_77ea_11ea_8111_003048fd731b_8c533386_5a46_11f0_a775_047c1617b143439.jpeg"/><Relationship Id="rId440" Type="http://schemas.openxmlformats.org/officeDocument/2006/relationships/image" Target="../media/f4604215_77ea_11ea_8111_003048fd731b_8c533324_5a46_11f0_a775_047c1617b143440.jpeg"/><Relationship Id="rId441" Type="http://schemas.openxmlformats.org/officeDocument/2006/relationships/image" Target="../media/f4604217_77ea_11ea_8111_003048fd731b_8c53333a_5a46_11f0_a775_047c1617b143441.jpeg"/><Relationship Id="rId442" Type="http://schemas.openxmlformats.org/officeDocument/2006/relationships/image" Target="../media/f4604219_77ea_11ea_8111_003048fd731b_8c533342_5a46_11f0_a775_047c1617b143442.jpeg"/><Relationship Id="rId443" Type="http://schemas.openxmlformats.org/officeDocument/2006/relationships/image" Target="../media/f460421b_77ea_11ea_8111_003048fd731b_8c533348_5a46_11f0_a775_047c1617b143443.jpeg"/><Relationship Id="rId444" Type="http://schemas.openxmlformats.org/officeDocument/2006/relationships/image" Target="../media/f460421d_77ea_11ea_8111_003048fd731b_8c533352_5a46_11f0_a775_047c1617b143444.jpeg"/><Relationship Id="rId445" Type="http://schemas.openxmlformats.org/officeDocument/2006/relationships/image" Target="../media/f460421f_77ea_11ea_8111_003048fd731b_8c533369_5a46_11f0_a775_047c1617b143445.jpeg"/><Relationship Id="rId446" Type="http://schemas.openxmlformats.org/officeDocument/2006/relationships/image" Target="../media/f4604221_77ea_11ea_8111_003048fd731b_8c53336a_5a46_11f0_a775_047c1617b143446.jpeg"/><Relationship Id="rId447" Type="http://schemas.openxmlformats.org/officeDocument/2006/relationships/image" Target="../media/f4604223_77ea_11ea_8111_003048fd731b_8c53337a_5a46_11f0_a775_047c1617b143447.jpeg"/><Relationship Id="rId448" Type="http://schemas.openxmlformats.org/officeDocument/2006/relationships/image" Target="../media/f4604225_77ea_11ea_8111_003048fd731b_8c53337c_5a46_11f0_a775_047c1617b143448.jpeg"/><Relationship Id="rId449" Type="http://schemas.openxmlformats.org/officeDocument/2006/relationships/image" Target="../media/f4604227_77ea_11ea_8111_003048fd731b_8c53337e_5a46_11f0_a775_047c1617b143449.jpeg"/><Relationship Id="rId450" Type="http://schemas.openxmlformats.org/officeDocument/2006/relationships/image" Target="../media/f4604229_77ea_11ea_8111_003048fd731b_19e968e1_793a_11f0_a79f_047c1617b143450.jpeg"/><Relationship Id="rId451" Type="http://schemas.openxmlformats.org/officeDocument/2006/relationships/image" Target="../media/f460422b_77ea_11ea_8111_003048fd731b_8c533388_5a46_11f0_a775_047c1617b143451.jpeg"/><Relationship Id="rId452" Type="http://schemas.openxmlformats.org/officeDocument/2006/relationships/image" Target="../media/f460422d_77ea_11ea_8111_003048fd731b_8c533391_5a46_11f0_a775_047c1617b143452.jpeg"/><Relationship Id="rId453" Type="http://schemas.openxmlformats.org/officeDocument/2006/relationships/image" Target="../media/f460422f_77ea_11ea_8111_003048fd731b_8c533395_5a46_11f0_a775_047c1617b143453.jpeg"/><Relationship Id="rId454" Type="http://schemas.openxmlformats.org/officeDocument/2006/relationships/image" Target="../media/f4604231_77ea_11ea_8111_003048fd731b_8c533384_5a46_11f0_a775_047c1617b143454.jpeg"/><Relationship Id="rId455" Type="http://schemas.openxmlformats.org/officeDocument/2006/relationships/image" Target="../media/f4604233_77ea_11ea_8111_003048fd731b_8c533330_5a46_11f0_a775_047c1617b143455.jpeg"/><Relationship Id="rId456" Type="http://schemas.openxmlformats.org/officeDocument/2006/relationships/image" Target="../media/f4604235_77ea_11ea_8111_003048fd731b_8c533332_5a46_11f0_a775_047c1617b143456.jpeg"/><Relationship Id="rId457" Type="http://schemas.openxmlformats.org/officeDocument/2006/relationships/image" Target="../media/f4604237_77ea_11ea_8111_003048fd731b_8c53333c_5a46_11f0_a775_047c1617b143457.jpeg"/><Relationship Id="rId458" Type="http://schemas.openxmlformats.org/officeDocument/2006/relationships/image" Target="../media/f4604239_77ea_11ea_8111_003048fd731b_8c53335a_5a46_11f0_a775_047c1617b143458.jpeg"/><Relationship Id="rId459" Type="http://schemas.openxmlformats.org/officeDocument/2006/relationships/image" Target="../media/f460423b_77ea_11ea_8111_003048fd731b_8c5333af_5a46_11f0_a775_047c1617b143459.jpeg"/><Relationship Id="rId460" Type="http://schemas.openxmlformats.org/officeDocument/2006/relationships/image" Target="../media/f460423d_77ea_11ea_8111_003048fd731b_8c53333e_5a46_11f0_a775_047c1617b143460.jpeg"/><Relationship Id="rId461" Type="http://schemas.openxmlformats.org/officeDocument/2006/relationships/image" Target="../media/f460423f_77ea_11ea_8111_003048fd731b_8c533346_5a46_11f0_a775_047c1617b143461.jpeg"/><Relationship Id="rId462" Type="http://schemas.openxmlformats.org/officeDocument/2006/relationships/image" Target="../media/f4604241_77ea_11ea_8111_003048fd731b_8c533354_5a46_11f0_a775_047c1617b143462.jpeg"/><Relationship Id="rId463" Type="http://schemas.openxmlformats.org/officeDocument/2006/relationships/image" Target="../media/f4604243_77ea_11ea_8111_003048fd731b_8c533322_5a46_11f0_a775_047c1617b143463.jpeg"/><Relationship Id="rId464" Type="http://schemas.openxmlformats.org/officeDocument/2006/relationships/image" Target="../media/f4604245_77ea_11ea_8111_003048fd731b_8c533336_5a46_11f0_a775_047c1617b143464.jpeg"/><Relationship Id="rId465" Type="http://schemas.openxmlformats.org/officeDocument/2006/relationships/image" Target="../media/f4604247_77ea_11ea_8111_003048fd731b_8c533340_5a46_11f0_a775_047c1617b143465.jpeg"/><Relationship Id="rId466" Type="http://schemas.openxmlformats.org/officeDocument/2006/relationships/image" Target="../media/f4604249_77ea_11ea_8111_003048fd731b_8c53334a_5a46_11f0_a775_047c1617b143466.jpeg"/><Relationship Id="rId467" Type="http://schemas.openxmlformats.org/officeDocument/2006/relationships/image" Target="../media/f460424b_77ea_11ea_8111_003048fd731b_8c53334e_5a46_11f0_a775_047c1617b143467.jpeg"/><Relationship Id="rId468" Type="http://schemas.openxmlformats.org/officeDocument/2006/relationships/image" Target="../media/f460424d_77ea_11ea_8111_003048fd731b_8c533356_5a46_11f0_a775_047c1617b143468.jpeg"/><Relationship Id="rId469" Type="http://schemas.openxmlformats.org/officeDocument/2006/relationships/image" Target="../media/f460424f_77ea_11ea_8111_003048fd731b_8c533357_5a46_11f0_a775_047c1617b143469.jpeg"/><Relationship Id="rId470" Type="http://schemas.openxmlformats.org/officeDocument/2006/relationships/image" Target="../media/f4604251_77ea_11ea_8111_003048fd731b_8c53335c_5a46_11f0_a775_047c1617b143470.jpeg"/><Relationship Id="rId471" Type="http://schemas.openxmlformats.org/officeDocument/2006/relationships/image" Target="../media/f4604253_77ea_11ea_8111_003048fd731b_8c5333ab_5a46_11f0_a775_047c1617b143471.jpeg"/><Relationship Id="rId472" Type="http://schemas.openxmlformats.org/officeDocument/2006/relationships/image" Target="../media/f4604255_77ea_11ea_8111_003048fd731b_8c53336e_5a46_11f0_a775_047c1617b143472.jpeg"/><Relationship Id="rId473" Type="http://schemas.openxmlformats.org/officeDocument/2006/relationships/image" Target="../media/f4604257_77ea_11ea_8111_003048fd731b_8c53332a_5a46_11f0_a775_047c1617b143473.jpeg"/><Relationship Id="rId474" Type="http://schemas.openxmlformats.org/officeDocument/2006/relationships/image" Target="../media/f4604259_77ea_11ea_8111_003048fd731b_8c533334_5a46_11f0_a775_047c1617b143474.jpeg"/><Relationship Id="rId475" Type="http://schemas.openxmlformats.org/officeDocument/2006/relationships/image" Target="../media/f460425b_77ea_11ea_8111_003048fd731b_8c533350_5a46_11f0_a775_047c1617b143475.jpeg"/><Relationship Id="rId476" Type="http://schemas.openxmlformats.org/officeDocument/2006/relationships/image" Target="../media/f460425d_77ea_11ea_8111_003048fd731b_8c53336c_5a46_11f0_a775_047c1617b143476.jpeg"/><Relationship Id="rId477" Type="http://schemas.openxmlformats.org/officeDocument/2006/relationships/image" Target="../media/f460425f_77ea_11ea_8111_003048fd731b_8c533370_5a46_11f0_a775_047c1617b143477.jpeg"/><Relationship Id="rId478" Type="http://schemas.openxmlformats.org/officeDocument/2006/relationships/image" Target="../media/f4604261_77ea_11ea_8111_003048fd731b_8c533376_5a46_11f0_a775_047c1617b143478.jpeg"/><Relationship Id="rId479" Type="http://schemas.openxmlformats.org/officeDocument/2006/relationships/image" Target="../media/f4604263_77ea_11ea_8111_003048fd731b_8c533378_5a46_11f0_a775_047c1617b143479.jpeg"/><Relationship Id="rId480" Type="http://schemas.openxmlformats.org/officeDocument/2006/relationships/image" Target="../media/f4604265_77ea_11ea_8111_003048fd731b_8c53338f_5a46_11f0_a775_047c1617b143480.jpeg"/><Relationship Id="rId481" Type="http://schemas.openxmlformats.org/officeDocument/2006/relationships/image" Target="../media/f4604267_77ea_11ea_8111_003048fd731b_8c5333aa_5a46_11f0_a775_047c1617b143481.jpeg"/><Relationship Id="rId482" Type="http://schemas.openxmlformats.org/officeDocument/2006/relationships/image" Target="../media/f4604269_77ea_11ea_8111_003048fd731b_8c533382_5a46_11f0_a775_047c1617b143482.jpeg"/><Relationship Id="rId483" Type="http://schemas.openxmlformats.org/officeDocument/2006/relationships/image" Target="../media/b60c0f6a_5f8e_11eb_822d_003048fd731b_8c5333b2_5a46_11f0_a775_047c1617b143483.jpeg"/><Relationship Id="rId484" Type="http://schemas.openxmlformats.org/officeDocument/2006/relationships/image" Target="../media/b60c0f86_5f8e_11eb_822d_003048fd731b_8c5333b6_5a46_11f0_a775_047c1617b143484.jpeg"/><Relationship Id="rId485" Type="http://schemas.openxmlformats.org/officeDocument/2006/relationships/image" Target="../media/b60c0f96_5f8e_11eb_822d_003048fd731b_8c533393_5a46_11f0_a775_047c1617b143485.jpeg"/><Relationship Id="rId486" Type="http://schemas.openxmlformats.org/officeDocument/2006/relationships/image" Target="../media/b60c0f9e_5f8e_11eb_822d_003048fd731b_8c53338a_5a46_11f0_a775_047c1617b143486.jpeg"/><Relationship Id="rId487" Type="http://schemas.openxmlformats.org/officeDocument/2006/relationships/image" Target="../media/b60c0fb8_5f8e_11eb_822d_003048fd731b_8c5333c4_5a46_11f0_a775_047c1617b143487.jpeg"/><Relationship Id="rId488" Type="http://schemas.openxmlformats.org/officeDocument/2006/relationships/image" Target="../media/b60c104a_5f8e_11eb_822d_003048fd731b_8c5333b0_5a46_11f0_a775_047c1617b143488.jpeg"/><Relationship Id="rId489" Type="http://schemas.openxmlformats.org/officeDocument/2006/relationships/image" Target="../media/b60c104e_5f8e_11eb_822d_003048fd731b_8c5333b4_5a46_11f0_a775_047c1617b143489.jpeg"/><Relationship Id="rId490" Type="http://schemas.openxmlformats.org/officeDocument/2006/relationships/image" Target="../media/b60c1062_5f8e_11eb_822d_003048fd731b_8c5333ba_5a46_11f0_a775_047c1617b143490.jpeg"/><Relationship Id="rId491" Type="http://schemas.openxmlformats.org/officeDocument/2006/relationships/image" Target="../media/b60c1064_5f8e_11eb_822d_003048fd731b_8c5333bb_5a46_11f0_a775_047c1617b143491.jpeg"/><Relationship Id="rId492" Type="http://schemas.openxmlformats.org/officeDocument/2006/relationships/image" Target="../media/b60c106a_5f8e_11eb_822d_003048fd731b_8c5333c1_5a46_11f0_a775_047c1617b143492.jpeg"/><Relationship Id="rId493" Type="http://schemas.openxmlformats.org/officeDocument/2006/relationships/image" Target="../media/febcf9bc_77ea_11ea_8111_003048fd731b_8c5333a8_5a46_11f0_a775_047c1617b143493.jpeg"/><Relationship Id="rId494" Type="http://schemas.openxmlformats.org/officeDocument/2006/relationships/image" Target="../media/b60c1044_5f8e_11eb_822d_003048fd731b_8c53338e_5a46_11f0_a775_047c1617b143494.jpeg"/><Relationship Id="rId495" Type="http://schemas.openxmlformats.org/officeDocument/2006/relationships/image" Target="../media/febcf99a_77ea_11ea_8111_003048fd731b_8c53342a_5a46_11f0_a775_047c1617b143495.jpeg"/><Relationship Id="rId496" Type="http://schemas.openxmlformats.org/officeDocument/2006/relationships/image" Target="../media/febcf99c_77ea_11ea_8111_003048fd731b_8c5333e4_5a46_11f0_a775_047c1617b143496.jpeg"/><Relationship Id="rId497" Type="http://schemas.openxmlformats.org/officeDocument/2006/relationships/image" Target="../media/febcf99e_77ea_11ea_8111_003048fd731b_8c5333e9_5a46_11f0_a775_047c1617b143497.jpeg"/><Relationship Id="rId498" Type="http://schemas.openxmlformats.org/officeDocument/2006/relationships/image" Target="../media/febcf9a0_77ea_11ea_8111_003048fd731b_8c53341d_5a46_11f0_a775_047c1617b143498.jpeg"/><Relationship Id="rId499" Type="http://schemas.openxmlformats.org/officeDocument/2006/relationships/image" Target="../media/febcf9a2_77ea_11ea_8111_003048fd731b_8c53341e_5a46_11f0_a775_047c1617b143499.jpeg"/><Relationship Id="rId500" Type="http://schemas.openxmlformats.org/officeDocument/2006/relationships/image" Target="../media/febcf9a4_77ea_11ea_8111_003048fd731b_8c53341f_5a46_11f0_a775_047c1617b143500.jpeg"/><Relationship Id="rId501" Type="http://schemas.openxmlformats.org/officeDocument/2006/relationships/image" Target="../media/febcf9a6_77ea_11ea_8111_003048fd731b_8c533422_5a46_11f0_a775_047c1617b143501.jpeg"/><Relationship Id="rId502" Type="http://schemas.openxmlformats.org/officeDocument/2006/relationships/image" Target="../media/febcf9a8_77ea_11ea_8111_003048fd731b_8c533425_5a46_11f0_a775_047c1617b143502.jpeg"/><Relationship Id="rId503" Type="http://schemas.openxmlformats.org/officeDocument/2006/relationships/image" Target="../media/febcf9aa_77ea_11ea_8111_003048fd731b_8c533426_5a46_11f0_a775_047c1617b143503.jpeg"/><Relationship Id="rId504" Type="http://schemas.openxmlformats.org/officeDocument/2006/relationships/image" Target="../media/febcf9ac_77ea_11ea_8111_003048fd731b_8c533427_5a46_11f0_a775_047c1617b143504.jpeg"/><Relationship Id="rId505" Type="http://schemas.openxmlformats.org/officeDocument/2006/relationships/image" Target="../media/febcf9ae_77ea_11ea_8111_003048fd731b_8c5333ce_5a46_11f0_a775_047c1617b143505.jpeg"/><Relationship Id="rId506" Type="http://schemas.openxmlformats.org/officeDocument/2006/relationships/image" Target="../media/febcf9b0_77ea_11ea_8111_003048fd731b_8c5333d0_5a46_11f0_a775_047c1617b143506.jpeg"/><Relationship Id="rId507" Type="http://schemas.openxmlformats.org/officeDocument/2006/relationships/image" Target="../media/febcf9b2_77ea_11ea_8111_003048fd731b_8c5333d2_5a46_11f0_a775_047c1617b143507.jpeg"/><Relationship Id="rId508" Type="http://schemas.openxmlformats.org/officeDocument/2006/relationships/image" Target="../media/febcf9b4_77ea_11ea_8111_003048fd731b_8c5333db_5a46_11f0_a775_047c1617b143508.jpeg"/><Relationship Id="rId509" Type="http://schemas.openxmlformats.org/officeDocument/2006/relationships/image" Target="../media/febcf9b6_77ea_11ea_8111_003048fd731b_8c5333dd_5a46_11f0_a775_047c1617b143509.jpeg"/><Relationship Id="rId510" Type="http://schemas.openxmlformats.org/officeDocument/2006/relationships/image" Target="../media/febcf9b8_77ea_11ea_8111_003048fd731b_8c5333df_5a46_11f0_a775_047c1617b143510.jpeg"/><Relationship Id="rId511" Type="http://schemas.openxmlformats.org/officeDocument/2006/relationships/image" Target="../media/febcf9ba_77ea_11ea_8111_003048fd731b_8c5333e0_5a46_11f0_a775_047c1617b143511.jpeg"/><Relationship Id="rId512" Type="http://schemas.openxmlformats.org/officeDocument/2006/relationships/image" Target="../media/febcf9be_77ea_11ea_8111_003048fd731b_8c53342f_5a46_11f0_a775_047c1617b143512.jpeg"/><Relationship Id="rId513" Type="http://schemas.openxmlformats.org/officeDocument/2006/relationships/image" Target="../media/febcf9c0_77ea_11ea_8111_003048fd731b_8c5333c6_5a46_11f0_a775_047c1617b143513.jpeg"/><Relationship Id="rId514" Type="http://schemas.openxmlformats.org/officeDocument/2006/relationships/image" Target="../media/febcf9c2_77ea_11ea_8111_003048fd731b_8c5333e2_5a46_11f0_a775_047c1617b143514.jpeg"/><Relationship Id="rId515" Type="http://schemas.openxmlformats.org/officeDocument/2006/relationships/image" Target="../media/febcf9c4_77ea_11ea_8111_003048fd731b_8c5333e6_5a46_11f0_a775_047c1617b143515.jpeg"/><Relationship Id="rId516" Type="http://schemas.openxmlformats.org/officeDocument/2006/relationships/image" Target="../media/febcf9c6_77ea_11ea_8111_003048fd731b_8c5333e8_5a46_11f0_a775_047c1617b143516.jpeg"/><Relationship Id="rId517" Type="http://schemas.openxmlformats.org/officeDocument/2006/relationships/image" Target="../media/febcf9c8_77ea_11ea_8111_003048fd731b_8c5333eb_5a46_11f0_a775_047c1617b143517.jpeg"/><Relationship Id="rId518" Type="http://schemas.openxmlformats.org/officeDocument/2006/relationships/image" Target="../media/febcf9ca_77ea_11ea_8111_003048fd731b_8c5333ec_5a46_11f0_a775_047c1617b143518.jpeg"/><Relationship Id="rId519" Type="http://schemas.openxmlformats.org/officeDocument/2006/relationships/image" Target="../media/febcf9cc_77ea_11ea_8111_003048fd731b_8c533419_5a46_11f0_a775_047c1617b143519.jpeg"/><Relationship Id="rId520" Type="http://schemas.openxmlformats.org/officeDocument/2006/relationships/image" Target="../media/febcf9ce_77ea_11ea_8111_003048fd731b_8c53341b_5a46_11f0_a775_047c1617b143520.jpeg"/><Relationship Id="rId521" Type="http://schemas.openxmlformats.org/officeDocument/2006/relationships/image" Target="../media/febcf9d0_77ea_11ea_8111_003048fd731b_8c5333f0_5a46_11f0_a775_047c1617b143521.jpeg"/><Relationship Id="rId522" Type="http://schemas.openxmlformats.org/officeDocument/2006/relationships/image" Target="../media/febcf9d2_77ea_11ea_8111_003048fd731b_8c5333ee_5a46_11f0_a775_047c1617b143522.jpeg"/><Relationship Id="rId523" Type="http://schemas.openxmlformats.org/officeDocument/2006/relationships/image" Target="../media/febcf9d4_77ea_11ea_8111_003048fd731b_8c5333ca_5a46_11f0_a775_047c1617b143523.jpeg"/><Relationship Id="rId524" Type="http://schemas.openxmlformats.org/officeDocument/2006/relationships/image" Target="../media/febcf9d6_77ea_11ea_8111_003048fd731b_8c5333d6_5a46_11f0_a775_047c1617b143524.jpeg"/><Relationship Id="rId525" Type="http://schemas.openxmlformats.org/officeDocument/2006/relationships/image" Target="../media/febcf9d8_77ea_11ea_8111_003048fd731b_8c5333cc_5a46_11f0_a775_047c1617b143525.jpeg"/><Relationship Id="rId526" Type="http://schemas.openxmlformats.org/officeDocument/2006/relationships/image" Target="../media/febcf9da_77ea_11ea_8111_003048fd731b_8c5333d8_5a46_11f0_a775_047c1617b143526.jpeg"/><Relationship Id="rId527" Type="http://schemas.openxmlformats.org/officeDocument/2006/relationships/image" Target="../media/febcf9dc_77ea_11ea_8111_003048fd731b_8c5333c8_5a46_11f0_a775_047c1617b143527.jpeg"/><Relationship Id="rId528" Type="http://schemas.openxmlformats.org/officeDocument/2006/relationships/image" Target="../media/febcf9de_77ea_11ea_8111_003048fd731b_8c5333d9_5a46_11f0_a775_047c1617b143528.jpeg"/><Relationship Id="rId529" Type="http://schemas.openxmlformats.org/officeDocument/2006/relationships/image" Target="../media/febcf9e0_77ea_11ea_8111_003048fd731b_8c5333f4_5a46_11f0_a775_047c1617b143529.jpeg"/><Relationship Id="rId530" Type="http://schemas.openxmlformats.org/officeDocument/2006/relationships/image" Target="../media/febcf9e2_77ea_11ea_8111_003048fd731b_8c5333f5_5a46_11f0_a775_047c1617b143530.jpeg"/><Relationship Id="rId531" Type="http://schemas.openxmlformats.org/officeDocument/2006/relationships/image" Target="../media/febcf9e4_77ea_11ea_8111_003048fd731b_8c5333f8_5a46_11f0_a775_047c1617b143531.jpeg"/><Relationship Id="rId532" Type="http://schemas.openxmlformats.org/officeDocument/2006/relationships/image" Target="../media/febcf9e6_77ea_11ea_8111_003048fd731b_8c5333fa_5a46_11f0_a775_047c1617b143532.jpeg"/><Relationship Id="rId533" Type="http://schemas.openxmlformats.org/officeDocument/2006/relationships/image" Target="../media/febcf9e8_77ea_11ea_8111_003048fd731b_8c5333fc_5a46_11f0_a775_047c1617b143533.jpeg"/><Relationship Id="rId534" Type="http://schemas.openxmlformats.org/officeDocument/2006/relationships/image" Target="../media/febcf9ea_77ea_11ea_8111_003048fd731b_8c5333fe_5a46_11f0_a775_047c1617b143534.jpeg"/><Relationship Id="rId535" Type="http://schemas.openxmlformats.org/officeDocument/2006/relationships/image" Target="../media/febcf9ec_77ea_11ea_8111_003048fd731b_8c533401_5a46_11f0_a775_047c1617b143535.jpeg"/><Relationship Id="rId536" Type="http://schemas.openxmlformats.org/officeDocument/2006/relationships/image" Target="../media/febcf9ee_77ea_11ea_8111_003048fd731b_8c5333ff_5a46_11f0_a775_047c1617b143536.jpeg"/><Relationship Id="rId537" Type="http://schemas.openxmlformats.org/officeDocument/2006/relationships/image" Target="../media/febcf9f0_77ea_11ea_8111_003048fd731b_8c533403_5a46_11f0_a775_047c1617b143537.jpeg"/><Relationship Id="rId538" Type="http://schemas.openxmlformats.org/officeDocument/2006/relationships/image" Target="../media/febcf9f2_77ea_11ea_8111_003048fd731b_8c533405_5a46_11f0_a775_047c1617b143538.jpeg"/><Relationship Id="rId539" Type="http://schemas.openxmlformats.org/officeDocument/2006/relationships/image" Target="../media/febcf9f4_77ea_11ea_8111_003048fd731b_8c533408_5a46_11f0_a775_047c1617b143539.jpeg"/><Relationship Id="rId540" Type="http://schemas.openxmlformats.org/officeDocument/2006/relationships/image" Target="../media/febcf9f6_77ea_11ea_8111_003048fd731b_8c53340d_5a46_11f0_a775_047c1617b143540.jpeg"/><Relationship Id="rId541" Type="http://schemas.openxmlformats.org/officeDocument/2006/relationships/image" Target="../media/febcf9f8_77ea_11ea_8111_003048fd731b_8c53340b_5a46_11f0_a775_047c1617b143541.jpeg"/><Relationship Id="rId542" Type="http://schemas.openxmlformats.org/officeDocument/2006/relationships/image" Target="../media/febcf9fa_77ea_11ea_8111_003048fd731b_8c53340f_5a46_11f0_a775_047c1617b143542.jpeg"/><Relationship Id="rId543" Type="http://schemas.openxmlformats.org/officeDocument/2006/relationships/image" Target="../media/febcf9fc_77ea_11ea_8111_003048fd731b_8c533411_5a46_11f0_a775_047c1617b143543.jpeg"/><Relationship Id="rId544" Type="http://schemas.openxmlformats.org/officeDocument/2006/relationships/image" Target="../media/febcf9fe_77ea_11ea_8111_003048fd731b_8c533412_5a46_11f0_a775_047c1617b143544.jpeg"/><Relationship Id="rId545" Type="http://schemas.openxmlformats.org/officeDocument/2006/relationships/image" Target="../media/febcfa00_77ea_11ea_8111_003048fd731b_8c533416_5a46_11f0_a775_047c1617b143545.jpeg"/><Relationship Id="rId546" Type="http://schemas.openxmlformats.org/officeDocument/2006/relationships/image" Target="../media/febcfa02_77ea_11ea_8111_003048fd731b_8c533418_5a46_11f0_a775_047c1617b143546.jpeg"/><Relationship Id="rId547" Type="http://schemas.openxmlformats.org/officeDocument/2006/relationships/image" Target="../media/febcfa04_77ea_11ea_8111_003048fd731b_8c533413_5a46_11f0_a775_047c1617b143547.jpeg"/><Relationship Id="rId548" Type="http://schemas.openxmlformats.org/officeDocument/2006/relationships/image" Target="../media/b60c1022_5f8e_11eb_822d_003048fd731b_8c5333f2_5a46_11f0_a775_047c1617b143548.jpeg"/><Relationship Id="rId549" Type="http://schemas.openxmlformats.org/officeDocument/2006/relationships/image" Target="../media/b60c1028_5f8e_11eb_822d_003048fd731b_8c5333f6_5a46_11f0_a775_047c1617b143549.jpeg"/><Relationship Id="rId550" Type="http://schemas.openxmlformats.org/officeDocument/2006/relationships/image" Target="../media/b60c10b6_5f8e_11eb_822d_003048fd731b_9332fa28_5a46_11f0_a775_047c1617b143550.jpeg"/><Relationship Id="rId551" Type="http://schemas.openxmlformats.org/officeDocument/2006/relationships/image" Target="../media/b60c10b8_5f8e_11eb_822d_003048fd731b_9332fa2b_5a46_11f0_a775_047c1617b143551.jpeg"/><Relationship Id="rId552" Type="http://schemas.openxmlformats.org/officeDocument/2006/relationships/image" Target="../media/b60c10ba_5f8e_11eb_822d_003048fd731b_9332fa2c_5a46_11f0_a775_047c1617b143552.jpeg"/><Relationship Id="rId553" Type="http://schemas.openxmlformats.org/officeDocument/2006/relationships/image" Target="../media/b60c10bc_5f8e_11eb_822d_003048fd731b_9332fa2d_5a46_11f0_a775_047c1617b143553.jpeg"/><Relationship Id="rId554" Type="http://schemas.openxmlformats.org/officeDocument/2006/relationships/image" Target="../media/bcd88428_5f8e_11eb_822d_003048fd731b_9332fa2a_5a46_11f0_a775_047c1617b143554.jpeg"/><Relationship Id="rId555" Type="http://schemas.openxmlformats.org/officeDocument/2006/relationships/image" Target="../media/bcd8842c_5f8e_11eb_822d_003048fd731b_9332fa30_5a46_11f0_a775_047c1617b143555.jpeg"/><Relationship Id="rId556" Type="http://schemas.openxmlformats.org/officeDocument/2006/relationships/image" Target="../media/bcd8842e_5f8e_11eb_822d_003048fd731b_9332fa2e_5a46_11f0_a775_047c1617b143556.jpeg"/><Relationship Id="rId557" Type="http://schemas.openxmlformats.org/officeDocument/2006/relationships/image" Target="../media/bcd88430_5f8e_11eb_822d_003048fd731b_9332fa2f_5a46_11f0_a775_047c1617b143557.jpeg"/><Relationship Id="rId558" Type="http://schemas.openxmlformats.org/officeDocument/2006/relationships/image" Target="../media/bcd88436_5f8e_11eb_822d_003048fd731b_9332fa31_5a46_11f0_a775_047c1617b143558.jpeg"/><Relationship Id="rId559" Type="http://schemas.openxmlformats.org/officeDocument/2006/relationships/image" Target="../media/bcd8843e_5f8e_11eb_822d_003048fd731b_9332fa33_5a46_11f0_a775_047c1617b143559.jpeg"/><Relationship Id="rId560" Type="http://schemas.openxmlformats.org/officeDocument/2006/relationships/image" Target="../media/bcd88446_5f8e_11eb_822d_003048fd731b_9332fa34_5a46_11f0_a775_047c1617b143560.jpeg"/><Relationship Id="rId561" Type="http://schemas.openxmlformats.org/officeDocument/2006/relationships/image" Target="../media/5f0751d8_a8d2_11ea_8135_003048fd731b_cfa9717c_7e65_11eb_8259_003048fd731b561.jpeg"/><Relationship Id="rId562" Type="http://schemas.openxmlformats.org/officeDocument/2006/relationships/image" Target="../media/5f075216_a8d2_11ea_8135_003048fd731b_cfa9717d_7e65_11eb_8259_003048fd731b562.jpeg"/><Relationship Id="rId563" Type="http://schemas.openxmlformats.org/officeDocument/2006/relationships/image" Target="../media/5f075218_a8d2_11ea_8135_003048fd731b_cfa9717e_7e65_11eb_8259_003048fd731b563.jpeg"/><Relationship Id="rId564" Type="http://schemas.openxmlformats.org/officeDocument/2006/relationships/image" Target="../media/5f07521a_a8d2_11ea_8135_003048fd731b_cfa9717f_7e65_11eb_8259_003048fd731b564.jpeg"/><Relationship Id="rId565" Type="http://schemas.openxmlformats.org/officeDocument/2006/relationships/image" Target="../media/5f07521c_a8d2_11ea_8135_003048fd731b_cfa97180_7e65_11eb_8259_003048fd731b565.jpeg"/><Relationship Id="rId566" Type="http://schemas.openxmlformats.org/officeDocument/2006/relationships/image" Target="../media/5f07521e_a8d2_11ea_8135_003048fd731b_cfa97181_7e65_11eb_8259_003048fd731b566.jpeg"/><Relationship Id="rId567" Type="http://schemas.openxmlformats.org/officeDocument/2006/relationships/image" Target="../media/5f075220_a8d2_11ea_8135_003048fd731b_cfa97182_7e65_11eb_8259_003048fd731b567.jpeg"/><Relationship Id="rId568" Type="http://schemas.openxmlformats.org/officeDocument/2006/relationships/image" Target="../media/5f075222_a8d2_11ea_8135_003048fd731b_cfa97183_7e65_11eb_8259_003048fd731b568.jpeg"/><Relationship Id="rId569" Type="http://schemas.openxmlformats.org/officeDocument/2006/relationships/image" Target="../media/5f075224_a8d2_11ea_8135_003048fd731b_cfa97184_7e65_11eb_8259_003048fd731b569.jpeg"/><Relationship Id="rId570" Type="http://schemas.openxmlformats.org/officeDocument/2006/relationships/image" Target="../media/5f075236_a8d2_11ea_8135_003048fd731b_cfa97185_7e65_11eb_8259_003048fd731b570.jpeg"/><Relationship Id="rId571" Type="http://schemas.openxmlformats.org/officeDocument/2006/relationships/image" Target="../media/5f075238_a8d2_11ea_8135_003048fd731b_cfa97186_7e65_11eb_8259_003048fd731b571.jpeg"/><Relationship Id="rId572" Type="http://schemas.openxmlformats.org/officeDocument/2006/relationships/image" Target="../media/5f07523a_a8d2_11ea_8135_003048fd731b_cfa97187_7e65_11eb_8259_003048fd731b572.jpeg"/><Relationship Id="rId573" Type="http://schemas.openxmlformats.org/officeDocument/2006/relationships/image" Target="../media/5f07523c_a8d2_11ea_8135_003048fd731b_cfa97188_7e65_11eb_8259_003048fd731b573.jpeg"/><Relationship Id="rId574" Type="http://schemas.openxmlformats.org/officeDocument/2006/relationships/image" Target="../media/5f07523e_a8d2_11ea_8135_003048fd731b_cfa97189_7e65_11eb_8259_003048fd731b574.jpeg"/><Relationship Id="rId575" Type="http://schemas.openxmlformats.org/officeDocument/2006/relationships/image" Target="../media/5f075240_a8d2_11ea_8135_003048fd731b_cfa9718a_7e65_11eb_8259_003048fd731b575.jpeg"/><Relationship Id="rId576" Type="http://schemas.openxmlformats.org/officeDocument/2006/relationships/image" Target="../media/5f075242_a8d2_11ea_8135_003048fd731b_cfa9718b_7e65_11eb_8259_003048fd731b576.jpeg"/><Relationship Id="rId577" Type="http://schemas.openxmlformats.org/officeDocument/2006/relationships/image" Target="../media/5f075244_a8d2_11ea_8135_003048fd731b_cfa9718c_7e65_11eb_8259_003048fd731b577.jpeg"/><Relationship Id="rId578" Type="http://schemas.openxmlformats.org/officeDocument/2006/relationships/image" Target="../media/5f07524a_a8d2_11ea_8135_003048fd731b_cfa9718d_7e65_11eb_8259_003048fd731b578.jpeg"/><Relationship Id="rId579" Type="http://schemas.openxmlformats.org/officeDocument/2006/relationships/image" Target="../media/5f07524c_a8d2_11ea_8135_003048fd731b_cfa9718e_7e65_11eb_8259_003048fd731b579.jpeg"/><Relationship Id="rId580" Type="http://schemas.openxmlformats.org/officeDocument/2006/relationships/image" Target="../media/5f07524e_a8d2_11ea_8135_003048fd731b_cfa9718f_7e65_11eb_8259_003048fd731b580.jpeg"/><Relationship Id="rId581" Type="http://schemas.openxmlformats.org/officeDocument/2006/relationships/image" Target="../media/5f075250_a8d2_11ea_8135_003048fd731b_cfa97190_7e65_11eb_8259_003048fd731b581.jpeg"/><Relationship Id="rId582" Type="http://schemas.openxmlformats.org/officeDocument/2006/relationships/image" Target="../media/5f075252_a8d2_11ea_8135_003048fd731b_cfa97191_7e65_11eb_8259_003048fd731b582.jpeg"/><Relationship Id="rId583" Type="http://schemas.openxmlformats.org/officeDocument/2006/relationships/image" Target="../media/658053d6_a8d2_11ea_8135_003048fd731b_cfa97192_7e65_11eb_8259_003048fd731b583.jpeg"/><Relationship Id="rId584" Type="http://schemas.openxmlformats.org/officeDocument/2006/relationships/image" Target="../media/658053d8_a8d2_11ea_8135_003048fd731b_cfa97193_7e65_11eb_8259_003048fd731b584.jpeg"/><Relationship Id="rId585" Type="http://schemas.openxmlformats.org/officeDocument/2006/relationships/image" Target="../media/658053e8_a8d2_11ea_8135_003048fd731b_cfa97194_7e65_11eb_8259_003048fd731b585.jpeg"/><Relationship Id="rId586" Type="http://schemas.openxmlformats.org/officeDocument/2006/relationships/image" Target="../media/ccf74a36_78cd_11eb_8252_003048fd731b_cfa97195_7e65_11eb_8259_003048fd731b586.jpeg"/><Relationship Id="rId587" Type="http://schemas.openxmlformats.org/officeDocument/2006/relationships/image" Target="../media/5f075260_a8d2_11ea_8135_003048fd731b_db41c249_7e65_11eb_8259_003048fd731b587.jpeg"/><Relationship Id="rId588" Type="http://schemas.openxmlformats.org/officeDocument/2006/relationships/image" Target="../media/5f075262_a8d2_11ea_8135_003048fd731b_db41c24a_7e65_11eb_8259_003048fd731b588.jpeg"/><Relationship Id="rId589" Type="http://schemas.openxmlformats.org/officeDocument/2006/relationships/image" Target="../media/5f075264_a8d2_11ea_8135_003048fd731b_db41c24b_7e65_11eb_8259_003048fd731b589.jpeg"/><Relationship Id="rId590" Type="http://schemas.openxmlformats.org/officeDocument/2006/relationships/image" Target="../media/5f075266_a8d2_11ea_8135_003048fd731b_db41c24c_7e65_11eb_8259_003048fd731b590.jpeg"/><Relationship Id="rId591" Type="http://schemas.openxmlformats.org/officeDocument/2006/relationships/image" Target="../media/5f075268_a8d2_11ea_8135_003048fd731b_db41c24d_7e65_11eb_8259_003048fd731b591.jpeg"/><Relationship Id="rId592" Type="http://schemas.openxmlformats.org/officeDocument/2006/relationships/image" Target="../media/5f07526a_a8d2_11ea_8135_003048fd731b_db41c24e_7e65_11eb_8259_003048fd731b592.jpeg"/><Relationship Id="rId593" Type="http://schemas.openxmlformats.org/officeDocument/2006/relationships/image" Target="../media/5f07526c_a8d2_11ea_8135_003048fd731b_db41c24f_7e65_11eb_8259_003048fd731b593.jpeg"/><Relationship Id="rId594" Type="http://schemas.openxmlformats.org/officeDocument/2006/relationships/image" Target="../media/5f075272_a8d2_11ea_8135_003048fd731b_db41c250_7e65_11eb_8259_003048fd731b594.jpeg"/><Relationship Id="rId595" Type="http://schemas.openxmlformats.org/officeDocument/2006/relationships/image" Target="../media/3a3b637f_0f33_11ee_a462_047c1617b143_a73d6bdd_3fbb_11ef_a5f3_047c1617b143595.png"/><Relationship Id="rId596" Type="http://schemas.openxmlformats.org/officeDocument/2006/relationships/image" Target="../media/3a3b6381_0f33_11ee_a462_047c1617b143_a73d6be1_3fbb_11ef_a5f3_047c1617b143596.png"/><Relationship Id="rId597" Type="http://schemas.openxmlformats.org/officeDocument/2006/relationships/image" Target="../media/3a3b6383_0f33_11ee_a462_047c1617b143_a73d6be4_3fbb_11ef_a5f3_047c1617b143597.png"/><Relationship Id="rId598" Type="http://schemas.openxmlformats.org/officeDocument/2006/relationships/image" Target="../media/3a3b6389_0f33_11ee_a462_047c1617b143_a73d6be7_3fbb_11ef_a5f3_047c1617b143598.png"/><Relationship Id="rId599" Type="http://schemas.openxmlformats.org/officeDocument/2006/relationships/image" Target="../media/3a3b638b_0f33_11ee_a462_047c1617b143_14e1e0a1_f93d_11ef_a6ea_047c1617b143599.jpeg"/><Relationship Id="rId600" Type="http://schemas.openxmlformats.org/officeDocument/2006/relationships/image" Target="../media/4ce1618e_a88f_11ea_8135_003048fd731b_cfa97196_7e65_11eb_8259_003048fd731b600.jpeg"/><Relationship Id="rId601" Type="http://schemas.openxmlformats.org/officeDocument/2006/relationships/image" Target="../media/4ce16190_a88f_11ea_8135_003048fd731b_cfa97197_7e65_11eb_8259_003048fd731b601.jpeg"/><Relationship Id="rId602" Type="http://schemas.openxmlformats.org/officeDocument/2006/relationships/image" Target="../media/4ce161a6_a88f_11ea_8135_003048fd731b_cfa97198_7e65_11eb_8259_003048fd731b602.jpeg"/><Relationship Id="rId603" Type="http://schemas.openxmlformats.org/officeDocument/2006/relationships/image" Target="../media/4ce161a8_a88f_11ea_8135_003048fd731b_cfa97199_7e65_11eb_8259_003048fd731b603.jpeg"/><Relationship Id="rId604" Type="http://schemas.openxmlformats.org/officeDocument/2006/relationships/image" Target="../media/4ce161b4_a88f_11ea_8135_003048fd731b_cfa9719a_7e65_11eb_8259_003048fd731b604.jpeg"/><Relationship Id="rId605" Type="http://schemas.openxmlformats.org/officeDocument/2006/relationships/image" Target="../media/4ce161bc_a88f_11ea_8135_003048fd731b_cfa9719b_7e65_11eb_8259_003048fd731b605.jpeg"/><Relationship Id="rId606" Type="http://schemas.openxmlformats.org/officeDocument/2006/relationships/image" Target="../media/5f07511e_a8d2_11ea_8135_003048fd731b_cfa9719c_7e65_11eb_8259_003048fd731b606.jpeg"/><Relationship Id="rId607" Type="http://schemas.openxmlformats.org/officeDocument/2006/relationships/image" Target="../media/5f075120_a8d2_11ea_8135_003048fd731b_cfa9719d_7e65_11eb_8259_003048fd731b607.jpeg"/><Relationship Id="rId608" Type="http://schemas.openxmlformats.org/officeDocument/2006/relationships/image" Target="../media/5f075122_a8d2_11ea_8135_003048fd731b_cfa9719e_7e65_11eb_8259_003048fd731b608.jpeg"/><Relationship Id="rId609" Type="http://schemas.openxmlformats.org/officeDocument/2006/relationships/image" Target="../media/5f075126_a8d2_11ea_8135_003048fd731b_cfa971a0_7e65_11eb_8259_003048fd731b609.jpeg"/><Relationship Id="rId610" Type="http://schemas.openxmlformats.org/officeDocument/2006/relationships/image" Target="../media/5f07512a_a8d2_11ea_8135_003048fd731b_cfa971a2_7e65_11eb_8259_003048fd731b610.jpeg"/><Relationship Id="rId611" Type="http://schemas.openxmlformats.org/officeDocument/2006/relationships/image" Target="../media/5f07513a_a8d2_11ea_8135_003048fd731b_cfa971a3_7e65_11eb_8259_003048fd731b611.jpeg"/><Relationship Id="rId612" Type="http://schemas.openxmlformats.org/officeDocument/2006/relationships/image" Target="../media/5f075168_a8d2_11ea_8135_003048fd731b_cfa971a6_7e65_11eb_8259_003048fd731b612.jpeg"/><Relationship Id="rId613" Type="http://schemas.openxmlformats.org/officeDocument/2006/relationships/image" Target="../media/5f075186_a8d2_11ea_8135_003048fd731b_cfa971a8_7e65_11eb_8259_003048fd731b613.jpeg"/><Relationship Id="rId614" Type="http://schemas.openxmlformats.org/officeDocument/2006/relationships/image" Target="../media/5f075188_a8d2_11ea_8135_003048fd731b_cfa971a9_7e65_11eb_8259_003048fd731b614.jpeg"/><Relationship Id="rId615" Type="http://schemas.openxmlformats.org/officeDocument/2006/relationships/image" Target="../media/5f075196_a8d2_11ea_8135_003048fd731b_cfa971aa_7e65_11eb_8259_003048fd731b615.jpeg"/><Relationship Id="rId616" Type="http://schemas.openxmlformats.org/officeDocument/2006/relationships/image" Target="../media/5f075198_a8d2_11ea_8135_003048fd731b_cfa971ab_7e65_11eb_8259_003048fd731b616.jpeg"/><Relationship Id="rId617" Type="http://schemas.openxmlformats.org/officeDocument/2006/relationships/image" Target="../media/5f07519e_a8d2_11ea_8135_003048fd731b_cfa971ae_7e65_11eb_8259_003048fd731b617.jpeg"/><Relationship Id="rId618" Type="http://schemas.openxmlformats.org/officeDocument/2006/relationships/image" Target="../media/5f0751a0_a8d2_11ea_8135_003048fd731b_cfa971af_7e65_11eb_8259_003048fd731b618.jpeg"/><Relationship Id="rId619" Type="http://schemas.openxmlformats.org/officeDocument/2006/relationships/image" Target="../media/5f0751a2_a8d2_11ea_8135_003048fd731b_cfa971b0_7e65_11eb_8259_003048fd731b619.jpeg"/><Relationship Id="rId620" Type="http://schemas.openxmlformats.org/officeDocument/2006/relationships/image" Target="../media/5f0751a4_a8d2_11ea_8135_003048fd731b_cfa971b1_7e65_11eb_8259_003048fd731b620.jpeg"/><Relationship Id="rId621" Type="http://schemas.openxmlformats.org/officeDocument/2006/relationships/image" Target="../media/5f0751b0_a8d2_11ea_8135_003048fd731b_cfa971b2_7e65_11eb_8259_003048fd731b621.jpeg"/><Relationship Id="rId622" Type="http://schemas.openxmlformats.org/officeDocument/2006/relationships/image" Target="../media/5f0751b8_a8d2_11ea_8135_003048fd731b_cfa971b3_7e65_11eb_8259_003048fd731b622.jpeg"/><Relationship Id="rId623" Type="http://schemas.openxmlformats.org/officeDocument/2006/relationships/image" Target="../media/5f0751be_a8d2_11ea_8135_003048fd731b_cfa971b4_7e65_11eb_8259_003048fd731b623.jpeg"/><Relationship Id="rId624" Type="http://schemas.openxmlformats.org/officeDocument/2006/relationships/image" Target="../media/5f0751c0_a8d2_11ea_8135_003048fd731b_cfa971b5_7e65_11eb_8259_003048fd731b624.jpeg"/><Relationship Id="rId625" Type="http://schemas.openxmlformats.org/officeDocument/2006/relationships/image" Target="../media/5f0751c8_a8d2_11ea_8135_003048fd731b_cfa971b6_7e65_11eb_8259_003048fd731b625.jpeg"/><Relationship Id="rId626" Type="http://schemas.openxmlformats.org/officeDocument/2006/relationships/image" Target="../media/5f0751e8_a8d2_11ea_8135_003048fd731b_cfa971b8_7e65_11eb_8259_003048fd731b626.jpeg"/><Relationship Id="rId627" Type="http://schemas.openxmlformats.org/officeDocument/2006/relationships/image" Target="../media/5f075200_a8d2_11ea_8135_003048fd731b_cfa971bb_7e65_11eb_8259_003048fd731b627.jpeg"/><Relationship Id="rId628" Type="http://schemas.openxmlformats.org/officeDocument/2006/relationships/image" Target="../media/5f075202_a8d2_11ea_8135_003048fd731b_cfa971bc_7e65_11eb_8259_003048fd731b628.jpeg"/><Relationship Id="rId629" Type="http://schemas.openxmlformats.org/officeDocument/2006/relationships/image" Target="../media/5f075204_a8d2_11ea_8135_003048fd731b_cfa971bd_7e65_11eb_8259_003048fd731b629.jpeg"/><Relationship Id="rId630" Type="http://schemas.openxmlformats.org/officeDocument/2006/relationships/image" Target="../media/5f075206_a8d2_11ea_8135_003048fd731b_cfa971be_7e65_11eb_8259_003048fd731b630.jpeg"/><Relationship Id="rId631" Type="http://schemas.openxmlformats.org/officeDocument/2006/relationships/image" Target="../media/5f075208_a8d2_11ea_8135_003048fd731b_cfa971bf_7e65_11eb_8259_003048fd731b631.jpeg"/><Relationship Id="rId632" Type="http://schemas.openxmlformats.org/officeDocument/2006/relationships/image" Target="../media/5f07520a_a8d2_11ea_8135_003048fd731b_cfa971c0_7e65_11eb_8259_003048fd731b632.jpeg"/><Relationship Id="rId633" Type="http://schemas.openxmlformats.org/officeDocument/2006/relationships/image" Target="../media/5f07520c_a8d2_11ea_8135_003048fd731b_cfa971c1_7e65_11eb_8259_003048fd731b633.jpeg"/><Relationship Id="rId634" Type="http://schemas.openxmlformats.org/officeDocument/2006/relationships/image" Target="../media/5f07520e_a8d2_11ea_8135_003048fd731b_cfa971c2_7e65_11eb_8259_003048fd731b634.jpeg"/><Relationship Id="rId635" Type="http://schemas.openxmlformats.org/officeDocument/2006/relationships/image" Target="../media/5f075210_a8d2_11ea_8135_003048fd731b_cfa971c3_7e65_11eb_8259_003048fd731b635.jpeg"/><Relationship Id="rId636" Type="http://schemas.openxmlformats.org/officeDocument/2006/relationships/image" Target="../media/5f075212_a8d2_11ea_8135_003048fd731b_cfa971c4_7e65_11eb_8259_003048fd731b636.jpeg"/><Relationship Id="rId637" Type="http://schemas.openxmlformats.org/officeDocument/2006/relationships/image" Target="../media/5f075214_a8d2_11ea_8135_003048fd731b_cfa971c5_7e65_11eb_8259_003048fd731b637.jpeg"/><Relationship Id="rId638" Type="http://schemas.openxmlformats.org/officeDocument/2006/relationships/image" Target="../media/5f075226_a8d2_11ea_8135_003048fd731b_cfa971c6_7e65_11eb_8259_003048fd731b638.jpeg"/><Relationship Id="rId639" Type="http://schemas.openxmlformats.org/officeDocument/2006/relationships/image" Target="../media/5f07522e_a8d2_11ea_8135_003048fd731b_cfa971ca_7e65_11eb_8259_003048fd731b639.jpeg"/><Relationship Id="rId640" Type="http://schemas.openxmlformats.org/officeDocument/2006/relationships/image" Target="../media/5f075230_a8d2_11ea_8135_003048fd731b_cfa971cb_7e65_11eb_8259_003048fd731b640.jpeg"/><Relationship Id="rId641" Type="http://schemas.openxmlformats.org/officeDocument/2006/relationships/image" Target="../media/5f075232_a8d2_11ea_8135_003048fd731b_cfa971cc_7e65_11eb_8259_003048fd731b641.jpeg"/><Relationship Id="rId642" Type="http://schemas.openxmlformats.org/officeDocument/2006/relationships/image" Target="../media/5f075234_a8d2_11ea_8135_003048fd731b_cfa971cd_7e65_11eb_8259_003048fd731b642.jpeg"/><Relationship Id="rId643" Type="http://schemas.openxmlformats.org/officeDocument/2006/relationships/image" Target="../media/5f075246_a8d2_11ea_8135_003048fd731b_cfa971ce_7e65_11eb_8259_003048fd731b643.jpeg"/><Relationship Id="rId644" Type="http://schemas.openxmlformats.org/officeDocument/2006/relationships/image" Target="../media/5f075248_a8d2_11ea_8135_003048fd731b_cfa971cf_7e65_11eb_8259_003048fd731b644.jpeg"/><Relationship Id="rId645" Type="http://schemas.openxmlformats.org/officeDocument/2006/relationships/image" Target="../media/5f07527a_a8d2_11ea_8135_003048fd731b_cfa971d0_7e65_11eb_8259_003048fd731b645.jpeg"/><Relationship Id="rId646" Type="http://schemas.openxmlformats.org/officeDocument/2006/relationships/image" Target="../media/5f07527c_a8d2_11ea_8135_003048fd731b_cfa971d1_7e65_11eb_8259_003048fd731b646.jpeg"/><Relationship Id="rId647" Type="http://schemas.openxmlformats.org/officeDocument/2006/relationships/image" Target="../media/5f07527e_a8d2_11ea_8135_003048fd731b_cfa971d2_7e65_11eb_8259_003048fd731b647.jpeg"/><Relationship Id="rId648" Type="http://schemas.openxmlformats.org/officeDocument/2006/relationships/image" Target="../media/5f075286_a8d2_11ea_8135_003048fd731b_cfa971d3_7e65_11eb_8259_003048fd731b648.jpeg"/><Relationship Id="rId649" Type="http://schemas.openxmlformats.org/officeDocument/2006/relationships/image" Target="../media/5f075288_a8d2_11ea_8135_003048fd731b_cfa971d4_7e65_11eb_8259_003048fd731b649.jpeg"/><Relationship Id="rId650" Type="http://schemas.openxmlformats.org/officeDocument/2006/relationships/image" Target="../media/5f075292_a8d2_11ea_8135_003048fd731b_cfa971d5_7e65_11eb_8259_003048fd731b650.jpeg"/><Relationship Id="rId651" Type="http://schemas.openxmlformats.org/officeDocument/2006/relationships/image" Target="../media/5f075294_a8d2_11ea_8135_003048fd731b_cfa971d6_7e65_11eb_8259_003048fd731b651.jpeg"/><Relationship Id="rId652" Type="http://schemas.openxmlformats.org/officeDocument/2006/relationships/image" Target="../media/5f075296_a8d2_11ea_8135_003048fd731b_cfa971d7_7e65_11eb_8259_003048fd731b652.jpeg"/><Relationship Id="rId653" Type="http://schemas.openxmlformats.org/officeDocument/2006/relationships/image" Target="../media/5f075298_a8d2_11ea_8135_003048fd731b_cfa971d8_7e65_11eb_8259_003048fd731b653.jpeg"/><Relationship Id="rId654" Type="http://schemas.openxmlformats.org/officeDocument/2006/relationships/image" Target="../media/5f07529a_a8d2_11ea_8135_003048fd731b_cfa971d9_7e65_11eb_8259_003048fd731b654.jpeg"/><Relationship Id="rId655" Type="http://schemas.openxmlformats.org/officeDocument/2006/relationships/image" Target="../media/6580539e_a8d2_11ea_8135_003048fd731b_cfa971da_7e65_11eb_8259_003048fd731b655.jpeg"/><Relationship Id="rId656" Type="http://schemas.openxmlformats.org/officeDocument/2006/relationships/image" Target="../media/658053a0_a8d2_11ea_8135_003048fd731b_cfa971db_7e65_11eb_8259_003048fd731b656.jpeg"/><Relationship Id="rId657" Type="http://schemas.openxmlformats.org/officeDocument/2006/relationships/image" Target="../media/658053a2_a8d2_11ea_8135_003048fd731b_cfa971dc_7e65_11eb_8259_003048fd731b657.jpeg"/><Relationship Id="rId658" Type="http://schemas.openxmlformats.org/officeDocument/2006/relationships/image" Target="../media/658053ac_a8d2_11ea_8135_003048fd731b_cfa971e1_7e65_11eb_8259_003048fd731b658.jpeg"/><Relationship Id="rId659" Type="http://schemas.openxmlformats.org/officeDocument/2006/relationships/image" Target="../media/658053bc_a8d2_11ea_8135_003048fd731b_cfa971e3_7e65_11eb_8259_003048fd731b659.jpeg"/><Relationship Id="rId660" Type="http://schemas.openxmlformats.org/officeDocument/2006/relationships/image" Target="../media/658053c6_a8d2_11ea_8135_003048fd731b_cfa971e4_7e65_11eb_8259_003048fd731b660.jpeg"/><Relationship Id="rId661" Type="http://schemas.openxmlformats.org/officeDocument/2006/relationships/image" Target="../media/658053c8_a8d2_11ea_8135_003048fd731b_cfa971e5_7e65_11eb_8259_003048fd731b661.jpeg"/><Relationship Id="rId662" Type="http://schemas.openxmlformats.org/officeDocument/2006/relationships/image" Target="../media/658053d0_a8d2_11ea_8135_003048fd731b_cfa971e6_7e65_11eb_8259_003048fd731b662.jpeg"/><Relationship Id="rId663" Type="http://schemas.openxmlformats.org/officeDocument/2006/relationships/image" Target="../media/658053dc_a8d2_11ea_8135_003048fd731b_cfa971e7_7e65_11eb_8259_003048fd731b663.jpeg"/><Relationship Id="rId664" Type="http://schemas.openxmlformats.org/officeDocument/2006/relationships/image" Target="../media/658053e0_a8d2_11ea_8135_003048fd731b_cfa971e8_7e65_11eb_8259_003048fd731b664.jpeg"/><Relationship Id="rId665" Type="http://schemas.openxmlformats.org/officeDocument/2006/relationships/image" Target="../media/658053e4_a8d2_11ea_8135_003048fd731b_cfa971e9_7e65_11eb_8259_003048fd731b665.jpeg"/><Relationship Id="rId666" Type="http://schemas.openxmlformats.org/officeDocument/2006/relationships/image" Target="../media/658053e6_a8d2_11ea_8135_003048fd731b_cfa971ea_7e65_11eb_8259_003048fd731b666.jpeg"/><Relationship Id="rId667" Type="http://schemas.openxmlformats.org/officeDocument/2006/relationships/image" Target="../media/4b79ff40_fe7c_11ec_a2d8_00259070b487_a73d6bc4_3fbb_11ef_a5f3_047c1617b143667.png"/><Relationship Id="rId668" Type="http://schemas.openxmlformats.org/officeDocument/2006/relationships/image" Target="../media/6af2c754_ad62_11ea_813b_003048fd731b_cfa9716f_7e65_11eb_8259_003048fd731b668.jpeg"/><Relationship Id="rId669" Type="http://schemas.openxmlformats.org/officeDocument/2006/relationships/image" Target="../media/6af2c756_ad62_11ea_813b_003048fd731b_cfa97170_7e65_11eb_8259_003048fd731b669.jpeg"/><Relationship Id="rId670" Type="http://schemas.openxmlformats.org/officeDocument/2006/relationships/image" Target="../media/6af2c758_ad62_11ea_813b_003048fd731b_cfa97171_7e65_11eb_8259_003048fd731b670.jpeg"/><Relationship Id="rId671" Type="http://schemas.openxmlformats.org/officeDocument/2006/relationships/image" Target="../media/6af2c75a_ad62_11ea_813b_003048fd731b_cfa97172_7e65_11eb_8259_003048fd731b671.jpeg"/><Relationship Id="rId672" Type="http://schemas.openxmlformats.org/officeDocument/2006/relationships/image" Target="../media/6af2c75c_ad62_11ea_813b_003048fd731b_cfa97173_7e65_11eb_8259_003048fd731b672.jpeg"/><Relationship Id="rId673" Type="http://schemas.openxmlformats.org/officeDocument/2006/relationships/image" Target="../media/6af2c75e_ad62_11ea_813b_003048fd731b_cfa97174_7e65_11eb_8259_003048fd731b673.jpeg"/><Relationship Id="rId674" Type="http://schemas.openxmlformats.org/officeDocument/2006/relationships/image" Target="../media/6af2c760_ad62_11ea_813b_003048fd731b_a73d6bc8_3fbb_11ef_a5f3_047c1617b143674.png"/><Relationship Id="rId675" Type="http://schemas.openxmlformats.org/officeDocument/2006/relationships/image" Target="../media/6af2c762_ad62_11ea_813b_003048fd731b_cfa97176_7e65_11eb_8259_003048fd731b675.jpeg"/><Relationship Id="rId676" Type="http://schemas.openxmlformats.org/officeDocument/2006/relationships/image" Target="../media/6af2c764_ad62_11ea_813b_003048fd731b_cfa97177_7e65_11eb_8259_003048fd731b676.jpeg"/><Relationship Id="rId677" Type="http://schemas.openxmlformats.org/officeDocument/2006/relationships/image" Target="../media/6af2c766_ad62_11ea_813b_003048fd731b_cfa97178_7e65_11eb_8259_003048fd731b677.jpeg"/><Relationship Id="rId678" Type="http://schemas.openxmlformats.org/officeDocument/2006/relationships/image" Target="../media/6af2c768_ad62_11ea_813b_003048fd731b_cfa97179_7e65_11eb_8259_003048fd731b678.jpeg"/><Relationship Id="rId679" Type="http://schemas.openxmlformats.org/officeDocument/2006/relationships/image" Target="../media/6af2c76a_ad62_11ea_813b_003048fd731b_cfa9717a_7e65_11eb_8259_003048fd731b679.jpeg"/><Relationship Id="rId680" Type="http://schemas.openxmlformats.org/officeDocument/2006/relationships/image" Target="../media/c52039a5_b87b_11eb_82af_003048fd731b_f01e38a0_67f8_11ec_a210_00259070b487680.jpeg"/><Relationship Id="rId681" Type="http://schemas.openxmlformats.org/officeDocument/2006/relationships/image" Target="../media/f8d83f4c_0ad6_11ec_831e_003048fd731b_f01e38a1_67f8_11ec_a210_00259070b487681.jpeg"/><Relationship Id="rId682" Type="http://schemas.openxmlformats.org/officeDocument/2006/relationships/image" Target="../media/3fc0eca6_ad62_11ea_813b_003048fd731b_c206fa55_7e65_11eb_8259_003048fd731b682.jpeg"/><Relationship Id="rId683" Type="http://schemas.openxmlformats.org/officeDocument/2006/relationships/image" Target="../media/3fc0eca8_ad62_11ea_813b_003048fd731b_c206fa56_7e65_11eb_8259_003048fd731b683.jpeg"/><Relationship Id="rId684" Type="http://schemas.openxmlformats.org/officeDocument/2006/relationships/image" Target="../media/3fc0ecaa_ad62_11ea_813b_003048fd731b_c206fa57_7e65_11eb_8259_003048fd731b684.jpeg"/><Relationship Id="rId685" Type="http://schemas.openxmlformats.org/officeDocument/2006/relationships/image" Target="../media/3fc0ecac_ad62_11ea_813b_003048fd731b_c206fa58_7e65_11eb_8259_003048fd731b685.jpeg"/><Relationship Id="rId686" Type="http://schemas.openxmlformats.org/officeDocument/2006/relationships/image" Target="../media/3fc0ecae_ad62_11ea_813b_003048fd731b_9d1cd873_c39d_11ea_8157_003048fd731b686.jpeg"/><Relationship Id="rId687" Type="http://schemas.openxmlformats.org/officeDocument/2006/relationships/image" Target="../media/3fc0ecb0_ad62_11ea_813b_003048fd731b_c206fa59_7e65_11eb_8259_003048fd731b687.jpeg"/><Relationship Id="rId688" Type="http://schemas.openxmlformats.org/officeDocument/2006/relationships/image" Target="../media/3fc0ecb2_ad62_11ea_813b_003048fd731b_c206fa5a_7e65_11eb_8259_003048fd731b688.jpeg"/><Relationship Id="rId689" Type="http://schemas.openxmlformats.org/officeDocument/2006/relationships/image" Target="../media/3fc0ecb4_ad62_11ea_813b_003048fd731b_c206fa5b_7e65_11eb_8259_003048fd731b689.jpeg"/><Relationship Id="rId690" Type="http://schemas.openxmlformats.org/officeDocument/2006/relationships/image" Target="../media/3fc0ecb6_ad62_11ea_813b_003048fd731b_14e1e087_f93d_11ef_a6ea_047c1617b143690.jpeg"/><Relationship Id="rId691" Type="http://schemas.openxmlformats.org/officeDocument/2006/relationships/image" Target="../media/3fc0ecb8_ad62_11ea_813b_003048fd731b_c206fa5c_7e65_11eb_8259_003048fd731b691.jpeg"/><Relationship Id="rId692" Type="http://schemas.openxmlformats.org/officeDocument/2006/relationships/image" Target="../media/3fc0ecba_ad62_11ea_813b_003048fd731b_c206fa5d_7e65_11eb_8259_003048fd731b692.jpeg"/><Relationship Id="rId693" Type="http://schemas.openxmlformats.org/officeDocument/2006/relationships/image" Target="../media/3fc0ecbc_ad62_11ea_813b_003048fd731b_c206fa5e_7e65_11eb_8259_003048fd731b693.jpeg"/><Relationship Id="rId694" Type="http://schemas.openxmlformats.org/officeDocument/2006/relationships/image" Target="../media/3fc0ecbe_ad62_11ea_813b_003048fd731b_c206fa5f_7e65_11eb_8259_003048fd731b694.jpeg"/><Relationship Id="rId695" Type="http://schemas.openxmlformats.org/officeDocument/2006/relationships/image" Target="../media/3fc0ecc0_ad62_11ea_813b_003048fd731b_c206fa60_7e65_11eb_8259_003048fd731b695.jpeg"/><Relationship Id="rId696" Type="http://schemas.openxmlformats.org/officeDocument/2006/relationships/image" Target="../media/6af2c742_ad62_11ea_813b_003048fd731b_c206fa61_7e65_11eb_8259_003048fd731b696.jpeg"/><Relationship Id="rId697" Type="http://schemas.openxmlformats.org/officeDocument/2006/relationships/image" Target="../media/6af2c744_ad62_11ea_813b_003048fd731b_c206fa62_7e65_11eb_8259_003048fd731b697.jpeg"/><Relationship Id="rId698" Type="http://schemas.openxmlformats.org/officeDocument/2006/relationships/image" Target="../media/6af2c746_ad62_11ea_813b_003048fd731b_c206fa63_7e65_11eb_8259_003048fd731b698.jpeg"/><Relationship Id="rId699" Type="http://schemas.openxmlformats.org/officeDocument/2006/relationships/image" Target="../media/6af2c748_ad62_11ea_813b_003048fd731b_c206fa64_7e65_11eb_8259_003048fd731b699.jpeg"/><Relationship Id="rId700" Type="http://schemas.openxmlformats.org/officeDocument/2006/relationships/image" Target="../media/6af2c74a_ad62_11ea_813b_003048fd731b_c206fa65_7e65_11eb_8259_003048fd731b700.jpeg"/><Relationship Id="rId701" Type="http://schemas.openxmlformats.org/officeDocument/2006/relationships/image" Target="../media/6af2c74c_ad62_11ea_813b_003048fd731b_c206fa66_7e65_11eb_8259_003048fd731b701.jpeg"/><Relationship Id="rId702" Type="http://schemas.openxmlformats.org/officeDocument/2006/relationships/image" Target="../media/6af2c74e_ad62_11ea_813b_003048fd731b_c206fa67_7e65_11eb_8259_003048fd731b702.jpeg"/><Relationship Id="rId703" Type="http://schemas.openxmlformats.org/officeDocument/2006/relationships/image" Target="../media/6af2c750_ad62_11ea_813b_003048fd731b_c206fa68_7e65_11eb_8259_003048fd731b703.jpeg"/><Relationship Id="rId704" Type="http://schemas.openxmlformats.org/officeDocument/2006/relationships/image" Target="../media/6af2c752_ad62_11ea_813b_003048fd731b_c206fa69_7e65_11eb_8259_003048fd731b704.jpeg"/><Relationship Id="rId705" Type="http://schemas.openxmlformats.org/officeDocument/2006/relationships/image" Target="../media/6af2c76c_ad62_11ea_813b_003048fd731b_c206fa6a_7e65_11eb_8259_003048fd731b705.jpeg"/><Relationship Id="rId706" Type="http://schemas.openxmlformats.org/officeDocument/2006/relationships/image" Target="../media/6af2c76e_ad62_11ea_813b_003048fd731b_c206fa6b_7e65_11eb_8259_003048fd731b706.jpeg"/><Relationship Id="rId707" Type="http://schemas.openxmlformats.org/officeDocument/2006/relationships/image" Target="../media/6af2c770_ad62_11ea_813b_003048fd731b_c206fa6c_7e65_11eb_8259_003048fd731b707.jpeg"/><Relationship Id="rId708" Type="http://schemas.openxmlformats.org/officeDocument/2006/relationships/image" Target="../media/6af2c772_ad62_11ea_813b_003048fd731b_c206fa6d_7e65_11eb_8259_003048fd731b708.jpeg"/><Relationship Id="rId709" Type="http://schemas.openxmlformats.org/officeDocument/2006/relationships/image" Target="../media/6af2c776_ad62_11ea_813b_003048fd731b_c206fa6f_7e65_11eb_8259_003048fd731b709.jpeg"/><Relationship Id="rId710" Type="http://schemas.openxmlformats.org/officeDocument/2006/relationships/image" Target="../media/6af2c778_ad62_11ea_813b_003048fd731b_c206fa70_7e65_11eb_8259_003048fd731b710.jpeg"/><Relationship Id="rId711" Type="http://schemas.openxmlformats.org/officeDocument/2006/relationships/image" Target="../media/6af2c77c_ad62_11ea_813b_003048fd731b_c206fa71_7e65_11eb_8259_003048fd731b711.jpeg"/><Relationship Id="rId712" Type="http://schemas.openxmlformats.org/officeDocument/2006/relationships/image" Target="../media/6af2c77e_ad62_11ea_813b_003048fd731b_cfa9716c_7e65_11eb_8259_003048fd731b712.jpeg"/><Relationship Id="rId713" Type="http://schemas.openxmlformats.org/officeDocument/2006/relationships/image" Target="../media/6af2c780_ad62_11ea_813b_003048fd731b_cfa9716d_7e65_11eb_8259_003048fd731b713.jpeg"/><Relationship Id="rId714" Type="http://schemas.openxmlformats.org/officeDocument/2006/relationships/image" Target="../media/6af2c782_ad62_11ea_813b_003048fd731b_cfa9716e_7e65_11eb_8259_003048fd731b714.jpeg"/><Relationship Id="rId715" Type="http://schemas.openxmlformats.org/officeDocument/2006/relationships/image" Target="../media/80252987_7b91_11eb_8255_003048fd731b_974ecf55_9842_11eb_8283_003048fd731b715.jpeg"/><Relationship Id="rId716" Type="http://schemas.openxmlformats.org/officeDocument/2006/relationships/image" Target="../media/80252983_7b91_11eb_8255_003048fd731b_974ecf56_9842_11eb_8283_003048fd731b716.jpeg"/><Relationship Id="rId717" Type="http://schemas.openxmlformats.org/officeDocument/2006/relationships/image" Target="../media/80252985_7b91_11eb_8255_003048fd731b_974ecf57_9842_11eb_8283_003048fd731b7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095375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247775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247775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20015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209675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266825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3335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209675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6205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362075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27635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866775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866775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866775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866775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866775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247775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2395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362075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247775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228725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9812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419225"/>
    <xdr:pic>
      <xdr:nvPicPr>
        <xdr:cNvPr id="131" name="Image_144" descr="Image_14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2" name="Image_145" descr="Image_14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3" name="Image_146" descr="Image_14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4" name="Image_147" descr="Image_14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5" name="Image_148" descr="Image_14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6" name="Image_149" descr="Image_14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7" name="Image_150" descr="Image_15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8" name="Image_151" descr="Image_15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9" name="Image_152" descr="Image_15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0" name="Image_153" descr="Image_15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1" name="Image_154" descr="Image_15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2" name="Image_155" descr="Image_15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3" name="Image_156" descr="Image_15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4" name="Image_157" descr="Image_15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5" name="Image_158" descr="Image_15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6" name="Image_159" descr="Image_15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7" name="Image_161" descr="Image_16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8" name="Image_162" descr="Image_16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9" name="Image_163" descr="Image_16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0" name="Image_164" descr="Image_16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1" name="Image_165" descr="Image_16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2" name="Image_166" descr="Image_16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3" name="Image_167" descr="Image_16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4" name="Image_168" descr="Image_16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5" name="Image_169" descr="Image_16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6" name="Image_170" descr="Image_17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7" name="Image_171" descr="Image_17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8" name="Image_172" descr="Image_17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9" name="Image_173" descr="Image_17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0" name="Image_174" descr="Image_17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1" name="Image_175" descr="Image_17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2" name="Image_176" descr="Image_17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3" name="Image_177" descr="Image_17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4" name="Image_178" descr="Image_17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5" name="Image_179" descr="Image_17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6" name="Image_180" descr="Image_18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7" name="Image_181" descr="Image_18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8" name="Image_182" descr="Image_18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9" name="Image_183" descr="Image_18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0" name="Image_184" descr="Image_18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1" name="Image_185" descr="Image_18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2" name="Image_186" descr="Image_18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704975"/>
    <xdr:pic>
      <xdr:nvPicPr>
        <xdr:cNvPr id="173" name="Image_187" descr="Image_18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4" name="Image_188" descr="Image_18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5" name="Image_189" descr="Image_18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6" name="Image_190" descr="Image_19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7" name="Image_191" descr="Image_19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8" name="Image_192" descr="Image_19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2352675"/>
    <xdr:pic>
      <xdr:nvPicPr>
        <xdr:cNvPr id="179" name="Image_193" descr="Image_19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203835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2009775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65735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952625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2047875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2219325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2" name="Image_217" descr="Image_21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3" name="Image_218" descr="Image_21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4" name="Image_219" descr="Image_21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5" name="Image_220" descr="Image_22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6" name="Image_221" descr="Image_22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62050"/>
    <xdr:pic>
      <xdr:nvPicPr>
        <xdr:cNvPr id="207" name="Image_222" descr="Image_22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8" name="Image_224" descr="Image_22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9" name="Image_225" descr="Image_22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0" name="Image_227" descr="Image_227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1" name="Image_228" descr="Image_228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2" name="Image_229" descr="Image_229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3" name="Image_230" descr="Image_230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4" name="Image_231" descr="Image_231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5" name="Image_232" descr="Image_232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6" name="Image_233" descr="Image_233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7" name="Image_234" descr="Image_23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8" name="Image_235" descr="Image_235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9" name="Image_236" descr="Image_23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0" name="Image_238" descr="Image_238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1" name="Image_239" descr="Image_239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2" name="Image_240" descr="Image_240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3" name="Image_241" descr="Image_241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4" name="Image_242" descr="Image_242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5" name="Image_243" descr="Image_243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6" name="Image_244" descr="Image_244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7" name="Image_245" descr="Image_245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8" name="Image_246" descr="Image_246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9" name="Image_247" descr="Image_247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0" name="Image_248" descr="Image_24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1" name="Image_249" descr="Image_24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2" name="Image_250" descr="Image_25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3" name="Image_251" descr="Image_25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4" name="Image_252" descr="Image_25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5" name="Image_253" descr="Image_25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6" name="Image_254" descr="Image_25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7" name="Image_255" descr="Image_25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866775"/>
    <xdr:pic>
      <xdr:nvPicPr>
        <xdr:cNvPr id="238" name="Image_256" descr="Image_25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9" name="Image_257" descr="Image_257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0" name="Image_258" descr="Image_258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1" name="Image_259" descr="Image_259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2" name="Image_260" descr="Image_26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3" name="Image_261" descr="Image_261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4" name="Image_262" descr="Image_26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5" name="Image_263" descr="Image_26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6" name="Image_264" descr="Image_26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7" name="Image_265" descr="Image_26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8" name="Image_266" descr="Image_26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9" name="Image_267" descr="Image_26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0" name="Image_268" descr="Image_26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1" name="Image_269" descr="Image_269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2" name="Image_270" descr="Image_27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3" name="Image_271" descr="Image_27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4" name="Image_272" descr="Image_27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5" name="Image_273" descr="Image_27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6" name="Image_274" descr="Image_27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7" name="Image_275" descr="Image_27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8" name="Image_276" descr="Image_27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9" name="Image_277" descr="Image_27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0" name="Image_278" descr="Image_27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1" name="Image_279" descr="Image_27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400175"/>
    <xdr:pic>
      <xdr:nvPicPr>
        <xdr:cNvPr id="262" name="Image_280" descr="Image_28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400175"/>
    <xdr:pic>
      <xdr:nvPicPr>
        <xdr:cNvPr id="263" name="Image_281" descr="Image_28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400175"/>
    <xdr:pic>
      <xdr:nvPicPr>
        <xdr:cNvPr id="264" name="Image_282" descr="Image_28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371600"/>
    <xdr:pic>
      <xdr:nvPicPr>
        <xdr:cNvPr id="265" name="Image_283" descr="Image_28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371600"/>
    <xdr:pic>
      <xdr:nvPicPr>
        <xdr:cNvPr id="266" name="Image_284" descr="Image_28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371600"/>
    <xdr:pic>
      <xdr:nvPicPr>
        <xdr:cNvPr id="267" name="Image_285" descr="Image_28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8" name="Image_286" descr="Image_28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9" name="Image_287" descr="Image_28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0" name="Image_288" descr="Image_28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304925"/>
    <xdr:pic>
      <xdr:nvPicPr>
        <xdr:cNvPr id="271" name="Image_289" descr="Image_28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304925"/>
    <xdr:pic>
      <xdr:nvPicPr>
        <xdr:cNvPr id="272" name="Image_290" descr="Image_29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304925"/>
    <xdr:pic>
      <xdr:nvPicPr>
        <xdr:cNvPr id="273" name="Image_291" descr="Image_29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4" name="Image_292" descr="Image_29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5" name="Image_294" descr="Image_29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6" name="Image_295" descr="Image_295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7" name="Image_296" descr="Image_296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8" name="Image_297" descr="Image_297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79" name="Image_298" descr="Image_298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0" name="Image_299" descr="Image_299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1" name="Image_303" descr="Image_303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2" name="Image_304" descr="Image_304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3" name="Image_305" descr="Image_305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4" name="Image_306" descr="Image_306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5" name="Image_307" descr="Image_307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86" name="Image_308" descr="Image_308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87" name="Image_309" descr="Image_309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88" name="Image_311" descr="Image_31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89" name="Image_312" descr="Image_31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0" name="Image_313" descr="Image_31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1" name="Image_314" descr="Image_31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2" name="Image_316" descr="Image_316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3" name="Image_317" descr="Image_317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4" name="Image_318" descr="Image_318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95" name="Image_319" descr="Image_319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96" name="Image_320" descr="Image_320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97" name="Image_321" descr="Image_321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98" name="Image_322" descr="Image_322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99" name="Image_323" descr="Image_323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0" name="Image_324" descr="Image_324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1" name="Image_325" descr="Image_325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2" name="Image_326" descr="Image_326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3" name="Image_327" descr="Image_327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4" name="Image_328" descr="Image_328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05" name="Image_329" descr="Image_329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06" name="Image_330" descr="Image_330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07" name="Image_331" descr="Image_331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08" name="Image_332" descr="Image_332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09" name="Image_333" descr="Image_333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0" name="Image_334" descr="Image_334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1" name="Image_335" descr="Image_335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2" name="Image_336" descr="Image_336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3" name="Image_337" descr="Image_337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4" name="Image_338" descr="Image_338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15" name="Image_339" descr="Image_339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16" name="Image_340" descr="Image_340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17" name="Image_341" descr="Image_34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18" name="Image_342" descr="Image_34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19" name="Image_343" descr="Image_34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0" name="Image_344" descr="Image_34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1" name="Image_345" descr="Image_34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2" name="Image_346" descr="Image_34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3" name="Image_347" descr="Image_34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4" name="Image_348" descr="Image_34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25" name="Image_349" descr="Image_34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26" name="Image_350" descr="Image_35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27" name="Image_351" descr="Image_35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28" name="Image_352" descr="Image_35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29" name="Image_353" descr="Image_35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0" name="Image_354" descr="Image_35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1" name="Image_355" descr="Image_35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2" name="Image_356" descr="Image_35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3" name="Image_357" descr="Image_35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4" name="Image_358" descr="Image_35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35" name="Image_359" descr="Image_35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36" name="Image_360" descr="Image_36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37" name="Image_361" descr="Image_36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38" name="Image_362" descr="Image_36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39" name="Image_363" descr="Image_36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0" name="Image_364" descr="Image_36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1" name="Image_365" descr="Image_36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2" name="Image_366" descr="Image_36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3" name="Image_367" descr="Image_36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4" name="Image_368" descr="Image_36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5" name="Image_369" descr="Image_36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46" name="Image_370" descr="Image_37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47" name="Image_371" descr="Image_37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48" name="Image_372" descr="Image_37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49" name="Image_373" descr="Image_37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0" name="Image_374" descr="Image_37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1" name="Image_375" descr="Image_37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2" name="Image_376" descr="Image_37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3" name="Image_377" descr="Image_37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4" name="Image_378" descr="Image_37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5" name="Image_379" descr="Image_37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6" name="Image_380" descr="Image_38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57" name="Image_381" descr="Image_38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58" name="Image_382" descr="Image_38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59" name="Image_383" descr="Image_38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0" name="Image_384" descr="Image_38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1" name="Image_385" descr="Image_38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2" name="Image_386" descr="Image_38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3" name="Image_387" descr="Image_38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4" name="Image_388" descr="Image_38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5" name="Image_389" descr="Image_38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6" name="Image_390" descr="Image_39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67" name="Image_391" descr="Image_39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68" name="Image_392" descr="Image_39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69" name="Image_393" descr="Image_39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70" name="Image_394" descr="Image_39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71" name="Image_395" descr="Image_39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72" name="Image_396" descr="Image_39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73" name="Image_397" descr="Image_39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74" name="Image_398" descr="Image_39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75" name="Image_399" descr="Image_39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76" name="Image_400" descr="Image_40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77" name="Image_401" descr="Image_40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78" name="Image_402" descr="Image_40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9" name="Image_403" descr="Image_40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0" name="Image_404" descr="Image_40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1" name="Image_405" descr="Image_40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2" name="Image_406" descr="Image_40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3" name="Image_407" descr="Image_40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4" name="Image_408" descr="Image_40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5" name="Image_409" descr="Image_40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86" name="Image_410" descr="Image_41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87" name="Image_411" descr="Image_41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8" name="Image_414" descr="Image_414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89" name="Image_415" descr="Image_415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0" name="Image_416" descr="Image_416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1" name="Image_417" descr="Image_417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2" name="Image_418" descr="Image_418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93" name="Image_419" descr="Image_419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4" name="Image_420" descr="Image_420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5" name="Image_422" descr="Image_422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6" name="Image_423" descr="Image_423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7" name="Image_424" descr="Image_424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8" name="Image_425" descr="Image_425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99" name="Image_426" descr="Image_426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0" name="Image_427" descr="Image_427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1" name="Image_428" descr="Image_428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02" name="Image_429" descr="Image_429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03" name="Image_430" descr="Image_430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04" name="Image_431" descr="Image_431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5" name="Image_432" descr="Image_432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6" name="Image_433" descr="Image_433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7" name="Image_434" descr="Image_434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8" name="Image_435" descr="Image_435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09" name="Image_436" descr="Image_436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0" name="Image_437" descr="Image_437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1" name="Image_438" descr="Image_438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12" name="Image_439" descr="Image_439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13" name="Image_442" descr="Image_442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4" name="Image_443" descr="Image_443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5" name="Image_444" descr="Image_444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6" name="Image_445" descr="Image_445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17" name="Image_446" descr="Image_446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18" name="Image_447" descr="Image_447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19" name="Image_448" descr="Image_448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20" name="Image_449" descr="Image_449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21" name="Image_450" descr="Image_450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22" name="Image_451" descr="Image_451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23" name="Image_452" descr="Image_452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4" name="Image_453" descr="Image_453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5" name="Image_454" descr="Image_454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6" name="Image_455" descr="Image_455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27" name="Image_456" descr="Image_456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28" name="Image_457" descr="Image_457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29" name="Image_458" descr="Image_458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30" name="Image_459" descr="Image_459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31" name="Image_460" descr="Image_460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32" name="Image_461" descr="Image_461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33" name="Image_462" descr="Image_462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4" name="Image_463" descr="Image_463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5" name="Image_464" descr="Image_464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6" name="Image_465" descr="Image_465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37" name="Image_466" descr="Image_466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38" name="Image_467" descr="Image_467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39" name="Image_468" descr="Image_468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40" name="Image_469" descr="Image_469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41" name="Image_470" descr="Image_470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42" name="Image_471" descr="Image_471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43" name="Image_472" descr="Image_472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44" name="Image_473" descr="Image_473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45" name="Image_474" descr="Image_474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46" name="Image_475" descr="Image_475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47" name="Image_476" descr="Image_476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48" name="Image_477" descr="Image_477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49" name="Image_478" descr="Image_478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50" name="Image_479" descr="Image_479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51" name="Image_480" descr="Image_480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52" name="Image_481" descr="Image_481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53" name="Image_482" descr="Image_482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54" name="Image_483" descr="Image_483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55" name="Image_484" descr="Image_484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56" name="Image_485" descr="Image_485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57" name="Image_486" descr="Image_486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58" name="Image_487" descr="Image_487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59" name="Image_488" descr="Image_488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60" name="Image_489" descr="Image_489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61" name="Image_490" descr="Image_490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62" name="Image_491" descr="Image_491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63" name="Image_492" descr="Image_492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64" name="Image_493" descr="Image_493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65" name="Image_494" descr="Image_494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66" name="Image_495" descr="Image_495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67" name="Image_496" descr="Image_496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68" name="Image_497" descr="Image_497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69" name="Image_498" descr="Image_498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70" name="Image_499" descr="Image_499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71" name="Image_500" descr="Image_500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72" name="Image_501" descr="Image_501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73" name="Image_502" descr="Image_502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74" name="Image_503" descr="Image_503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75" name="Image_504" descr="Image_504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76" name="Image_505" descr="Image_505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77" name="Image_506" descr="Image_506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78" name="Image_507" descr="Image_507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79" name="Image_508" descr="Image_508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80" name="Image_509" descr="Image_509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81" name="Image_510" descr="Image_510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82" name="Image_511" descr="Image_511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83" name="Image_512" descr="Image_512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84" name="Image_513" descr="Image_513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85" name="Image_514" descr="Image_514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86" name="Image_515" descr="Image_515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87" name="Image_516" descr="Image_516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88" name="Image_517" descr="Image_517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89" name="Image_518" descr="Image_518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90" name="Image_519" descr="Image_519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91" name="Image_520" descr="Image_520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492" name="Image_521" descr="Image_521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93" name="Image_522" descr="Image_522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494" name="Image_523" descr="Image_523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95" name="Image_526" descr="Image_526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96" name="Image_527" descr="Image_527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497" name="Image_528" descr="Image_528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498" name="Image_529" descr="Image_529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499" name="Image_530" descr="Image_530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00" name="Image_531" descr="Image_531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01" name="Image_532" descr="Image_532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02" name="Image_533" descr="Image_533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03" name="Image_534" descr="Image_534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04" name="Image_535" descr="Image_535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05" name="Image_536" descr="Image_536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06" name="Image_537" descr="Image_537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07" name="Image_538" descr="Image_538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08" name="Image_539" descr="Image_539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09" name="Image_540" descr="Image_540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10" name="Image_541" descr="Image_541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11" name="Image_542" descr="Image_542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12" name="Image_543" descr="Image_543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13" name="Image_544" descr="Image_544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14" name="Image_545" descr="Image_545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15" name="Image_546" descr="Image_546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16" name="Image_547" descr="Image_547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17" name="Image_548" descr="Image_548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18" name="Image_549" descr="Image_549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19" name="Image_550" descr="Image_550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20" name="Image_551" descr="Image_551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21" name="Image_552" descr="Image_552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22" name="Image_553" descr="Image_553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23" name="Image_554" descr="Image_554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24" name="Image_555" descr="Image_555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25" name="Image_556" descr="Image_556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26" name="Image_557" descr="Image_557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27" name="Image_558" descr="Image_558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28" name="Image_559" descr="Image_559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29" name="Image_560" descr="Image_560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30" name="Image_561" descr="Image_561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31" name="Image_562" descr="Image_562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32" name="Image_563" descr="Image_563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33" name="Image_564" descr="Image_564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34" name="Image_565" descr="Image_565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35" name="Image_566" descr="Image_566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36" name="Image_567" descr="Image_567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37" name="Image_568" descr="Image_568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38" name="Image_569" descr="Image_569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39" name="Image_570" descr="Image_570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40" name="Image_571" descr="Image_571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41" name="Image_572" descr="Image_572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42" name="Image_573" descr="Image_573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43" name="Image_574" descr="Image_574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44" name="Image_575" descr="Image_575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45" name="Image_576" descr="Image_576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46" name="Image_577" descr="Image_577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47" name="Image_578" descr="Image_578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48" name="Image_579" descr="Image_579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49" name="Image_580" descr="Image_580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50" name="Image_581" descr="Image_581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51" name="Image_582" descr="Image_582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52" name="Image_583" descr="Image_583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53" name="Image_584" descr="Image_584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54" name="Image_585" descr="Image_585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55" name="Image_586" descr="Image_586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56" name="Image_587" descr="Image_587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57" name="Image_588" descr="Image_588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58" name="Image_589" descr="Image_589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59" name="Image_590" descr="Image_590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60" name="Image_591" descr="Image_591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61" name="Image_594" descr="Image_594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62" name="Image_595" descr="Image_595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63" name="Image_596" descr="Image_596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64" name="Image_597" descr="Image_597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65" name="Image_598" descr="Image_598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66" name="Image_599" descr="Image_599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67" name="Image_600" descr="Image_600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68" name="Image_601" descr="Image_601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69" name="Image_602" descr="Image_602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70" name="Image_603" descr="Image_603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71" name="Image_604" descr="Image_604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72" name="Image_605" descr="Image_605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73" name="Image_606" descr="Image_606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74" name="Image_607" descr="Image_607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75" name="Image_608" descr="Image_608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76" name="Image_609" descr="Image_609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77" name="Image_610" descr="Image_610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78" name="Image_611" descr="Image_611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79" name="Image_612" descr="Image_612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80" name="Image_613" descr="Image_613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81" name="Image_614" descr="Image_614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82" name="Image_615" descr="Image_615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83" name="Image_616" descr="Image_616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584" name="Image_617" descr="Image_617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585" name="Image_618" descr="Image_618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86" name="Image_619" descr="Image_619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87" name="Image_621" descr="Image_621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88" name="Image_622" descr="Image_622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89" name="Image_623" descr="Image_623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590" name="Image_624" descr="Image_624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91" name="Image_625" descr="Image_625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592" name="Image_626" descr="Image_626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593" name="Image_627" descr="Image_627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594" name="Image_628" descr="Image_628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595" name="Image_629" descr="Image_629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596" name="Image_630" descr="Image_630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597" name="Image_631" descr="Image_631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598" name="Image_632" descr="Image_632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599" name="Image_633" descr="Image_633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00" name="Image_635" descr="Image_635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01" name="Image_636" descr="Image_636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02" name="Image_637" descr="Image_637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03" name="Image_638" descr="Image_638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04" name="Image_639" descr="Image_639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05" name="Image_640" descr="Image_640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06" name="Image_641" descr="Image_641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07" name="Image_642" descr="Image_642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08" name="Image_643" descr="Image_643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09" name="Image_644" descr="Image_644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10" name="Image_645" descr="Image_645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11" name="Image_646" descr="Image_646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12" name="Image_647" descr="Image_647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13" name="Image_648" descr="Image_648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14" name="Image_649" descr="Image_649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15" name="Image_650" descr="Image_650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16" name="Image_651" descr="Image_651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17" name="Image_652" descr="Image_652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18" name="Image_653" descr="Image_653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19" name="Image_654" descr="Image_654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20" name="Image_655" descr="Image_655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21" name="Image_656" descr="Image_656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22" name="Image_657" descr="Image_657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23" name="Image_658" descr="Image_658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24" name="Image_659" descr="Image_659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25" name="Image_660" descr="Image_660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26" name="Image_661" descr="Image_661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27" name="Image_662" descr="Image_662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28" name="Image_663" descr="Image_663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29" name="Image_664" descr="Image_664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30" name="Image_665" descr="Image_665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31" name="Image_666" descr="Image_666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32" name="Image_667" descr="Image_667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33" name="Image_668" descr="Image_668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34" name="Image_669" descr="Image_669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35" name="Image_670" descr="Image_670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36" name="Image_671" descr="Image_671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37" name="Image_672" descr="Image_672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38" name="Image_673" descr="Image_673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39" name="Image_674" descr="Image_674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40" name="Image_675" descr="Image_675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41" name="Image_676" descr="Image_676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42" name="Image_677" descr="Image_677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43" name="Image_678" descr="Image_678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44" name="Image_679" descr="Image_679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45" name="Image_680" descr="Image_680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46" name="Image_681" descr="Image_681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47" name="Image_682" descr="Image_682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48" name="Image_683" descr="Image_683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49" name="Image_684" descr="Image_684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50" name="Image_685" descr="Image_685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51" name="Image_686" descr="Image_686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52" name="Image_687" descr="Image_687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53" name="Image_688" descr="Image_688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54" name="Image_689" descr="Image_689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55" name="Image_690" descr="Image_690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56" name="Image_691" descr="Image_691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57" name="Image_692" descr="Image_692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58" name="Image_693" descr="Image_693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59" name="Image_694" descr="Image_694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60" name="Image_695" descr="Image_695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61" name="Image_696" descr="Image_696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62" name="Image_697" descr="Image_697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63" name="Image_698" descr="Image_698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64" name="Image_699" descr="Image_699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65" name="Image_700" descr="Image_700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66" name="Image_701" descr="Image_701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67" name="Image_704" descr="Image_704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68" name="Image_705" descr="Image_705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69" name="Image_706" descr="Image_706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70" name="Image_707" descr="Image_707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71" name="Image_708" descr="Image_708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672" name="Image_709" descr="Image_709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673" name="Image_710" descr="Image_710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674" name="Image_711" descr="Image_711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675" name="Image_712" descr="Image_712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676" name="Image_713" descr="Image_713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677" name="Image_714" descr="Image_714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678" name="Image_715" descr="Image_715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679" name="Image_716" descr="Image_716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680" name="Image_717" descr="Image_717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681" name="Image_718" descr="Image_718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682" name="Image_720" descr="Image_720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683" name="Image_721" descr="Image_721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684" name="Image_722" descr="Image_722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685" name="Image_723" descr="Image_723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219200"/>
    <xdr:pic>
      <xdr:nvPicPr>
        <xdr:cNvPr id="686" name="Image_724" descr="Image_724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687" name="Image_725" descr="Image_725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688" name="Image_726" descr="Image_726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689" name="Image_727" descr="Image_727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690" name="Image_728" descr="Image_728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691" name="Image_729" descr="Image_729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692" name="Image_730" descr="Image_730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693" name="Image_731" descr="Image_731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694" name="Image_732" descr="Image_732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695" name="Image_733" descr="Image_733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696" name="Image_734" descr="Image_734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697" name="Image_735" descr="Image_735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698" name="Image_736" descr="Image_736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699" name="Image_737" descr="Image_737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00" name="Image_738" descr="Image_738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01" name="Image_739" descr="Image_739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02" name="Image_740" descr="Image_740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03" name="Image_741" descr="Image_741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04" name="Image_742" descr="Image_742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05" name="Image_743" descr="Image_743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06" name="Image_744" descr="Image_744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07" name="Image_745" descr="Image_745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08" name="Image_746" descr="Image_746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09" name="Image_747" descr="Image_747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10" name="Image_748" descr="Image_748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11" name="Image_749" descr="Image_749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12" name="Image_750" descr="Image_750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13" name="Image_751" descr="Image_751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14" name="Image_752" descr="Image_752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15" name="Image_753" descr="Image_753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16" name="Image_754" descr="Image_754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17" name="Image_755" descr="Image_755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5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SUM(J2:J755)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827133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J5*13639.77</f>
        <v>0</v>
      </c>
      <c r="L5" s="5"/>
    </row>
    <row r="6" spans="1:12" customHeight="1" ht="105" outlineLevel="4">
      <c r="A6" s="1"/>
      <c r="B6" s="1">
        <v>827155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J6*12987.45</f>
        <v>0</v>
      </c>
      <c r="L6" s="5"/>
    </row>
    <row r="7" spans="1:12" customHeight="1" ht="105" outlineLevel="4">
      <c r="A7" s="1"/>
      <c r="B7" s="1">
        <v>827171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6</v>
      </c>
      <c r="H7" s="2">
        <v>0</v>
      </c>
      <c r="I7" s="1">
        <v>0</v>
      </c>
      <c r="J7" s="3" t="s">
        <v>17</v>
      </c>
      <c r="K7" s="2" t="str">
        <f>J7*7758.26</f>
        <v>0</v>
      </c>
      <c r="L7" s="5"/>
    </row>
    <row r="8" spans="1:12" customHeight="1" ht="105" outlineLevel="4">
      <c r="A8" s="1"/>
      <c r="B8" s="1">
        <v>827284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J8*9226.37</f>
        <v>0</v>
      </c>
      <c r="L8" s="5"/>
    </row>
    <row r="9" spans="1:12" customHeight="1" ht="105" outlineLevel="4">
      <c r="A9" s="1"/>
      <c r="B9" s="1">
        <v>827355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4</v>
      </c>
      <c r="H9" s="2">
        <v>0</v>
      </c>
      <c r="I9" s="1">
        <v>0</v>
      </c>
      <c r="J9" s="3" t="s">
        <v>17</v>
      </c>
      <c r="K9" s="2" t="str">
        <f>J9*4156.10</f>
        <v>0</v>
      </c>
      <c r="L9" s="5"/>
    </row>
    <row r="10" spans="1:12" customHeight="1" ht="105" outlineLevel="4">
      <c r="A10" s="1"/>
      <c r="B10" s="1">
        <v>832512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>
        <v>0</v>
      </c>
      <c r="I10" s="1">
        <v>0</v>
      </c>
      <c r="J10" s="3" t="s">
        <v>17</v>
      </c>
      <c r="K10" s="2" t="str">
        <f>J10*9570.20</f>
        <v>0</v>
      </c>
      <c r="L10" s="5"/>
    </row>
    <row r="11" spans="1:12" outlineLevel="2">
      <c r="A11" s="8" t="s">
        <v>39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827870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3</v>
      </c>
      <c r="H12" s="2">
        <v>0</v>
      </c>
      <c r="I12" s="1">
        <v>0</v>
      </c>
      <c r="J12" s="3" t="s">
        <v>17</v>
      </c>
      <c r="K12" s="2" t="str">
        <f>J12*7550.91</f>
        <v>0</v>
      </c>
      <c r="L12" s="5"/>
    </row>
    <row r="13" spans="1:12" customHeight="1" ht="105" outlineLevel="4">
      <c r="A13" s="1"/>
      <c r="B13" s="1">
        <v>827875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3</v>
      </c>
      <c r="H13" s="2">
        <v>0</v>
      </c>
      <c r="I13" s="1">
        <v>0</v>
      </c>
      <c r="J13" s="3" t="s">
        <v>17</v>
      </c>
      <c r="K13" s="2" t="str">
        <f>J13*9081.07</f>
        <v>0</v>
      </c>
      <c r="L13" s="5"/>
    </row>
    <row r="14" spans="1:12" customHeight="1" ht="105" outlineLevel="4">
      <c r="A14" s="1"/>
      <c r="B14" s="1">
        <v>827885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6</v>
      </c>
      <c r="H14" s="2">
        <v>0</v>
      </c>
      <c r="I14" s="1">
        <v>0</v>
      </c>
      <c r="J14" s="3" t="s">
        <v>17</v>
      </c>
      <c r="K14" s="2" t="str">
        <f>J14*2638.05</f>
        <v>0</v>
      </c>
      <c r="L14" s="5"/>
    </row>
    <row r="15" spans="1:12" customHeight="1" ht="105" outlineLevel="4">
      <c r="A15" s="1"/>
      <c r="B15" s="1">
        <v>827886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9</v>
      </c>
      <c r="H15" s="2">
        <v>0</v>
      </c>
      <c r="I15" s="1">
        <v>0</v>
      </c>
      <c r="J15" s="3" t="s">
        <v>17</v>
      </c>
      <c r="K15" s="2" t="str">
        <f>J15*3526.48</f>
        <v>0</v>
      </c>
      <c r="L15" s="5"/>
    </row>
    <row r="16" spans="1:12" customHeight="1" ht="105" outlineLevel="4">
      <c r="A16" s="1"/>
      <c r="B16" s="1">
        <v>827887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4</v>
      </c>
      <c r="H16" s="2">
        <v>0</v>
      </c>
      <c r="I16" s="1">
        <v>0</v>
      </c>
      <c r="J16" s="3" t="s">
        <v>17</v>
      </c>
      <c r="K16" s="2" t="str">
        <f>J16*3158.70</f>
        <v>0</v>
      </c>
      <c r="L16" s="5"/>
    </row>
    <row r="17" spans="1:12" outlineLevel="2">
      <c r="A17" s="8" t="s">
        <v>60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customHeight="1" ht="105" outlineLevel="4">
      <c r="A18" s="1"/>
      <c r="B18" s="1">
        <v>825996</v>
      </c>
      <c r="C18" s="1" t="s">
        <v>61</v>
      </c>
      <c r="D18" s="1" t="s">
        <v>62</v>
      </c>
      <c r="E18" s="2" t="s">
        <v>63</v>
      </c>
      <c r="F18" s="2" t="s">
        <v>64</v>
      </c>
      <c r="G18" s="2">
        <v>0</v>
      </c>
      <c r="H18" s="2">
        <v>0</v>
      </c>
      <c r="I18" s="1">
        <v>0</v>
      </c>
      <c r="J18" s="3" t="s">
        <v>17</v>
      </c>
      <c r="K18" s="2" t="str">
        <f>J18*12373.09</f>
        <v>0</v>
      </c>
      <c r="L18" s="5"/>
    </row>
    <row r="19" spans="1:12" customHeight="1" ht="105" outlineLevel="4">
      <c r="A19" s="1"/>
      <c r="B19" s="1">
        <v>825997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0</v>
      </c>
      <c r="H19" s="2">
        <v>0</v>
      </c>
      <c r="I19" s="1">
        <v>0</v>
      </c>
      <c r="J19" s="3" t="s">
        <v>17</v>
      </c>
      <c r="K19" s="2" t="str">
        <f>J19*12777.89</f>
        <v>0</v>
      </c>
      <c r="L19" s="5"/>
    </row>
    <row r="20" spans="1:12" customHeight="1" ht="105" outlineLevel="4">
      <c r="A20" s="1"/>
      <c r="B20" s="1">
        <v>825998</v>
      </c>
      <c r="C20" s="1" t="s">
        <v>69</v>
      </c>
      <c r="D20" s="1" t="s">
        <v>70</v>
      </c>
      <c r="E20" s="2" t="s">
        <v>67</v>
      </c>
      <c r="F20" s="2" t="s">
        <v>71</v>
      </c>
      <c r="G20" s="2">
        <v>0</v>
      </c>
      <c r="H20" s="2">
        <v>0</v>
      </c>
      <c r="I20" s="1">
        <v>0</v>
      </c>
      <c r="J20" s="3" t="s">
        <v>17</v>
      </c>
      <c r="K20" s="2" t="str">
        <f>J20*12212.30</f>
        <v>0</v>
      </c>
      <c r="L20" s="5"/>
    </row>
    <row r="21" spans="1:12" customHeight="1" ht="105" outlineLevel="4">
      <c r="A21" s="1"/>
      <c r="B21" s="1">
        <v>825999</v>
      </c>
      <c r="C21" s="1" t="s">
        <v>72</v>
      </c>
      <c r="D21" s="1" t="s">
        <v>73</v>
      </c>
      <c r="E21" s="2" t="s">
        <v>67</v>
      </c>
      <c r="F21" s="2" t="s">
        <v>74</v>
      </c>
      <c r="G21" s="2">
        <v>0</v>
      </c>
      <c r="H21" s="2">
        <v>0</v>
      </c>
      <c r="I21" s="1">
        <v>0</v>
      </c>
      <c r="J21" s="3" t="s">
        <v>17</v>
      </c>
      <c r="K21" s="2" t="str">
        <f>J21*7335.10</f>
        <v>0</v>
      </c>
      <c r="L21" s="5"/>
    </row>
    <row r="22" spans="1:12" customHeight="1" ht="105" outlineLevel="4">
      <c r="A22" s="1"/>
      <c r="B22" s="1">
        <v>826000</v>
      </c>
      <c r="C22" s="1" t="s">
        <v>75</v>
      </c>
      <c r="D22" s="1" t="s">
        <v>76</v>
      </c>
      <c r="E22" s="2" t="s">
        <v>67</v>
      </c>
      <c r="F22" s="2" t="s">
        <v>77</v>
      </c>
      <c r="G22" s="2">
        <v>0</v>
      </c>
      <c r="H22" s="2">
        <v>0</v>
      </c>
      <c r="I22" s="1">
        <v>0</v>
      </c>
      <c r="J22" s="3" t="s">
        <v>17</v>
      </c>
      <c r="K22" s="2" t="str">
        <f>J22*11909.64</f>
        <v>0</v>
      </c>
      <c r="L22" s="5"/>
    </row>
    <row r="23" spans="1:12" customHeight="1" ht="105" outlineLevel="4">
      <c r="A23" s="1"/>
      <c r="B23" s="1">
        <v>826001</v>
      </c>
      <c r="C23" s="1" t="s">
        <v>78</v>
      </c>
      <c r="D23" s="1" t="s">
        <v>79</v>
      </c>
      <c r="E23" s="2" t="s">
        <v>67</v>
      </c>
      <c r="F23" s="2" t="s">
        <v>80</v>
      </c>
      <c r="G23" s="2">
        <v>0</v>
      </c>
      <c r="H23" s="2">
        <v>0</v>
      </c>
      <c r="I23" s="1">
        <v>0</v>
      </c>
      <c r="J23" s="3" t="s">
        <v>17</v>
      </c>
      <c r="K23" s="2" t="str">
        <f>J23*9382.44</f>
        <v>0</v>
      </c>
      <c r="L23" s="5"/>
    </row>
    <row r="24" spans="1:12" customHeight="1" ht="105" outlineLevel="4">
      <c r="A24" s="1"/>
      <c r="B24" s="1">
        <v>826002</v>
      </c>
      <c r="C24" s="1" t="s">
        <v>81</v>
      </c>
      <c r="D24" s="1" t="s">
        <v>82</v>
      </c>
      <c r="E24" s="2" t="s">
        <v>63</v>
      </c>
      <c r="F24" s="2" t="s">
        <v>83</v>
      </c>
      <c r="G24" s="2">
        <v>0</v>
      </c>
      <c r="H24" s="2">
        <v>0</v>
      </c>
      <c r="I24" s="1">
        <v>0</v>
      </c>
      <c r="J24" s="3" t="s">
        <v>17</v>
      </c>
      <c r="K24" s="2" t="str">
        <f>J24*7455.56</f>
        <v>0</v>
      </c>
      <c r="L24" s="5"/>
    </row>
    <row r="25" spans="1:12" customHeight="1" ht="105" outlineLevel="4">
      <c r="A25" s="1"/>
      <c r="B25" s="1">
        <v>826003</v>
      </c>
      <c r="C25" s="1" t="s">
        <v>84</v>
      </c>
      <c r="D25" s="1" t="s">
        <v>85</v>
      </c>
      <c r="E25" s="2" t="s">
        <v>63</v>
      </c>
      <c r="F25" s="2" t="s">
        <v>86</v>
      </c>
      <c r="G25" s="2">
        <v>0</v>
      </c>
      <c r="H25" s="2">
        <v>0</v>
      </c>
      <c r="I25" s="1">
        <v>0</v>
      </c>
      <c r="J25" s="3" t="s">
        <v>17</v>
      </c>
      <c r="K25" s="2" t="str">
        <f>J25*5963.58</f>
        <v>0</v>
      </c>
      <c r="L25" s="5"/>
    </row>
    <row r="26" spans="1:12" customHeight="1" ht="105" outlineLevel="4">
      <c r="A26" s="1"/>
      <c r="B26" s="1">
        <v>826004</v>
      </c>
      <c r="C26" s="1" t="s">
        <v>87</v>
      </c>
      <c r="D26" s="1" t="s">
        <v>88</v>
      </c>
      <c r="E26" s="2" t="s">
        <v>63</v>
      </c>
      <c r="F26" s="2" t="s">
        <v>89</v>
      </c>
      <c r="G26" s="2">
        <v>0</v>
      </c>
      <c r="H26" s="2">
        <v>0</v>
      </c>
      <c r="I26" s="1">
        <v>0</v>
      </c>
      <c r="J26" s="3" t="s">
        <v>17</v>
      </c>
      <c r="K26" s="2" t="str">
        <f>J26*13847.29</f>
        <v>0</v>
      </c>
      <c r="L26" s="5"/>
    </row>
    <row r="27" spans="1:12" customHeight="1" ht="105" outlineLevel="4">
      <c r="A27" s="1"/>
      <c r="B27" s="1">
        <v>826005</v>
      </c>
      <c r="C27" s="1" t="s">
        <v>90</v>
      </c>
      <c r="D27" s="1" t="s">
        <v>91</v>
      </c>
      <c r="E27" s="2" t="s">
        <v>92</v>
      </c>
      <c r="F27" s="2" t="s">
        <v>93</v>
      </c>
      <c r="G27" s="2">
        <v>4</v>
      </c>
      <c r="H27" s="2">
        <v>0</v>
      </c>
      <c r="I27" s="1">
        <v>0</v>
      </c>
      <c r="J27" s="3" t="s">
        <v>17</v>
      </c>
      <c r="K27" s="2" t="str">
        <f>J27*14318.98</f>
        <v>0</v>
      </c>
      <c r="L27" s="5"/>
    </row>
    <row r="28" spans="1:12" customHeight="1" ht="105" outlineLevel="4">
      <c r="A28" s="1"/>
      <c r="B28" s="1">
        <v>826006</v>
      </c>
      <c r="C28" s="1" t="s">
        <v>94</v>
      </c>
      <c r="D28" s="1" t="s">
        <v>95</v>
      </c>
      <c r="E28" s="2" t="s">
        <v>96</v>
      </c>
      <c r="F28" s="2" t="s">
        <v>97</v>
      </c>
      <c r="G28" s="2">
        <v>1</v>
      </c>
      <c r="H28" s="2">
        <v>0</v>
      </c>
      <c r="I28" s="1">
        <v>0</v>
      </c>
      <c r="J28" s="3" t="s">
        <v>17</v>
      </c>
      <c r="K28" s="2" t="str">
        <f>J28*12124.54</f>
        <v>0</v>
      </c>
      <c r="L28" s="5"/>
    </row>
    <row r="29" spans="1:12" customHeight="1" ht="105" outlineLevel="4">
      <c r="A29" s="1"/>
      <c r="B29" s="1">
        <v>826007</v>
      </c>
      <c r="C29" s="1" t="s">
        <v>98</v>
      </c>
      <c r="D29" s="1" t="s">
        <v>99</v>
      </c>
      <c r="E29" s="2" t="s">
        <v>96</v>
      </c>
      <c r="F29" s="2" t="s">
        <v>100</v>
      </c>
      <c r="G29" s="2">
        <v>3</v>
      </c>
      <c r="H29" s="2">
        <v>0</v>
      </c>
      <c r="I29" s="1">
        <v>0</v>
      </c>
      <c r="J29" s="3" t="s">
        <v>17</v>
      </c>
      <c r="K29" s="2" t="str">
        <f>J29*16570.59</f>
        <v>0</v>
      </c>
      <c r="L29" s="5"/>
    </row>
    <row r="30" spans="1:12" customHeight="1" ht="105" outlineLevel="4">
      <c r="A30" s="1"/>
      <c r="B30" s="1">
        <v>826008</v>
      </c>
      <c r="C30" s="1" t="s">
        <v>101</v>
      </c>
      <c r="D30" s="1" t="s">
        <v>102</v>
      </c>
      <c r="E30" s="2" t="s">
        <v>96</v>
      </c>
      <c r="F30" s="2" t="s">
        <v>103</v>
      </c>
      <c r="G30" s="2">
        <v>0</v>
      </c>
      <c r="H30" s="2">
        <v>0</v>
      </c>
      <c r="I30" s="1">
        <v>0</v>
      </c>
      <c r="J30" s="3" t="s">
        <v>17</v>
      </c>
      <c r="K30" s="2" t="str">
        <f>J30*15696.66</f>
        <v>0</v>
      </c>
      <c r="L30" s="5"/>
    </row>
    <row r="31" spans="1:12" customHeight="1" ht="105" outlineLevel="4">
      <c r="A31" s="1"/>
      <c r="B31" s="1">
        <v>826009</v>
      </c>
      <c r="C31" s="1" t="s">
        <v>104</v>
      </c>
      <c r="D31" s="1" t="s">
        <v>105</v>
      </c>
      <c r="E31" s="2" t="s">
        <v>96</v>
      </c>
      <c r="F31" s="2" t="s">
        <v>106</v>
      </c>
      <c r="G31" s="2">
        <v>0</v>
      </c>
      <c r="H31" s="2">
        <v>0</v>
      </c>
      <c r="I31" s="1">
        <v>0</v>
      </c>
      <c r="J31" s="3" t="s">
        <v>17</v>
      </c>
      <c r="K31" s="2" t="str">
        <f>J31*10449.69</f>
        <v>0</v>
      </c>
      <c r="L31" s="5"/>
    </row>
    <row r="32" spans="1:12" customHeight="1" ht="105" outlineLevel="4">
      <c r="A32" s="1"/>
      <c r="B32" s="1">
        <v>826010</v>
      </c>
      <c r="C32" s="1" t="s">
        <v>107</v>
      </c>
      <c r="D32" s="1" t="s">
        <v>108</v>
      </c>
      <c r="E32" s="2" t="s">
        <v>96</v>
      </c>
      <c r="F32" s="2" t="s">
        <v>109</v>
      </c>
      <c r="G32" s="2">
        <v>1</v>
      </c>
      <c r="H32" s="2">
        <v>0</v>
      </c>
      <c r="I32" s="1">
        <v>0</v>
      </c>
      <c r="J32" s="3" t="s">
        <v>17</v>
      </c>
      <c r="K32" s="2" t="str">
        <f>J32*6882.28</f>
        <v>0</v>
      </c>
      <c r="L32" s="5"/>
    </row>
    <row r="33" spans="1:12" customHeight="1" ht="105" outlineLevel="4">
      <c r="A33" s="1"/>
      <c r="B33" s="1">
        <v>826011</v>
      </c>
      <c r="C33" s="1" t="s">
        <v>110</v>
      </c>
      <c r="D33" s="1" t="s">
        <v>111</v>
      </c>
      <c r="E33" s="2" t="s">
        <v>96</v>
      </c>
      <c r="F33" s="2" t="s">
        <v>112</v>
      </c>
      <c r="G33" s="2">
        <v>0</v>
      </c>
      <c r="H33" s="2">
        <v>0</v>
      </c>
      <c r="I33" s="1">
        <v>0</v>
      </c>
      <c r="J33" s="3" t="s">
        <v>17</v>
      </c>
      <c r="K33" s="2" t="str">
        <f>J33*9297.32</f>
        <v>0</v>
      </c>
      <c r="L33" s="5"/>
    </row>
    <row r="34" spans="1:12" customHeight="1" ht="105" outlineLevel="4">
      <c r="A34" s="1"/>
      <c r="B34" s="1">
        <v>826012</v>
      </c>
      <c r="C34" s="1" t="s">
        <v>113</v>
      </c>
      <c r="D34" s="1" t="s">
        <v>114</v>
      </c>
      <c r="E34" s="2" t="s">
        <v>115</v>
      </c>
      <c r="F34" s="2" t="s">
        <v>116</v>
      </c>
      <c r="G34" s="2">
        <v>0</v>
      </c>
      <c r="H34" s="2">
        <v>0</v>
      </c>
      <c r="I34" s="1">
        <v>0</v>
      </c>
      <c r="J34" s="3" t="s">
        <v>17</v>
      </c>
      <c r="K34" s="2" t="str">
        <f>J34*12118.74</f>
        <v>0</v>
      </c>
      <c r="L34" s="5"/>
    </row>
    <row r="35" spans="1:12" customHeight="1" ht="105" outlineLevel="4">
      <c r="A35" s="1"/>
      <c r="B35" s="1">
        <v>826013</v>
      </c>
      <c r="C35" s="1" t="s">
        <v>117</v>
      </c>
      <c r="D35" s="1" t="s">
        <v>118</v>
      </c>
      <c r="E35" s="2" t="s">
        <v>96</v>
      </c>
      <c r="F35" s="2" t="s">
        <v>119</v>
      </c>
      <c r="G35" s="2">
        <v>3</v>
      </c>
      <c r="H35" s="2">
        <v>0</v>
      </c>
      <c r="I35" s="1">
        <v>0</v>
      </c>
      <c r="J35" s="3" t="s">
        <v>17</v>
      </c>
      <c r="K35" s="2" t="str">
        <f>J35*8946.09</f>
        <v>0</v>
      </c>
      <c r="L35" s="5"/>
    </row>
    <row r="36" spans="1:12" customHeight="1" ht="105" outlineLevel="4">
      <c r="A36" s="1"/>
      <c r="B36" s="1">
        <v>826014</v>
      </c>
      <c r="C36" s="1" t="s">
        <v>120</v>
      </c>
      <c r="D36" s="1" t="s">
        <v>121</v>
      </c>
      <c r="E36" s="2" t="s">
        <v>96</v>
      </c>
      <c r="F36" s="2" t="s">
        <v>122</v>
      </c>
      <c r="G36" s="2">
        <v>1</v>
      </c>
      <c r="H36" s="2">
        <v>0</v>
      </c>
      <c r="I36" s="1">
        <v>0</v>
      </c>
      <c r="J36" s="3" t="s">
        <v>17</v>
      </c>
      <c r="K36" s="2" t="str">
        <f>J36*15845.79</f>
        <v>0</v>
      </c>
      <c r="L36" s="5"/>
    </row>
    <row r="37" spans="1:12" customHeight="1" ht="105" outlineLevel="4">
      <c r="A37" s="1"/>
      <c r="B37" s="1">
        <v>826015</v>
      </c>
      <c r="C37" s="1" t="s">
        <v>123</v>
      </c>
      <c r="D37" s="1" t="s">
        <v>124</v>
      </c>
      <c r="E37" s="2" t="s">
        <v>96</v>
      </c>
      <c r="F37" s="2" t="s">
        <v>125</v>
      </c>
      <c r="G37" s="2">
        <v>1</v>
      </c>
      <c r="H37" s="2">
        <v>0</v>
      </c>
      <c r="I37" s="1">
        <v>0</v>
      </c>
      <c r="J37" s="3" t="s">
        <v>17</v>
      </c>
      <c r="K37" s="2" t="str">
        <f>J37*13139.03</f>
        <v>0</v>
      </c>
      <c r="L37" s="5"/>
    </row>
    <row r="38" spans="1:12" customHeight="1" ht="105" outlineLevel="4">
      <c r="A38" s="1"/>
      <c r="B38" s="1">
        <v>826016</v>
      </c>
      <c r="C38" s="1" t="s">
        <v>126</v>
      </c>
      <c r="D38" s="1" t="s">
        <v>127</v>
      </c>
      <c r="E38" s="2" t="s">
        <v>96</v>
      </c>
      <c r="F38" s="2" t="s">
        <v>128</v>
      </c>
      <c r="G38" s="2">
        <v>0</v>
      </c>
      <c r="H38" s="2">
        <v>0</v>
      </c>
      <c r="I38" s="1">
        <v>0</v>
      </c>
      <c r="J38" s="3" t="s">
        <v>17</v>
      </c>
      <c r="K38" s="2" t="str">
        <f>J38*13420.59</f>
        <v>0</v>
      </c>
      <c r="L38" s="5"/>
    </row>
    <row r="39" spans="1:12" customHeight="1" ht="105" outlineLevel="4">
      <c r="A39" s="1"/>
      <c r="B39" s="1">
        <v>831289</v>
      </c>
      <c r="C39" s="1" t="s">
        <v>129</v>
      </c>
      <c r="D39" s="1" t="s">
        <v>130</v>
      </c>
      <c r="E39" s="2" t="s">
        <v>131</v>
      </c>
      <c r="F39" s="2" t="s">
        <v>132</v>
      </c>
      <c r="G39" s="2">
        <v>0</v>
      </c>
      <c r="H39" s="2">
        <v>0</v>
      </c>
      <c r="I39" s="1">
        <v>0</v>
      </c>
      <c r="J39" s="3" t="s">
        <v>17</v>
      </c>
      <c r="K39" s="2" t="str">
        <f>J39*10139.08</f>
        <v>0</v>
      </c>
      <c r="L39" s="5"/>
    </row>
    <row r="40" spans="1:12" customHeight="1" ht="105" outlineLevel="4">
      <c r="A40" s="1"/>
      <c r="B40" s="1">
        <v>831296</v>
      </c>
      <c r="C40" s="1" t="s">
        <v>133</v>
      </c>
      <c r="D40" s="1" t="s">
        <v>134</v>
      </c>
      <c r="E40" s="2" t="s">
        <v>135</v>
      </c>
      <c r="F40" s="2" t="s">
        <v>136</v>
      </c>
      <c r="G40" s="2">
        <v>0</v>
      </c>
      <c r="H40" s="2">
        <v>0</v>
      </c>
      <c r="I40" s="1">
        <v>0</v>
      </c>
      <c r="J40" s="3" t="s">
        <v>17</v>
      </c>
      <c r="K40" s="2" t="str">
        <f>J40*16699.18</f>
        <v>0</v>
      </c>
      <c r="L40" s="5"/>
    </row>
    <row r="41" spans="1:12" customHeight="1" ht="105" outlineLevel="4">
      <c r="A41" s="1"/>
      <c r="B41" s="1">
        <v>831297</v>
      </c>
      <c r="C41" s="1" t="s">
        <v>137</v>
      </c>
      <c r="D41" s="1" t="s">
        <v>138</v>
      </c>
      <c r="E41" s="2" t="s">
        <v>135</v>
      </c>
      <c r="F41" s="2" t="s">
        <v>139</v>
      </c>
      <c r="G41" s="2">
        <v>0</v>
      </c>
      <c r="H41" s="2">
        <v>0</v>
      </c>
      <c r="I41" s="1">
        <v>0</v>
      </c>
      <c r="J41" s="3" t="s">
        <v>17</v>
      </c>
      <c r="K41" s="2" t="str">
        <f>J41*12868.69</f>
        <v>0</v>
      </c>
      <c r="L41" s="5"/>
    </row>
    <row r="42" spans="1:12" customHeight="1" ht="105" outlineLevel="4">
      <c r="A42" s="1"/>
      <c r="B42" s="1">
        <v>831301</v>
      </c>
      <c r="C42" s="1" t="s">
        <v>140</v>
      </c>
      <c r="D42" s="1" t="s">
        <v>141</v>
      </c>
      <c r="E42" s="2" t="s">
        <v>142</v>
      </c>
      <c r="F42" s="2" t="s">
        <v>143</v>
      </c>
      <c r="G42" s="2">
        <v>0</v>
      </c>
      <c r="H42" s="2">
        <v>0</v>
      </c>
      <c r="I42" s="1">
        <v>0</v>
      </c>
      <c r="J42" s="3" t="s">
        <v>17</v>
      </c>
      <c r="K42" s="2" t="str">
        <f>J42*21356.55</f>
        <v>0</v>
      </c>
      <c r="L42" s="5"/>
    </row>
    <row r="43" spans="1:12" outlineLevel="1">
      <c r="A43" s="7" t="s">
        <v>144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5"/>
    </row>
    <row r="44" spans="1:12" outlineLevel="2">
      <c r="A44" s="8" t="s">
        <v>145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827401</v>
      </c>
      <c r="C45" s="1" t="s">
        <v>146</v>
      </c>
      <c r="D45" s="1" t="s">
        <v>147</v>
      </c>
      <c r="E45" s="2" t="s">
        <v>148</v>
      </c>
      <c r="F45" s="2" t="s">
        <v>149</v>
      </c>
      <c r="G45" s="2">
        <v>-60</v>
      </c>
      <c r="H45" s="2">
        <v>0</v>
      </c>
      <c r="I45" s="1" t="s">
        <v>150</v>
      </c>
      <c r="J45" s="3" t="s">
        <v>17</v>
      </c>
      <c r="K45" s="2" t="str">
        <f>J45*60.54</f>
        <v>0</v>
      </c>
      <c r="L45" s="5"/>
    </row>
    <row r="46" spans="1:12" customHeight="1" ht="105" outlineLevel="4">
      <c r="A46" s="1"/>
      <c r="B46" s="1">
        <v>827402</v>
      </c>
      <c r="C46" s="1" t="s">
        <v>151</v>
      </c>
      <c r="D46" s="1" t="s">
        <v>152</v>
      </c>
      <c r="E46" s="2" t="s">
        <v>153</v>
      </c>
      <c r="F46" s="2" t="s">
        <v>154</v>
      </c>
      <c r="G46" s="2">
        <v>-25</v>
      </c>
      <c r="H46" s="2">
        <v>0</v>
      </c>
      <c r="I46" s="1" t="s">
        <v>150</v>
      </c>
      <c r="J46" s="3" t="s">
        <v>17</v>
      </c>
      <c r="K46" s="2" t="str">
        <f>J46*56.00</f>
        <v>0</v>
      </c>
      <c r="L46" s="5"/>
    </row>
    <row r="47" spans="1:12" customHeight="1" ht="105" outlineLevel="4">
      <c r="A47" s="1"/>
      <c r="B47" s="1">
        <v>827955</v>
      </c>
      <c r="C47" s="1" t="s">
        <v>155</v>
      </c>
      <c r="D47" s="1" t="s">
        <v>156</v>
      </c>
      <c r="E47" s="2" t="s">
        <v>157</v>
      </c>
      <c r="F47" s="2" t="s">
        <v>158</v>
      </c>
      <c r="G47" s="2" t="s">
        <v>159</v>
      </c>
      <c r="H47" s="2">
        <v>0</v>
      </c>
      <c r="I47" s="1">
        <v>0</v>
      </c>
      <c r="J47" s="3" t="s">
        <v>17</v>
      </c>
      <c r="K47" s="2" t="str">
        <f>J47*178.59</f>
        <v>0</v>
      </c>
      <c r="L47" s="5"/>
    </row>
    <row r="48" spans="1:12" customHeight="1" ht="105" outlineLevel="4">
      <c r="A48" s="1"/>
      <c r="B48" s="1">
        <v>878969</v>
      </c>
      <c r="C48" s="1" t="s">
        <v>160</v>
      </c>
      <c r="D48" s="1"/>
      <c r="E48" s="2" t="s">
        <v>161</v>
      </c>
      <c r="F48" s="2" t="s">
        <v>162</v>
      </c>
      <c r="G48" s="2">
        <v>0</v>
      </c>
      <c r="H48" s="2">
        <v>0</v>
      </c>
      <c r="I48" s="1">
        <v>0</v>
      </c>
      <c r="J48" s="3" t="s">
        <v>17</v>
      </c>
      <c r="K48" s="2" t="str">
        <f>J48*35.37</f>
        <v>0</v>
      </c>
      <c r="L48" s="5"/>
    </row>
    <row r="49" spans="1:12" customHeight="1" ht="105" outlineLevel="4">
      <c r="A49" s="1"/>
      <c r="B49" s="1">
        <v>878873</v>
      </c>
      <c r="C49" s="1" t="s">
        <v>163</v>
      </c>
      <c r="D49" s="1"/>
      <c r="E49" s="2" t="s">
        <v>164</v>
      </c>
      <c r="F49" s="2" t="s">
        <v>162</v>
      </c>
      <c r="G49" s="2">
        <v>0</v>
      </c>
      <c r="H49" s="2">
        <v>0</v>
      </c>
      <c r="I49" s="1">
        <v>0</v>
      </c>
      <c r="J49" s="3" t="s">
        <v>17</v>
      </c>
      <c r="K49" s="2" t="str">
        <f>J49*35.37</f>
        <v>0</v>
      </c>
      <c r="L49" s="5"/>
    </row>
    <row r="50" spans="1:12" customHeight="1" ht="105" outlineLevel="4">
      <c r="A50" s="1"/>
      <c r="B50" s="1">
        <v>878970</v>
      </c>
      <c r="C50" s="1" t="s">
        <v>165</v>
      </c>
      <c r="D50" s="1">
        <v>565071</v>
      </c>
      <c r="E50" s="2" t="s">
        <v>166</v>
      </c>
      <c r="F50" s="2" t="s">
        <v>167</v>
      </c>
      <c r="G50" s="2">
        <v>0</v>
      </c>
      <c r="H50" s="2">
        <v>0</v>
      </c>
      <c r="I50" s="1">
        <v>0</v>
      </c>
      <c r="J50" s="3" t="s">
        <v>17</v>
      </c>
      <c r="K50" s="2" t="str">
        <f>J50*60.48</f>
        <v>0</v>
      </c>
      <c r="L50" s="5"/>
    </row>
    <row r="51" spans="1:12" customHeight="1" ht="105" outlineLevel="4">
      <c r="A51" s="1"/>
      <c r="B51" s="1">
        <v>878971</v>
      </c>
      <c r="C51" s="1" t="s">
        <v>168</v>
      </c>
      <c r="D51" s="1">
        <v>565089</v>
      </c>
      <c r="E51" s="2" t="s">
        <v>169</v>
      </c>
      <c r="F51" s="2" t="s">
        <v>170</v>
      </c>
      <c r="G51" s="2">
        <v>1</v>
      </c>
      <c r="H51" s="2">
        <v>0</v>
      </c>
      <c r="I51" s="1">
        <v>0</v>
      </c>
      <c r="J51" s="3" t="s">
        <v>17</v>
      </c>
      <c r="K51" s="2" t="str">
        <f>J51*88.48</f>
        <v>0</v>
      </c>
      <c r="L51" s="5"/>
    </row>
    <row r="52" spans="1:12" outlineLevel="2">
      <c r="A52" s="8" t="s">
        <v>171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5"/>
    </row>
    <row r="53" spans="1:12" customHeight="1" ht="105" outlineLevel="4">
      <c r="A53" s="1"/>
      <c r="B53" s="1">
        <v>825808</v>
      </c>
      <c r="C53" s="1" t="s">
        <v>172</v>
      </c>
      <c r="D53" s="1"/>
      <c r="E53" s="2" t="s">
        <v>173</v>
      </c>
      <c r="F53" s="2" t="s">
        <v>174</v>
      </c>
      <c r="G53" s="2">
        <v>0</v>
      </c>
      <c r="H53" s="2">
        <v>0</v>
      </c>
      <c r="I53" s="1">
        <v>0</v>
      </c>
      <c r="J53" s="3" t="s">
        <v>17</v>
      </c>
      <c r="K53" s="2" t="str">
        <f>J53*883.83</f>
        <v>0</v>
      </c>
      <c r="L53" s="5"/>
    </row>
    <row r="54" spans="1:12" customHeight="1" ht="105" outlineLevel="4">
      <c r="A54" s="1"/>
      <c r="B54" s="1">
        <v>827382</v>
      </c>
      <c r="C54" s="1" t="s">
        <v>175</v>
      </c>
      <c r="D54" s="1" t="s">
        <v>176</v>
      </c>
      <c r="E54" s="2" t="s">
        <v>177</v>
      </c>
      <c r="F54" s="2" t="s">
        <v>178</v>
      </c>
      <c r="G54" s="2">
        <v>-2</v>
      </c>
      <c r="H54" s="2">
        <v>0</v>
      </c>
      <c r="I54" s="1" t="s">
        <v>159</v>
      </c>
      <c r="J54" s="3" t="s">
        <v>17</v>
      </c>
      <c r="K54" s="2" t="str">
        <f>J54*612.97</f>
        <v>0</v>
      </c>
      <c r="L54" s="5"/>
    </row>
    <row r="55" spans="1:12" customHeight="1" ht="105" outlineLevel="4">
      <c r="A55" s="1"/>
      <c r="B55" s="1">
        <v>827383</v>
      </c>
      <c r="C55" s="1" t="s">
        <v>179</v>
      </c>
      <c r="D55" s="1" t="s">
        <v>180</v>
      </c>
      <c r="E55" s="2" t="s">
        <v>181</v>
      </c>
      <c r="F55" s="2" t="s">
        <v>178</v>
      </c>
      <c r="G55" s="2">
        <v>0</v>
      </c>
      <c r="H55" s="2">
        <v>0</v>
      </c>
      <c r="I55" s="1">
        <v>0</v>
      </c>
      <c r="J55" s="3" t="s">
        <v>17</v>
      </c>
      <c r="K55" s="2" t="str">
        <f>J55*612.97</f>
        <v>0</v>
      </c>
      <c r="L55" s="5"/>
    </row>
    <row r="56" spans="1:12" customHeight="1" ht="105" outlineLevel="4">
      <c r="A56" s="1"/>
      <c r="B56" s="1">
        <v>827384</v>
      </c>
      <c r="C56" s="1" t="s">
        <v>182</v>
      </c>
      <c r="D56" s="1" t="s">
        <v>183</v>
      </c>
      <c r="E56" s="2" t="s">
        <v>184</v>
      </c>
      <c r="F56" s="2" t="s">
        <v>185</v>
      </c>
      <c r="G56" s="2" t="s">
        <v>38</v>
      </c>
      <c r="H56" s="2">
        <v>0</v>
      </c>
      <c r="I56" s="1">
        <v>0</v>
      </c>
      <c r="J56" s="3" t="s">
        <v>17</v>
      </c>
      <c r="K56" s="2" t="str">
        <f>J56*635.68</f>
        <v>0</v>
      </c>
      <c r="L56" s="5"/>
    </row>
    <row r="57" spans="1:12" customHeight="1" ht="105" outlineLevel="4">
      <c r="A57" s="1"/>
      <c r="B57" s="1">
        <v>827950</v>
      </c>
      <c r="C57" s="1" t="s">
        <v>186</v>
      </c>
      <c r="D57" s="1" t="s">
        <v>187</v>
      </c>
      <c r="E57" s="2" t="s">
        <v>188</v>
      </c>
      <c r="F57" s="2" t="s">
        <v>189</v>
      </c>
      <c r="G57" s="2">
        <v>0</v>
      </c>
      <c r="H57" s="2">
        <v>0</v>
      </c>
      <c r="I57" s="1" t="s">
        <v>38</v>
      </c>
      <c r="J57" s="3" t="s">
        <v>17</v>
      </c>
      <c r="K57" s="2" t="str">
        <f>J57*646.27</f>
        <v>0</v>
      </c>
      <c r="L57" s="5"/>
    </row>
    <row r="58" spans="1:12" customHeight="1" ht="105" outlineLevel="4">
      <c r="A58" s="1"/>
      <c r="B58" s="1">
        <v>878972</v>
      </c>
      <c r="C58" s="1" t="s">
        <v>190</v>
      </c>
      <c r="D58" s="1">
        <v>565024</v>
      </c>
      <c r="E58" s="2" t="s">
        <v>191</v>
      </c>
      <c r="F58" s="2" t="s">
        <v>192</v>
      </c>
      <c r="G58" s="2">
        <v>-2</v>
      </c>
      <c r="H58" s="2">
        <v>0</v>
      </c>
      <c r="I58" s="1">
        <v>0</v>
      </c>
      <c r="J58" s="3" t="s">
        <v>17</v>
      </c>
      <c r="K58" s="2" t="str">
        <f>J58*185.00</f>
        <v>0</v>
      </c>
      <c r="L58" s="5"/>
    </row>
    <row r="59" spans="1:12" customHeight="1" ht="105" outlineLevel="4">
      <c r="A59" s="1"/>
      <c r="B59" s="1">
        <v>878973</v>
      </c>
      <c r="C59" s="1" t="s">
        <v>193</v>
      </c>
      <c r="D59" s="1">
        <v>565022</v>
      </c>
      <c r="E59" s="2" t="s">
        <v>191</v>
      </c>
      <c r="F59" s="2" t="s">
        <v>192</v>
      </c>
      <c r="G59" s="2">
        <v>-1</v>
      </c>
      <c r="H59" s="2">
        <v>0</v>
      </c>
      <c r="I59" s="1">
        <v>0</v>
      </c>
      <c r="J59" s="3" t="s">
        <v>17</v>
      </c>
      <c r="K59" s="2" t="str">
        <f>J59*185.00</f>
        <v>0</v>
      </c>
      <c r="L59" s="5"/>
    </row>
    <row r="60" spans="1:12" customHeight="1" ht="105" outlineLevel="4">
      <c r="A60" s="1"/>
      <c r="B60" s="1">
        <v>878974</v>
      </c>
      <c r="C60" s="1" t="s">
        <v>194</v>
      </c>
      <c r="D60" s="1">
        <v>565019</v>
      </c>
      <c r="E60" s="2" t="s">
        <v>195</v>
      </c>
      <c r="F60" s="2" t="s">
        <v>196</v>
      </c>
      <c r="G60" s="2">
        <v>0</v>
      </c>
      <c r="H60" s="2">
        <v>0</v>
      </c>
      <c r="I60" s="1">
        <v>0</v>
      </c>
      <c r="J60" s="3" t="s">
        <v>17</v>
      </c>
      <c r="K60" s="2" t="str">
        <f>J60*192.64</f>
        <v>0</v>
      </c>
      <c r="L60" s="5"/>
    </row>
    <row r="61" spans="1:12" customHeight="1" ht="105" outlineLevel="4">
      <c r="A61" s="1"/>
      <c r="B61" s="1">
        <v>878975</v>
      </c>
      <c r="C61" s="1" t="s">
        <v>197</v>
      </c>
      <c r="D61" s="1">
        <v>565090</v>
      </c>
      <c r="E61" s="2" t="s">
        <v>198</v>
      </c>
      <c r="F61" s="2" t="s">
        <v>196</v>
      </c>
      <c r="G61" s="2">
        <v>0</v>
      </c>
      <c r="H61" s="2">
        <v>0</v>
      </c>
      <c r="I61" s="1">
        <v>0</v>
      </c>
      <c r="J61" s="3" t="s">
        <v>17</v>
      </c>
      <c r="K61" s="2" t="str">
        <f>J61*192.64</f>
        <v>0</v>
      </c>
      <c r="L61" s="5"/>
    </row>
    <row r="62" spans="1:12" outlineLevel="2">
      <c r="A62" s="8" t="s">
        <v>199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5"/>
    </row>
    <row r="63" spans="1:12" customHeight="1" ht="105" outlineLevel="4">
      <c r="A63" s="1"/>
      <c r="B63" s="1">
        <v>827122</v>
      </c>
      <c r="C63" s="1" t="s">
        <v>200</v>
      </c>
      <c r="D63" s="1" t="s">
        <v>201</v>
      </c>
      <c r="E63" s="2" t="s">
        <v>202</v>
      </c>
      <c r="F63" s="2" t="s">
        <v>203</v>
      </c>
      <c r="G63" s="2" t="s">
        <v>38</v>
      </c>
      <c r="H63" s="2">
        <v>0</v>
      </c>
      <c r="I63" s="1">
        <v>0</v>
      </c>
      <c r="J63" s="3" t="s">
        <v>17</v>
      </c>
      <c r="K63" s="2" t="str">
        <f>J63*1008.00</f>
        <v>0</v>
      </c>
      <c r="L63" s="5"/>
    </row>
    <row r="64" spans="1:12" customHeight="1" ht="105" outlineLevel="4">
      <c r="A64" s="1"/>
      <c r="B64" s="1">
        <v>827123</v>
      </c>
      <c r="C64" s="1" t="s">
        <v>204</v>
      </c>
      <c r="D64" s="1" t="s">
        <v>205</v>
      </c>
      <c r="E64" s="2" t="s">
        <v>206</v>
      </c>
      <c r="F64" s="2" t="s">
        <v>203</v>
      </c>
      <c r="G64" s="2" t="s">
        <v>38</v>
      </c>
      <c r="H64" s="2">
        <v>0</v>
      </c>
      <c r="I64" s="1">
        <v>0</v>
      </c>
      <c r="J64" s="3" t="s">
        <v>17</v>
      </c>
      <c r="K64" s="2" t="str">
        <f>J64*1008.00</f>
        <v>0</v>
      </c>
      <c r="L64" s="5"/>
    </row>
    <row r="65" spans="1:12" customHeight="1" ht="105" outlineLevel="4">
      <c r="A65" s="1"/>
      <c r="B65" s="1">
        <v>827124</v>
      </c>
      <c r="C65" s="1" t="s">
        <v>207</v>
      </c>
      <c r="D65" s="1" t="s">
        <v>208</v>
      </c>
      <c r="E65" s="2" t="s">
        <v>209</v>
      </c>
      <c r="F65" s="2" t="s">
        <v>203</v>
      </c>
      <c r="G65" s="2">
        <v>10</v>
      </c>
      <c r="H65" s="2">
        <v>0</v>
      </c>
      <c r="I65" s="1">
        <v>0</v>
      </c>
      <c r="J65" s="3" t="s">
        <v>17</v>
      </c>
      <c r="K65" s="2" t="str">
        <f>J65*1008.00</f>
        <v>0</v>
      </c>
      <c r="L65" s="5"/>
    </row>
    <row r="66" spans="1:12" customHeight="1" ht="105" outlineLevel="4">
      <c r="A66" s="1"/>
      <c r="B66" s="1">
        <v>827125</v>
      </c>
      <c r="C66" s="1" t="s">
        <v>210</v>
      </c>
      <c r="D66" s="1" t="s">
        <v>211</v>
      </c>
      <c r="E66" s="2" t="s">
        <v>212</v>
      </c>
      <c r="F66" s="2" t="s">
        <v>203</v>
      </c>
      <c r="G66" s="2" t="s">
        <v>38</v>
      </c>
      <c r="H66" s="2">
        <v>0</v>
      </c>
      <c r="I66" s="1">
        <v>0</v>
      </c>
      <c r="J66" s="3" t="s">
        <v>17</v>
      </c>
      <c r="K66" s="2" t="str">
        <f>J66*1008.00</f>
        <v>0</v>
      </c>
      <c r="L66" s="5"/>
    </row>
    <row r="67" spans="1:12" customHeight="1" ht="105" outlineLevel="4">
      <c r="A67" s="1"/>
      <c r="B67" s="1">
        <v>827385</v>
      </c>
      <c r="C67" s="1" t="s">
        <v>213</v>
      </c>
      <c r="D67" s="1" t="s">
        <v>214</v>
      </c>
      <c r="E67" s="2" t="s">
        <v>215</v>
      </c>
      <c r="F67" s="2" t="s">
        <v>216</v>
      </c>
      <c r="G67" s="2">
        <v>-20</v>
      </c>
      <c r="H67" s="2">
        <v>0</v>
      </c>
      <c r="I67" s="1" t="s">
        <v>38</v>
      </c>
      <c r="J67" s="3" t="s">
        <v>17</v>
      </c>
      <c r="K67" s="2" t="str">
        <f>J67*193.73</f>
        <v>0</v>
      </c>
      <c r="L67" s="5"/>
    </row>
    <row r="68" spans="1:12" customHeight="1" ht="105" outlineLevel="4">
      <c r="A68" s="1"/>
      <c r="B68" s="1">
        <v>827386</v>
      </c>
      <c r="C68" s="1" t="s">
        <v>217</v>
      </c>
      <c r="D68" s="1" t="s">
        <v>218</v>
      </c>
      <c r="E68" s="2" t="s">
        <v>219</v>
      </c>
      <c r="F68" s="2" t="s">
        <v>220</v>
      </c>
      <c r="G68" s="2" t="s">
        <v>221</v>
      </c>
      <c r="H68" s="2">
        <v>0</v>
      </c>
      <c r="I68" s="1">
        <v>0</v>
      </c>
      <c r="J68" s="3" t="s">
        <v>17</v>
      </c>
      <c r="K68" s="2" t="str">
        <f>J68*227.03</f>
        <v>0</v>
      </c>
      <c r="L68" s="5"/>
    </row>
    <row r="69" spans="1:12" customHeight="1" ht="105" outlineLevel="4">
      <c r="A69" s="1"/>
      <c r="B69" s="1">
        <v>827387</v>
      </c>
      <c r="C69" s="1" t="s">
        <v>222</v>
      </c>
      <c r="D69" s="1" t="s">
        <v>223</v>
      </c>
      <c r="E69" s="2" t="s">
        <v>224</v>
      </c>
      <c r="F69" s="2" t="s">
        <v>225</v>
      </c>
      <c r="G69" s="2">
        <v>4</v>
      </c>
      <c r="H69" s="2">
        <v>0</v>
      </c>
      <c r="I69" s="1" t="s">
        <v>159</v>
      </c>
      <c r="J69" s="3" t="s">
        <v>17</v>
      </c>
      <c r="K69" s="2" t="str">
        <f>J69*284.54</f>
        <v>0</v>
      </c>
      <c r="L69" s="5"/>
    </row>
    <row r="70" spans="1:12" customHeight="1" ht="105" outlineLevel="4">
      <c r="A70" s="1"/>
      <c r="B70" s="1">
        <v>827388</v>
      </c>
      <c r="C70" s="1" t="s">
        <v>226</v>
      </c>
      <c r="D70" s="1" t="s">
        <v>227</v>
      </c>
      <c r="E70" s="2" t="s">
        <v>228</v>
      </c>
      <c r="F70" s="2" t="s">
        <v>229</v>
      </c>
      <c r="G70" s="2" t="s">
        <v>38</v>
      </c>
      <c r="H70" s="2">
        <v>0</v>
      </c>
      <c r="I70" s="1">
        <v>0</v>
      </c>
      <c r="J70" s="3" t="s">
        <v>17</v>
      </c>
      <c r="K70" s="2" t="str">
        <f>J70*417.73</f>
        <v>0</v>
      </c>
      <c r="L70" s="5"/>
    </row>
    <row r="71" spans="1:12" customHeight="1" ht="105" outlineLevel="4">
      <c r="A71" s="1"/>
      <c r="B71" s="1">
        <v>827389</v>
      </c>
      <c r="C71" s="1" t="s">
        <v>230</v>
      </c>
      <c r="D71" s="1" t="s">
        <v>231</v>
      </c>
      <c r="E71" s="2" t="s">
        <v>232</v>
      </c>
      <c r="F71" s="2" t="s">
        <v>233</v>
      </c>
      <c r="G71" s="2" t="s">
        <v>38</v>
      </c>
      <c r="H71" s="2">
        <v>0</v>
      </c>
      <c r="I71" s="1">
        <v>0</v>
      </c>
      <c r="J71" s="3" t="s">
        <v>17</v>
      </c>
      <c r="K71" s="2" t="str">
        <f>J71*478.27</f>
        <v>0</v>
      </c>
      <c r="L71" s="5"/>
    </row>
    <row r="72" spans="1:12" customHeight="1" ht="105" outlineLevel="4">
      <c r="A72" s="1"/>
      <c r="B72" s="1">
        <v>827390</v>
      </c>
      <c r="C72" s="1" t="s">
        <v>234</v>
      </c>
      <c r="D72" s="1" t="s">
        <v>235</v>
      </c>
      <c r="E72" s="2" t="s">
        <v>236</v>
      </c>
      <c r="F72" s="2" t="s">
        <v>233</v>
      </c>
      <c r="G72" s="2">
        <v>0</v>
      </c>
      <c r="H72" s="2">
        <v>0</v>
      </c>
      <c r="I72" s="1">
        <v>0</v>
      </c>
      <c r="J72" s="3" t="s">
        <v>17</v>
      </c>
      <c r="K72" s="2" t="str">
        <f>J72*478.27</f>
        <v>0</v>
      </c>
      <c r="L72" s="5"/>
    </row>
    <row r="73" spans="1:12" customHeight="1" ht="105" outlineLevel="4">
      <c r="A73" s="1"/>
      <c r="B73" s="1">
        <v>827391</v>
      </c>
      <c r="C73" s="1" t="s">
        <v>237</v>
      </c>
      <c r="D73" s="1" t="s">
        <v>238</v>
      </c>
      <c r="E73" s="2" t="s">
        <v>239</v>
      </c>
      <c r="F73" s="2" t="s">
        <v>240</v>
      </c>
      <c r="G73" s="2" t="s">
        <v>38</v>
      </c>
      <c r="H73" s="2">
        <v>0</v>
      </c>
      <c r="I73" s="1">
        <v>0</v>
      </c>
      <c r="J73" s="3" t="s">
        <v>17</v>
      </c>
      <c r="K73" s="2" t="str">
        <f>J73*529.73</f>
        <v>0</v>
      </c>
      <c r="L73" s="5"/>
    </row>
    <row r="74" spans="1:12" customHeight="1" ht="105" outlineLevel="4">
      <c r="A74" s="1"/>
      <c r="B74" s="1">
        <v>827392</v>
      </c>
      <c r="C74" s="1" t="s">
        <v>241</v>
      </c>
      <c r="D74" s="1" t="s">
        <v>242</v>
      </c>
      <c r="E74" s="2" t="s">
        <v>243</v>
      </c>
      <c r="F74" s="2" t="s">
        <v>244</v>
      </c>
      <c r="G74" s="2">
        <v>9</v>
      </c>
      <c r="H74" s="2">
        <v>0</v>
      </c>
      <c r="I74" s="1">
        <v>0</v>
      </c>
      <c r="J74" s="3" t="s">
        <v>17</v>
      </c>
      <c r="K74" s="2" t="str">
        <f>J74*426.81</f>
        <v>0</v>
      </c>
      <c r="L74" s="5"/>
    </row>
    <row r="75" spans="1:12" customHeight="1" ht="105" outlineLevel="4">
      <c r="A75" s="1"/>
      <c r="B75" s="1">
        <v>827393</v>
      </c>
      <c r="C75" s="1" t="s">
        <v>245</v>
      </c>
      <c r="D75" s="1" t="s">
        <v>246</v>
      </c>
      <c r="E75" s="2" t="s">
        <v>247</v>
      </c>
      <c r="F75" s="2" t="s">
        <v>248</v>
      </c>
      <c r="G75" s="2">
        <v>0</v>
      </c>
      <c r="H75" s="2">
        <v>0</v>
      </c>
      <c r="I75" s="1" t="s">
        <v>221</v>
      </c>
      <c r="J75" s="3" t="s">
        <v>17</v>
      </c>
      <c r="K75" s="2" t="str">
        <f>J75*488.86</f>
        <v>0</v>
      </c>
      <c r="L75" s="5"/>
    </row>
    <row r="76" spans="1:12" customHeight="1" ht="105" outlineLevel="4">
      <c r="A76" s="1"/>
      <c r="B76" s="1">
        <v>827394</v>
      </c>
      <c r="C76" s="1" t="s">
        <v>249</v>
      </c>
      <c r="D76" s="1" t="s">
        <v>250</v>
      </c>
      <c r="E76" s="2" t="s">
        <v>251</v>
      </c>
      <c r="F76" s="2" t="s">
        <v>252</v>
      </c>
      <c r="G76" s="2">
        <v>0</v>
      </c>
      <c r="H76" s="2">
        <v>0</v>
      </c>
      <c r="I76" s="1">
        <v>0</v>
      </c>
      <c r="J76" s="3" t="s">
        <v>17</v>
      </c>
      <c r="K76" s="2" t="str">
        <f>J76*508.54</f>
        <v>0</v>
      </c>
      <c r="L76" s="5"/>
    </row>
    <row r="77" spans="1:12" customHeight="1" ht="105" outlineLevel="4">
      <c r="A77" s="1"/>
      <c r="B77" s="1">
        <v>827395</v>
      </c>
      <c r="C77" s="1" t="s">
        <v>253</v>
      </c>
      <c r="D77" s="1" t="s">
        <v>254</v>
      </c>
      <c r="E77" s="2" t="s">
        <v>255</v>
      </c>
      <c r="F77" s="2" t="s">
        <v>240</v>
      </c>
      <c r="G77" s="2">
        <v>0</v>
      </c>
      <c r="H77" s="2">
        <v>0</v>
      </c>
      <c r="I77" s="1" t="s">
        <v>159</v>
      </c>
      <c r="J77" s="3" t="s">
        <v>17</v>
      </c>
      <c r="K77" s="2" t="str">
        <f>J77*529.73</f>
        <v>0</v>
      </c>
      <c r="L77" s="5"/>
    </row>
    <row r="78" spans="1:12" customHeight="1" ht="105" outlineLevel="4">
      <c r="A78" s="1"/>
      <c r="B78" s="1">
        <v>827396</v>
      </c>
      <c r="C78" s="1" t="s">
        <v>256</v>
      </c>
      <c r="D78" s="1" t="s">
        <v>257</v>
      </c>
      <c r="E78" s="2" t="s">
        <v>258</v>
      </c>
      <c r="F78" s="2" t="s">
        <v>259</v>
      </c>
      <c r="G78" s="2">
        <v>4</v>
      </c>
      <c r="H78" s="2">
        <v>0</v>
      </c>
      <c r="I78" s="1">
        <v>10</v>
      </c>
      <c r="J78" s="3" t="s">
        <v>17</v>
      </c>
      <c r="K78" s="2" t="str">
        <f>J78*599.35</f>
        <v>0</v>
      </c>
      <c r="L78" s="5"/>
    </row>
    <row r="79" spans="1:12" customHeight="1" ht="105" outlineLevel="4">
      <c r="A79" s="1"/>
      <c r="B79" s="1">
        <v>827397</v>
      </c>
      <c r="C79" s="1" t="s">
        <v>260</v>
      </c>
      <c r="D79" s="1" t="s">
        <v>261</v>
      </c>
      <c r="E79" s="2" t="s">
        <v>262</v>
      </c>
      <c r="F79" s="2" t="s">
        <v>263</v>
      </c>
      <c r="G79" s="2" t="s">
        <v>38</v>
      </c>
      <c r="H79" s="2">
        <v>0</v>
      </c>
      <c r="I79" s="1">
        <v>0</v>
      </c>
      <c r="J79" s="3" t="s">
        <v>17</v>
      </c>
      <c r="K79" s="2" t="str">
        <f>J79*814.27</f>
        <v>0</v>
      </c>
      <c r="L79" s="5"/>
    </row>
    <row r="80" spans="1:12" customHeight="1" ht="105" outlineLevel="4">
      <c r="A80" s="1"/>
      <c r="B80" s="1">
        <v>827398</v>
      </c>
      <c r="C80" s="1" t="s">
        <v>264</v>
      </c>
      <c r="D80" s="1" t="s">
        <v>265</v>
      </c>
      <c r="E80" s="2" t="s">
        <v>266</v>
      </c>
      <c r="F80" s="2" t="s">
        <v>267</v>
      </c>
      <c r="G80" s="2" t="s">
        <v>221</v>
      </c>
      <c r="H80" s="2">
        <v>0</v>
      </c>
      <c r="I80" s="1">
        <v>0</v>
      </c>
      <c r="J80" s="3" t="s">
        <v>17</v>
      </c>
      <c r="K80" s="2" t="str">
        <f>J80*413.19</f>
        <v>0</v>
      </c>
      <c r="L80" s="5"/>
    </row>
    <row r="81" spans="1:12" customHeight="1" ht="105" outlineLevel="4">
      <c r="A81" s="1"/>
      <c r="B81" s="1">
        <v>827399</v>
      </c>
      <c r="C81" s="1" t="s">
        <v>268</v>
      </c>
      <c r="D81" s="1" t="s">
        <v>269</v>
      </c>
      <c r="E81" s="2" t="s">
        <v>270</v>
      </c>
      <c r="F81" s="2" t="s">
        <v>271</v>
      </c>
      <c r="G81" s="2">
        <v>10</v>
      </c>
      <c r="H81" s="2">
        <v>0</v>
      </c>
      <c r="I81" s="1">
        <v>0</v>
      </c>
      <c r="J81" s="3" t="s">
        <v>17</v>
      </c>
      <c r="K81" s="2" t="str">
        <f>J81*522.16</f>
        <v>0</v>
      </c>
      <c r="L81" s="5"/>
    </row>
    <row r="82" spans="1:12" customHeight="1" ht="105" outlineLevel="4">
      <c r="A82" s="1"/>
      <c r="B82" s="1">
        <v>827400</v>
      </c>
      <c r="C82" s="1" t="s">
        <v>272</v>
      </c>
      <c r="D82" s="1" t="s">
        <v>273</v>
      </c>
      <c r="E82" s="2" t="s">
        <v>274</v>
      </c>
      <c r="F82" s="2" t="s">
        <v>275</v>
      </c>
      <c r="G82" s="2">
        <v>0</v>
      </c>
      <c r="H82" s="2">
        <v>0</v>
      </c>
      <c r="I82" s="1">
        <v>0</v>
      </c>
      <c r="J82" s="3" t="s">
        <v>17</v>
      </c>
      <c r="K82" s="2" t="str">
        <f>J82*443.46</f>
        <v>0</v>
      </c>
      <c r="L82" s="5"/>
    </row>
    <row r="83" spans="1:12" customHeight="1" ht="105" outlineLevel="4">
      <c r="A83" s="1"/>
      <c r="B83" s="1">
        <v>834144</v>
      </c>
      <c r="C83" s="1" t="s">
        <v>276</v>
      </c>
      <c r="D83" s="1" t="s">
        <v>277</v>
      </c>
      <c r="E83" s="2" t="s">
        <v>278</v>
      </c>
      <c r="F83" s="2" t="s">
        <v>279</v>
      </c>
      <c r="G83" s="2" t="s">
        <v>159</v>
      </c>
      <c r="H83" s="2">
        <v>0</v>
      </c>
      <c r="I83" s="1">
        <v>0</v>
      </c>
      <c r="J83" s="3" t="s">
        <v>17</v>
      </c>
      <c r="K83" s="2" t="str">
        <f>J83*581.19</f>
        <v>0</v>
      </c>
      <c r="L83" s="5"/>
    </row>
    <row r="84" spans="1:12" customHeight="1" ht="105" outlineLevel="4">
      <c r="A84" s="1"/>
      <c r="B84" s="1">
        <v>834694</v>
      </c>
      <c r="C84" s="1" t="s">
        <v>280</v>
      </c>
      <c r="D84" s="1" t="s">
        <v>281</v>
      </c>
      <c r="E84" s="2" t="s">
        <v>282</v>
      </c>
      <c r="F84" s="2" t="s">
        <v>283</v>
      </c>
      <c r="G84" s="2" t="s">
        <v>38</v>
      </c>
      <c r="H84" s="2">
        <v>0</v>
      </c>
      <c r="I84" s="1">
        <v>0</v>
      </c>
      <c r="J84" s="3" t="s">
        <v>17</v>
      </c>
      <c r="K84" s="2" t="str">
        <f>J84*738.59</f>
        <v>0</v>
      </c>
      <c r="L84" s="5"/>
    </row>
    <row r="85" spans="1:12" customHeight="1" ht="105" outlineLevel="4">
      <c r="A85" s="1"/>
      <c r="B85" s="1">
        <v>834695</v>
      </c>
      <c r="C85" s="1" t="s">
        <v>284</v>
      </c>
      <c r="D85" s="1" t="s">
        <v>285</v>
      </c>
      <c r="E85" s="2" t="s">
        <v>286</v>
      </c>
      <c r="F85" s="2" t="s">
        <v>283</v>
      </c>
      <c r="G85" s="2" t="s">
        <v>38</v>
      </c>
      <c r="H85" s="2">
        <v>0</v>
      </c>
      <c r="I85" s="1">
        <v>0</v>
      </c>
      <c r="J85" s="3" t="s">
        <v>17</v>
      </c>
      <c r="K85" s="2" t="str">
        <f>J85*738.59</f>
        <v>0</v>
      </c>
      <c r="L85" s="5"/>
    </row>
    <row r="86" spans="1:12" customHeight="1" ht="105" outlineLevel="4">
      <c r="A86" s="1"/>
      <c r="B86" s="1">
        <v>834696</v>
      </c>
      <c r="C86" s="1" t="s">
        <v>287</v>
      </c>
      <c r="D86" s="1" t="s">
        <v>288</v>
      </c>
      <c r="E86" s="2" t="s">
        <v>289</v>
      </c>
      <c r="F86" s="2" t="s">
        <v>283</v>
      </c>
      <c r="G86" s="2">
        <v>1</v>
      </c>
      <c r="H86" s="2">
        <v>0</v>
      </c>
      <c r="I86" s="1">
        <v>0</v>
      </c>
      <c r="J86" s="3" t="s">
        <v>17</v>
      </c>
      <c r="K86" s="2" t="str">
        <f>J86*738.59</f>
        <v>0</v>
      </c>
      <c r="L86" s="5"/>
    </row>
    <row r="87" spans="1:12" customHeight="1" ht="105" outlineLevel="4">
      <c r="A87" s="1"/>
      <c r="B87" s="1">
        <v>878858</v>
      </c>
      <c r="C87" s="1" t="s">
        <v>290</v>
      </c>
      <c r="D87" s="1"/>
      <c r="E87" s="2" t="s">
        <v>291</v>
      </c>
      <c r="F87" s="2" t="s">
        <v>292</v>
      </c>
      <c r="G87" s="2">
        <v>0</v>
      </c>
      <c r="H87" s="2">
        <v>0</v>
      </c>
      <c r="I87" s="1">
        <v>0</v>
      </c>
      <c r="J87" s="3" t="s">
        <v>17</v>
      </c>
      <c r="K87" s="2" t="str">
        <f>J87*841.77</f>
        <v>0</v>
      </c>
      <c r="L87" s="5"/>
    </row>
    <row r="88" spans="1:12" customHeight="1" ht="105" outlineLevel="4">
      <c r="A88" s="1"/>
      <c r="B88" s="1">
        <v>878859</v>
      </c>
      <c r="C88" s="1" t="s">
        <v>293</v>
      </c>
      <c r="D88" s="1"/>
      <c r="E88" s="2" t="s">
        <v>294</v>
      </c>
      <c r="F88" s="2" t="s">
        <v>295</v>
      </c>
      <c r="G88" s="2">
        <v>0</v>
      </c>
      <c r="H88" s="2">
        <v>0</v>
      </c>
      <c r="I88" s="1">
        <v>0</v>
      </c>
      <c r="J88" s="3" t="s">
        <v>17</v>
      </c>
      <c r="K88" s="2" t="str">
        <f>J88*824.09</f>
        <v>0</v>
      </c>
      <c r="L88" s="5"/>
    </row>
    <row r="89" spans="1:12" customHeight="1" ht="105" outlineLevel="4">
      <c r="A89" s="1"/>
      <c r="B89" s="1">
        <v>878860</v>
      </c>
      <c r="C89" s="1" t="s">
        <v>296</v>
      </c>
      <c r="D89" s="1"/>
      <c r="E89" s="2" t="s">
        <v>297</v>
      </c>
      <c r="F89" s="2" t="s">
        <v>295</v>
      </c>
      <c r="G89" s="2">
        <v>0</v>
      </c>
      <c r="H89" s="2">
        <v>0</v>
      </c>
      <c r="I89" s="1">
        <v>0</v>
      </c>
      <c r="J89" s="3" t="s">
        <v>17</v>
      </c>
      <c r="K89" s="2" t="str">
        <f>J89*824.09</f>
        <v>0</v>
      </c>
      <c r="L89" s="5"/>
    </row>
    <row r="90" spans="1:12" customHeight="1" ht="105" outlineLevel="4">
      <c r="A90" s="1"/>
      <c r="B90" s="1">
        <v>878861</v>
      </c>
      <c r="C90" s="1" t="s">
        <v>298</v>
      </c>
      <c r="D90" s="1"/>
      <c r="E90" s="2" t="s">
        <v>299</v>
      </c>
      <c r="F90" s="2" t="s">
        <v>295</v>
      </c>
      <c r="G90" s="2">
        <v>0</v>
      </c>
      <c r="H90" s="2">
        <v>0</v>
      </c>
      <c r="I90" s="1">
        <v>0</v>
      </c>
      <c r="J90" s="3" t="s">
        <v>17</v>
      </c>
      <c r="K90" s="2" t="str">
        <f>J90*824.09</f>
        <v>0</v>
      </c>
      <c r="L90" s="5"/>
    </row>
    <row r="91" spans="1:12" customHeight="1" ht="105" outlineLevel="4">
      <c r="A91" s="1"/>
      <c r="B91" s="1">
        <v>878862</v>
      </c>
      <c r="C91" s="1" t="s">
        <v>300</v>
      </c>
      <c r="D91" s="1"/>
      <c r="E91" s="2" t="s">
        <v>301</v>
      </c>
      <c r="F91" s="2" t="s">
        <v>295</v>
      </c>
      <c r="G91" s="2">
        <v>0</v>
      </c>
      <c r="H91" s="2">
        <v>0</v>
      </c>
      <c r="I91" s="1">
        <v>0</v>
      </c>
      <c r="J91" s="3" t="s">
        <v>17</v>
      </c>
      <c r="K91" s="2" t="str">
        <f>J91*824.09</f>
        <v>0</v>
      </c>
      <c r="L91" s="5"/>
    </row>
    <row r="92" spans="1:12" customHeight="1" ht="105" outlineLevel="4">
      <c r="A92" s="1"/>
      <c r="B92" s="1">
        <v>878863</v>
      </c>
      <c r="C92" s="1" t="s">
        <v>302</v>
      </c>
      <c r="D92" s="1"/>
      <c r="E92" s="2" t="s">
        <v>303</v>
      </c>
      <c r="F92" s="2" t="s">
        <v>295</v>
      </c>
      <c r="G92" s="2">
        <v>2</v>
      </c>
      <c r="H92" s="2">
        <v>0</v>
      </c>
      <c r="I92" s="1">
        <v>0</v>
      </c>
      <c r="J92" s="3" t="s">
        <v>17</v>
      </c>
      <c r="K92" s="2" t="str">
        <f>J92*824.09</f>
        <v>0</v>
      </c>
      <c r="L92" s="5"/>
    </row>
    <row r="93" spans="1:12" customHeight="1" ht="105" outlineLevel="4">
      <c r="A93" s="1"/>
      <c r="B93" s="1">
        <v>878864</v>
      </c>
      <c r="C93" s="1" t="s">
        <v>304</v>
      </c>
      <c r="D93" s="1"/>
      <c r="E93" s="2" t="s">
        <v>305</v>
      </c>
      <c r="F93" s="2" t="s">
        <v>295</v>
      </c>
      <c r="G93" s="2">
        <v>1</v>
      </c>
      <c r="H93" s="2">
        <v>0</v>
      </c>
      <c r="I93" s="1">
        <v>0</v>
      </c>
      <c r="J93" s="3" t="s">
        <v>17</v>
      </c>
      <c r="K93" s="2" t="str">
        <f>J93*824.09</f>
        <v>0</v>
      </c>
      <c r="L93" s="5"/>
    </row>
    <row r="94" spans="1:12" customHeight="1" ht="105" outlineLevel="4">
      <c r="A94" s="1"/>
      <c r="B94" s="1">
        <v>878865</v>
      </c>
      <c r="C94" s="1" t="s">
        <v>306</v>
      </c>
      <c r="D94" s="1"/>
      <c r="E94" s="2" t="s">
        <v>307</v>
      </c>
      <c r="F94" s="2" t="s">
        <v>308</v>
      </c>
      <c r="G94" s="2">
        <v>-3</v>
      </c>
      <c r="H94" s="2">
        <v>0</v>
      </c>
      <c r="I94" s="1" t="s">
        <v>38</v>
      </c>
      <c r="J94" s="3" t="s">
        <v>17</v>
      </c>
      <c r="K94" s="2" t="str">
        <f>J94*176.85</f>
        <v>0</v>
      </c>
      <c r="L94" s="5"/>
    </row>
    <row r="95" spans="1:12" customHeight="1" ht="105" outlineLevel="4">
      <c r="A95" s="1"/>
      <c r="B95" s="1">
        <v>878866</v>
      </c>
      <c r="C95" s="1" t="s">
        <v>309</v>
      </c>
      <c r="D95" s="1"/>
      <c r="E95" s="2" t="s">
        <v>310</v>
      </c>
      <c r="F95" s="2" t="s">
        <v>311</v>
      </c>
      <c r="G95" s="2">
        <v>0</v>
      </c>
      <c r="H95" s="2">
        <v>0</v>
      </c>
      <c r="I95" s="1" t="s">
        <v>38</v>
      </c>
      <c r="J95" s="3" t="s">
        <v>17</v>
      </c>
      <c r="K95" s="2" t="str">
        <f>J95*205.15</f>
        <v>0</v>
      </c>
      <c r="L95" s="5"/>
    </row>
    <row r="96" spans="1:12" customHeight="1" ht="105" outlineLevel="4">
      <c r="A96" s="1"/>
      <c r="B96" s="1">
        <v>878867</v>
      </c>
      <c r="C96" s="1" t="s">
        <v>312</v>
      </c>
      <c r="D96" s="1"/>
      <c r="E96" s="2" t="s">
        <v>313</v>
      </c>
      <c r="F96" s="2" t="s">
        <v>314</v>
      </c>
      <c r="G96" s="2">
        <v>0</v>
      </c>
      <c r="H96" s="2">
        <v>0</v>
      </c>
      <c r="I96" s="1">
        <v>0</v>
      </c>
      <c r="J96" s="3" t="s">
        <v>17</v>
      </c>
      <c r="K96" s="2" t="str">
        <f>J96*290.02</f>
        <v>0</v>
      </c>
      <c r="L96" s="5"/>
    </row>
    <row r="97" spans="1:12" customHeight="1" ht="105" outlineLevel="4">
      <c r="A97" s="1"/>
      <c r="B97" s="1">
        <v>878868</v>
      </c>
      <c r="C97" s="1" t="s">
        <v>315</v>
      </c>
      <c r="D97" s="1"/>
      <c r="E97" s="2" t="s">
        <v>316</v>
      </c>
      <c r="F97" s="2" t="s">
        <v>317</v>
      </c>
      <c r="G97" s="2">
        <v>4</v>
      </c>
      <c r="H97" s="2">
        <v>0</v>
      </c>
      <c r="I97" s="1" t="s">
        <v>38</v>
      </c>
      <c r="J97" s="3" t="s">
        <v>17</v>
      </c>
      <c r="K97" s="2" t="str">
        <f>J97*362.52</f>
        <v>0</v>
      </c>
      <c r="L97" s="5"/>
    </row>
    <row r="98" spans="1:12" customHeight="1" ht="105" outlineLevel="4">
      <c r="A98" s="1"/>
      <c r="B98" s="1">
        <v>878869</v>
      </c>
      <c r="C98" s="1" t="s">
        <v>318</v>
      </c>
      <c r="D98" s="1"/>
      <c r="E98" s="2" t="s">
        <v>319</v>
      </c>
      <c r="F98" s="2" t="s">
        <v>320</v>
      </c>
      <c r="G98" s="2" t="s">
        <v>38</v>
      </c>
      <c r="H98" s="2">
        <v>0</v>
      </c>
      <c r="I98" s="1">
        <v>0</v>
      </c>
      <c r="J98" s="3" t="s">
        <v>17</v>
      </c>
      <c r="K98" s="2" t="str">
        <f>J98*367.83</f>
        <v>0</v>
      </c>
      <c r="L98" s="5"/>
    </row>
    <row r="99" spans="1:12" outlineLevel="2">
      <c r="A99" s="8" t="s">
        <v>321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5"/>
    </row>
    <row r="100" spans="1:12" customHeight="1" ht="105" outlineLevel="4">
      <c r="A100" s="1"/>
      <c r="B100" s="1">
        <v>827368</v>
      </c>
      <c r="C100" s="1" t="s">
        <v>322</v>
      </c>
      <c r="D100" s="1" t="s">
        <v>323</v>
      </c>
      <c r="E100" s="2" t="s">
        <v>324</v>
      </c>
      <c r="F100" s="2" t="s">
        <v>325</v>
      </c>
      <c r="G100" s="2" t="s">
        <v>159</v>
      </c>
      <c r="H100" s="2">
        <v>0</v>
      </c>
      <c r="I100" s="1">
        <v>0</v>
      </c>
      <c r="J100" s="3" t="s">
        <v>17</v>
      </c>
      <c r="K100" s="2" t="str">
        <f>J100*196.76</f>
        <v>0</v>
      </c>
      <c r="L100" s="5"/>
    </row>
    <row r="101" spans="1:12" customHeight="1" ht="105" outlineLevel="4">
      <c r="A101" s="1"/>
      <c r="B101" s="1">
        <v>827369</v>
      </c>
      <c r="C101" s="1" t="s">
        <v>326</v>
      </c>
      <c r="D101" s="1" t="s">
        <v>327</v>
      </c>
      <c r="E101" s="2" t="s">
        <v>328</v>
      </c>
      <c r="F101" s="2" t="s">
        <v>329</v>
      </c>
      <c r="G101" s="2" t="s">
        <v>38</v>
      </c>
      <c r="H101" s="2">
        <v>0</v>
      </c>
      <c r="I101" s="1">
        <v>0</v>
      </c>
      <c r="J101" s="3" t="s">
        <v>17</v>
      </c>
      <c r="K101" s="2" t="str">
        <f>J101*207.35</f>
        <v>0</v>
      </c>
      <c r="L101" s="5"/>
    </row>
    <row r="102" spans="1:12" customHeight="1" ht="105" outlineLevel="4">
      <c r="A102" s="1"/>
      <c r="B102" s="1">
        <v>827370</v>
      </c>
      <c r="C102" s="1" t="s">
        <v>330</v>
      </c>
      <c r="D102" s="1" t="s">
        <v>331</v>
      </c>
      <c r="E102" s="2" t="s">
        <v>332</v>
      </c>
      <c r="F102" s="2" t="s">
        <v>333</v>
      </c>
      <c r="G102" s="2" t="s">
        <v>159</v>
      </c>
      <c r="H102" s="2">
        <v>0</v>
      </c>
      <c r="I102" s="1">
        <v>0</v>
      </c>
      <c r="J102" s="3" t="s">
        <v>17</v>
      </c>
      <c r="K102" s="2" t="str">
        <f>J102*281.51</f>
        <v>0</v>
      </c>
      <c r="L102" s="5"/>
    </row>
    <row r="103" spans="1:12" customHeight="1" ht="105" outlineLevel="4">
      <c r="A103" s="1"/>
      <c r="B103" s="1">
        <v>827371</v>
      </c>
      <c r="C103" s="1" t="s">
        <v>334</v>
      </c>
      <c r="D103" s="1" t="s">
        <v>335</v>
      </c>
      <c r="E103" s="2" t="s">
        <v>336</v>
      </c>
      <c r="F103" s="2" t="s">
        <v>337</v>
      </c>
      <c r="G103" s="2" t="s">
        <v>38</v>
      </c>
      <c r="H103" s="2">
        <v>0</v>
      </c>
      <c r="I103" s="1">
        <v>0</v>
      </c>
      <c r="J103" s="3" t="s">
        <v>17</v>
      </c>
      <c r="K103" s="2" t="str">
        <f>J103*189.19</f>
        <v>0</v>
      </c>
      <c r="L103" s="5"/>
    </row>
    <row r="104" spans="1:12" customHeight="1" ht="105" outlineLevel="4">
      <c r="A104" s="1"/>
      <c r="B104" s="1">
        <v>827372</v>
      </c>
      <c r="C104" s="1" t="s">
        <v>338</v>
      </c>
      <c r="D104" s="1" t="s">
        <v>339</v>
      </c>
      <c r="E104" s="2" t="s">
        <v>340</v>
      </c>
      <c r="F104" s="2" t="s">
        <v>341</v>
      </c>
      <c r="G104" s="2" t="s">
        <v>38</v>
      </c>
      <c r="H104" s="2">
        <v>0</v>
      </c>
      <c r="I104" s="1">
        <v>0</v>
      </c>
      <c r="J104" s="3" t="s">
        <v>17</v>
      </c>
      <c r="K104" s="2" t="str">
        <f>J104*204.32</f>
        <v>0</v>
      </c>
      <c r="L104" s="5"/>
    </row>
    <row r="105" spans="1:12" customHeight="1" ht="105" outlineLevel="4">
      <c r="A105" s="1"/>
      <c r="B105" s="1">
        <v>827373</v>
      </c>
      <c r="C105" s="1" t="s">
        <v>342</v>
      </c>
      <c r="D105" s="1" t="s">
        <v>343</v>
      </c>
      <c r="E105" s="2" t="s">
        <v>344</v>
      </c>
      <c r="F105" s="2" t="s">
        <v>345</v>
      </c>
      <c r="G105" s="2" t="s">
        <v>38</v>
      </c>
      <c r="H105" s="2">
        <v>0</v>
      </c>
      <c r="I105" s="1">
        <v>0</v>
      </c>
      <c r="J105" s="3" t="s">
        <v>17</v>
      </c>
      <c r="K105" s="2" t="str">
        <f>J105*255.78</f>
        <v>0</v>
      </c>
      <c r="L105" s="5"/>
    </row>
    <row r="106" spans="1:12" customHeight="1" ht="105" outlineLevel="4">
      <c r="A106" s="1"/>
      <c r="B106" s="1">
        <v>827374</v>
      </c>
      <c r="C106" s="1" t="s">
        <v>346</v>
      </c>
      <c r="D106" s="1" t="s">
        <v>347</v>
      </c>
      <c r="E106" s="2" t="s">
        <v>348</v>
      </c>
      <c r="F106" s="2" t="s">
        <v>349</v>
      </c>
      <c r="G106" s="2" t="s">
        <v>221</v>
      </c>
      <c r="H106" s="2">
        <v>0</v>
      </c>
      <c r="I106" s="1">
        <v>0</v>
      </c>
      <c r="J106" s="3" t="s">
        <v>17</v>
      </c>
      <c r="K106" s="2" t="str">
        <f>J106*219.46</f>
        <v>0</v>
      </c>
      <c r="L106" s="5"/>
    </row>
    <row r="107" spans="1:12" customHeight="1" ht="105" outlineLevel="4">
      <c r="A107" s="1"/>
      <c r="B107" s="1">
        <v>827375</v>
      </c>
      <c r="C107" s="1" t="s">
        <v>350</v>
      </c>
      <c r="D107" s="1" t="s">
        <v>351</v>
      </c>
      <c r="E107" s="2" t="s">
        <v>352</v>
      </c>
      <c r="F107" s="2" t="s">
        <v>349</v>
      </c>
      <c r="G107" s="2" t="s">
        <v>38</v>
      </c>
      <c r="H107" s="2">
        <v>0</v>
      </c>
      <c r="I107" s="1">
        <v>0</v>
      </c>
      <c r="J107" s="3" t="s">
        <v>17</v>
      </c>
      <c r="K107" s="2" t="str">
        <f>J107*219.46</f>
        <v>0</v>
      </c>
      <c r="L107" s="5"/>
    </row>
    <row r="108" spans="1:12" customHeight="1" ht="105" outlineLevel="4">
      <c r="A108" s="1"/>
      <c r="B108" s="1">
        <v>827376</v>
      </c>
      <c r="C108" s="1" t="s">
        <v>353</v>
      </c>
      <c r="D108" s="1" t="s">
        <v>354</v>
      </c>
      <c r="E108" s="2" t="s">
        <v>355</v>
      </c>
      <c r="F108" s="2" t="s">
        <v>356</v>
      </c>
      <c r="G108" s="2" t="s">
        <v>221</v>
      </c>
      <c r="H108" s="2">
        <v>0</v>
      </c>
      <c r="I108" s="1">
        <v>0</v>
      </c>
      <c r="J108" s="3" t="s">
        <v>17</v>
      </c>
      <c r="K108" s="2" t="str">
        <f>J108*148.32</f>
        <v>0</v>
      </c>
      <c r="L108" s="5"/>
    </row>
    <row r="109" spans="1:12" customHeight="1" ht="105" outlineLevel="4">
      <c r="A109" s="1"/>
      <c r="B109" s="1">
        <v>827377</v>
      </c>
      <c r="C109" s="1" t="s">
        <v>357</v>
      </c>
      <c r="D109" s="1" t="s">
        <v>358</v>
      </c>
      <c r="E109" s="2" t="s">
        <v>359</v>
      </c>
      <c r="F109" s="2" t="s">
        <v>360</v>
      </c>
      <c r="G109" s="2" t="s">
        <v>159</v>
      </c>
      <c r="H109" s="2">
        <v>0</v>
      </c>
      <c r="I109" s="1">
        <v>0</v>
      </c>
      <c r="J109" s="3" t="s">
        <v>17</v>
      </c>
      <c r="K109" s="2" t="str">
        <f>J109*220.97</f>
        <v>0</v>
      </c>
      <c r="L109" s="5"/>
    </row>
    <row r="110" spans="1:12" customHeight="1" ht="105" outlineLevel="4">
      <c r="A110" s="1"/>
      <c r="B110" s="1">
        <v>827378</v>
      </c>
      <c r="C110" s="1" t="s">
        <v>361</v>
      </c>
      <c r="D110" s="1" t="s">
        <v>362</v>
      </c>
      <c r="E110" s="2" t="s">
        <v>363</v>
      </c>
      <c r="F110" s="2" t="s">
        <v>364</v>
      </c>
      <c r="G110" s="2" t="s">
        <v>38</v>
      </c>
      <c r="H110" s="2">
        <v>0</v>
      </c>
      <c r="I110" s="1">
        <v>0</v>
      </c>
      <c r="J110" s="3" t="s">
        <v>17</v>
      </c>
      <c r="K110" s="2" t="str">
        <f>J110*187.68</f>
        <v>0</v>
      </c>
      <c r="L110" s="5"/>
    </row>
    <row r="111" spans="1:12" customHeight="1" ht="105" outlineLevel="4">
      <c r="A111" s="1"/>
      <c r="B111" s="1">
        <v>827379</v>
      </c>
      <c r="C111" s="1" t="s">
        <v>365</v>
      </c>
      <c r="D111" s="1" t="s">
        <v>366</v>
      </c>
      <c r="E111" s="2" t="s">
        <v>367</v>
      </c>
      <c r="F111" s="2" t="s">
        <v>368</v>
      </c>
      <c r="G111" s="2" t="s">
        <v>159</v>
      </c>
      <c r="H111" s="2">
        <v>0</v>
      </c>
      <c r="I111" s="1">
        <v>0</v>
      </c>
      <c r="J111" s="3" t="s">
        <v>17</v>
      </c>
      <c r="K111" s="2" t="str">
        <f>J111*157.41</f>
        <v>0</v>
      </c>
      <c r="L111" s="5"/>
    </row>
    <row r="112" spans="1:12" customHeight="1" ht="105" outlineLevel="4">
      <c r="A112" s="1"/>
      <c r="B112" s="1">
        <v>827380</v>
      </c>
      <c r="C112" s="1" t="s">
        <v>369</v>
      </c>
      <c r="D112" s="1" t="s">
        <v>370</v>
      </c>
      <c r="E112" s="2" t="s">
        <v>371</v>
      </c>
      <c r="F112" s="2" t="s">
        <v>372</v>
      </c>
      <c r="G112" s="2" t="s">
        <v>221</v>
      </c>
      <c r="H112" s="2">
        <v>0</v>
      </c>
      <c r="I112" s="1">
        <v>0</v>
      </c>
      <c r="J112" s="3" t="s">
        <v>17</v>
      </c>
      <c r="K112" s="2" t="str">
        <f>J112*149.84</f>
        <v>0</v>
      </c>
      <c r="L112" s="5"/>
    </row>
    <row r="113" spans="1:12" customHeight="1" ht="105" outlineLevel="4">
      <c r="A113" s="1"/>
      <c r="B113" s="1">
        <v>834138</v>
      </c>
      <c r="C113" s="1" t="s">
        <v>373</v>
      </c>
      <c r="D113" s="1" t="s">
        <v>374</v>
      </c>
      <c r="E113" s="2" t="s">
        <v>375</v>
      </c>
      <c r="F113" s="2" t="s">
        <v>376</v>
      </c>
      <c r="G113" s="2" t="s">
        <v>159</v>
      </c>
      <c r="H113" s="2">
        <v>0</v>
      </c>
      <c r="I113" s="1">
        <v>0</v>
      </c>
      <c r="J113" s="3" t="s">
        <v>17</v>
      </c>
      <c r="K113" s="2" t="str">
        <f>J113*198.27</f>
        <v>0</v>
      </c>
      <c r="L113" s="5"/>
    </row>
    <row r="114" spans="1:12" customHeight="1" ht="105" outlineLevel="4">
      <c r="A114" s="1"/>
      <c r="B114" s="1">
        <v>834139</v>
      </c>
      <c r="C114" s="1" t="s">
        <v>377</v>
      </c>
      <c r="D114" s="1" t="s">
        <v>378</v>
      </c>
      <c r="E114" s="2" t="s">
        <v>379</v>
      </c>
      <c r="F114" s="2" t="s">
        <v>380</v>
      </c>
      <c r="G114" s="2" t="s">
        <v>159</v>
      </c>
      <c r="H114" s="2">
        <v>0</v>
      </c>
      <c r="I114" s="1">
        <v>0</v>
      </c>
      <c r="J114" s="3" t="s">
        <v>17</v>
      </c>
      <c r="K114" s="2" t="str">
        <f>J114*108.97</f>
        <v>0</v>
      </c>
      <c r="L114" s="5"/>
    </row>
    <row r="115" spans="1:12" customHeight="1" ht="105" outlineLevel="4">
      <c r="A115" s="1"/>
      <c r="B115" s="1">
        <v>834140</v>
      </c>
      <c r="C115" s="1" t="s">
        <v>381</v>
      </c>
      <c r="D115" s="1" t="s">
        <v>382</v>
      </c>
      <c r="E115" s="2" t="s">
        <v>383</v>
      </c>
      <c r="F115" s="2" t="s">
        <v>372</v>
      </c>
      <c r="G115" s="2" t="s">
        <v>159</v>
      </c>
      <c r="H115" s="2">
        <v>0</v>
      </c>
      <c r="I115" s="1">
        <v>0</v>
      </c>
      <c r="J115" s="3" t="s">
        <v>17</v>
      </c>
      <c r="K115" s="2" t="str">
        <f>J115*149.84</f>
        <v>0</v>
      </c>
      <c r="L115" s="5"/>
    </row>
    <row r="116" spans="1:12" customHeight="1" ht="105" outlineLevel="4">
      <c r="A116" s="1"/>
      <c r="B116" s="1">
        <v>834141</v>
      </c>
      <c r="C116" s="1" t="s">
        <v>384</v>
      </c>
      <c r="D116" s="1" t="s">
        <v>385</v>
      </c>
      <c r="E116" s="2" t="s">
        <v>386</v>
      </c>
      <c r="F116" s="2" t="s">
        <v>387</v>
      </c>
      <c r="G116" s="2" t="s">
        <v>159</v>
      </c>
      <c r="H116" s="2">
        <v>0</v>
      </c>
      <c r="I116" s="1">
        <v>0</v>
      </c>
      <c r="J116" s="3" t="s">
        <v>17</v>
      </c>
      <c r="K116" s="2" t="str">
        <f>J116*177.08</f>
        <v>0</v>
      </c>
      <c r="L116" s="5"/>
    </row>
    <row r="117" spans="1:12" customHeight="1" ht="105" outlineLevel="4">
      <c r="A117" s="1"/>
      <c r="B117" s="1">
        <v>834142</v>
      </c>
      <c r="C117" s="1" t="s">
        <v>388</v>
      </c>
      <c r="D117" s="1" t="s">
        <v>389</v>
      </c>
      <c r="E117" s="2" t="s">
        <v>390</v>
      </c>
      <c r="F117" s="2" t="s">
        <v>391</v>
      </c>
      <c r="G117" s="2">
        <v>0</v>
      </c>
      <c r="H117" s="2">
        <v>0</v>
      </c>
      <c r="I117" s="1" t="s">
        <v>159</v>
      </c>
      <c r="J117" s="3" t="s">
        <v>17</v>
      </c>
      <c r="K117" s="2" t="str">
        <f>J117*211.89</f>
        <v>0</v>
      </c>
      <c r="L117" s="5"/>
    </row>
    <row r="118" spans="1:12" customHeight="1" ht="105" outlineLevel="4">
      <c r="A118" s="1"/>
      <c r="B118" s="1">
        <v>878978</v>
      </c>
      <c r="C118" s="1" t="s">
        <v>392</v>
      </c>
      <c r="D118" s="1">
        <v>575517</v>
      </c>
      <c r="E118" s="2" t="s">
        <v>393</v>
      </c>
      <c r="F118" s="2" t="s">
        <v>394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J118*99.46</f>
        <v>0</v>
      </c>
      <c r="L118" s="5"/>
    </row>
    <row r="119" spans="1:12" customHeight="1" ht="105" outlineLevel="4">
      <c r="A119" s="1"/>
      <c r="B119" s="1">
        <v>878979</v>
      </c>
      <c r="C119" s="1" t="s">
        <v>395</v>
      </c>
      <c r="D119" s="1">
        <v>575787</v>
      </c>
      <c r="E119" s="2" t="s">
        <v>396</v>
      </c>
      <c r="F119" s="2" t="s">
        <v>154</v>
      </c>
      <c r="G119" s="2" t="s">
        <v>38</v>
      </c>
      <c r="H119" s="2">
        <v>0</v>
      </c>
      <c r="I119" s="1">
        <v>0</v>
      </c>
      <c r="J119" s="3" t="s">
        <v>17</v>
      </c>
      <c r="K119" s="2" t="str">
        <f>J119*56.00</f>
        <v>0</v>
      </c>
      <c r="L119" s="5"/>
    </row>
    <row r="120" spans="1:12" customHeight="1" ht="105" outlineLevel="4">
      <c r="A120" s="1"/>
      <c r="B120" s="1">
        <v>883298</v>
      </c>
      <c r="C120" s="1" t="s">
        <v>397</v>
      </c>
      <c r="D120" s="1"/>
      <c r="E120" s="2" t="s">
        <v>398</v>
      </c>
      <c r="F120" s="2" t="s">
        <v>399</v>
      </c>
      <c r="G120" s="2">
        <v>4</v>
      </c>
      <c r="H120" s="2">
        <v>0</v>
      </c>
      <c r="I120" s="1">
        <v>0</v>
      </c>
      <c r="J120" s="3" t="s">
        <v>17</v>
      </c>
      <c r="K120" s="2" t="str">
        <f>J120*113.18</f>
        <v>0</v>
      </c>
      <c r="L120" s="5"/>
    </row>
    <row r="121" spans="1:12" outlineLevel="2">
      <c r="A121" s="8" t="s">
        <v>400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5"/>
    </row>
    <row r="122" spans="1:12" customHeight="1" ht="105" outlineLevel="4">
      <c r="A122" s="1"/>
      <c r="B122" s="1">
        <v>827405</v>
      </c>
      <c r="C122" s="1" t="s">
        <v>401</v>
      </c>
      <c r="D122" s="1" t="s">
        <v>402</v>
      </c>
      <c r="E122" s="2" t="s">
        <v>403</v>
      </c>
      <c r="F122" s="2" t="s">
        <v>404</v>
      </c>
      <c r="G122" s="2" t="s">
        <v>38</v>
      </c>
      <c r="H122" s="2">
        <v>0</v>
      </c>
      <c r="I122" s="1">
        <v>0</v>
      </c>
      <c r="J122" s="3" t="s">
        <v>17</v>
      </c>
      <c r="K122" s="2" t="str">
        <f>J122*52.97</f>
        <v>0</v>
      </c>
      <c r="L122" s="5"/>
    </row>
    <row r="123" spans="1:12" customHeight="1" ht="105" outlineLevel="4">
      <c r="A123" s="1"/>
      <c r="B123" s="1">
        <v>827406</v>
      </c>
      <c r="C123" s="1" t="s">
        <v>405</v>
      </c>
      <c r="D123" s="1" t="s">
        <v>406</v>
      </c>
      <c r="E123" s="2" t="s">
        <v>407</v>
      </c>
      <c r="F123" s="2" t="s">
        <v>408</v>
      </c>
      <c r="G123" s="2" t="s">
        <v>38</v>
      </c>
      <c r="H123" s="2">
        <v>0</v>
      </c>
      <c r="I123" s="1">
        <v>0</v>
      </c>
      <c r="J123" s="3" t="s">
        <v>17</v>
      </c>
      <c r="K123" s="2" t="str">
        <f>J123*40.86</f>
        <v>0</v>
      </c>
      <c r="L123" s="5"/>
    </row>
    <row r="124" spans="1:12" customHeight="1" ht="105" outlineLevel="4">
      <c r="A124" s="1"/>
      <c r="B124" s="1">
        <v>827409</v>
      </c>
      <c r="C124" s="1" t="s">
        <v>409</v>
      </c>
      <c r="D124" s="1" t="s">
        <v>410</v>
      </c>
      <c r="E124" s="2" t="s">
        <v>411</v>
      </c>
      <c r="F124" s="2" t="s">
        <v>412</v>
      </c>
      <c r="G124" s="2" t="s">
        <v>413</v>
      </c>
      <c r="H124" s="2">
        <v>0</v>
      </c>
      <c r="I124" s="1">
        <v>0</v>
      </c>
      <c r="J124" s="3" t="s">
        <v>17</v>
      </c>
      <c r="K124" s="2" t="str">
        <f>J124*46.92</f>
        <v>0</v>
      </c>
      <c r="L124" s="5"/>
    </row>
    <row r="125" spans="1:12" customHeight="1" ht="105" outlineLevel="4">
      <c r="A125" s="1"/>
      <c r="B125" s="1">
        <v>827410</v>
      </c>
      <c r="C125" s="1" t="s">
        <v>414</v>
      </c>
      <c r="D125" s="1" t="s">
        <v>415</v>
      </c>
      <c r="E125" s="2" t="s">
        <v>416</v>
      </c>
      <c r="F125" s="2" t="s">
        <v>412</v>
      </c>
      <c r="G125" s="2" t="s">
        <v>159</v>
      </c>
      <c r="H125" s="2">
        <v>0</v>
      </c>
      <c r="I125" s="1">
        <v>0</v>
      </c>
      <c r="J125" s="3" t="s">
        <v>17</v>
      </c>
      <c r="K125" s="2" t="str">
        <f>J125*46.92</f>
        <v>0</v>
      </c>
      <c r="L125" s="5"/>
    </row>
    <row r="126" spans="1:12" customHeight="1" ht="105" outlineLevel="4">
      <c r="A126" s="1"/>
      <c r="B126" s="1">
        <v>827412</v>
      </c>
      <c r="C126" s="1" t="s">
        <v>417</v>
      </c>
      <c r="D126" s="1" t="s">
        <v>418</v>
      </c>
      <c r="E126" s="2" t="s">
        <v>419</v>
      </c>
      <c r="F126" s="2" t="s">
        <v>229</v>
      </c>
      <c r="G126" s="2" t="s">
        <v>38</v>
      </c>
      <c r="H126" s="2">
        <v>0</v>
      </c>
      <c r="I126" s="1">
        <v>0</v>
      </c>
      <c r="J126" s="3" t="s">
        <v>17</v>
      </c>
      <c r="K126" s="2" t="str">
        <f>J126*417.73</f>
        <v>0</v>
      </c>
      <c r="L126" s="5"/>
    </row>
    <row r="127" spans="1:12" customHeight="1" ht="105" outlineLevel="4">
      <c r="A127" s="1"/>
      <c r="B127" s="1">
        <v>827414</v>
      </c>
      <c r="C127" s="1" t="s">
        <v>420</v>
      </c>
      <c r="D127" s="1" t="s">
        <v>421</v>
      </c>
      <c r="E127" s="2" t="s">
        <v>422</v>
      </c>
      <c r="F127" s="2" t="s">
        <v>216</v>
      </c>
      <c r="G127" s="2">
        <v>6</v>
      </c>
      <c r="H127" s="2">
        <v>0</v>
      </c>
      <c r="I127" s="1">
        <v>0</v>
      </c>
      <c r="J127" s="3" t="s">
        <v>17</v>
      </c>
      <c r="K127" s="2" t="str">
        <f>J127*193.73</f>
        <v>0</v>
      </c>
      <c r="L127" s="5"/>
    </row>
    <row r="128" spans="1:12" customHeight="1" ht="105" outlineLevel="4">
      <c r="A128" s="1"/>
      <c r="B128" s="1">
        <v>827951</v>
      </c>
      <c r="C128" s="1" t="s">
        <v>423</v>
      </c>
      <c r="D128" s="1" t="s">
        <v>424</v>
      </c>
      <c r="E128" s="2" t="s">
        <v>425</v>
      </c>
      <c r="F128" s="2" t="s">
        <v>426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J128*127.14</f>
        <v>0</v>
      </c>
      <c r="L128" s="5"/>
    </row>
    <row r="129" spans="1:12" outlineLevel="2">
      <c r="A129" s="8" t="s">
        <v>427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5"/>
    </row>
    <row r="130" spans="1:12" customHeight="1" ht="105" outlineLevel="4">
      <c r="A130" s="1"/>
      <c r="B130" s="1">
        <v>827358</v>
      </c>
      <c r="C130" s="1" t="s">
        <v>428</v>
      </c>
      <c r="D130" s="1" t="s">
        <v>429</v>
      </c>
      <c r="E130" s="2" t="s">
        <v>430</v>
      </c>
      <c r="F130" s="2" t="s">
        <v>431</v>
      </c>
      <c r="G130" s="2" t="s">
        <v>159</v>
      </c>
      <c r="H130" s="2">
        <v>0</v>
      </c>
      <c r="I130" s="1">
        <v>0</v>
      </c>
      <c r="J130" s="3" t="s">
        <v>17</v>
      </c>
      <c r="K130" s="2" t="str">
        <f>J130*122.59</f>
        <v>0</v>
      </c>
      <c r="L130" s="5"/>
    </row>
    <row r="131" spans="1:12" customHeight="1" ht="105" outlineLevel="4">
      <c r="A131" s="1"/>
      <c r="B131" s="1">
        <v>827359</v>
      </c>
      <c r="C131" s="1" t="s">
        <v>432</v>
      </c>
      <c r="D131" s="1" t="s">
        <v>433</v>
      </c>
      <c r="E131" s="2" t="s">
        <v>434</v>
      </c>
      <c r="F131" s="2" t="s">
        <v>435</v>
      </c>
      <c r="G131" s="2">
        <v>-20</v>
      </c>
      <c r="H131" s="2">
        <v>0</v>
      </c>
      <c r="I131" s="1" t="s">
        <v>159</v>
      </c>
      <c r="J131" s="3" t="s">
        <v>17</v>
      </c>
      <c r="K131" s="2" t="str">
        <f>J131*172.54</f>
        <v>0</v>
      </c>
      <c r="L131" s="5"/>
    </row>
    <row r="132" spans="1:12" customHeight="1" ht="105" outlineLevel="4">
      <c r="A132" s="1"/>
      <c r="B132" s="1">
        <v>827360</v>
      </c>
      <c r="C132" s="1" t="s">
        <v>436</v>
      </c>
      <c r="D132" s="1" t="s">
        <v>437</v>
      </c>
      <c r="E132" s="2" t="s">
        <v>438</v>
      </c>
      <c r="F132" s="2" t="s">
        <v>439</v>
      </c>
      <c r="G132" s="2">
        <v>-15</v>
      </c>
      <c r="H132" s="2">
        <v>0</v>
      </c>
      <c r="I132" s="1" t="s">
        <v>159</v>
      </c>
      <c r="J132" s="3" t="s">
        <v>17</v>
      </c>
      <c r="K132" s="2" t="str">
        <f>J132*137.73</f>
        <v>0</v>
      </c>
      <c r="L132" s="5"/>
    </row>
    <row r="133" spans="1:12" customHeight="1" ht="105" outlineLevel="4">
      <c r="A133" s="1"/>
      <c r="B133" s="1">
        <v>827361</v>
      </c>
      <c r="C133" s="1" t="s">
        <v>440</v>
      </c>
      <c r="D133" s="1" t="s">
        <v>441</v>
      </c>
      <c r="E133" s="2" t="s">
        <v>442</v>
      </c>
      <c r="F133" s="2" t="s">
        <v>443</v>
      </c>
      <c r="G133" s="2">
        <v>-50</v>
      </c>
      <c r="H133" s="2">
        <v>0</v>
      </c>
      <c r="I133" s="1" t="s">
        <v>159</v>
      </c>
      <c r="J133" s="3" t="s">
        <v>17</v>
      </c>
      <c r="K133" s="2" t="str">
        <f>J133*155.89</f>
        <v>0</v>
      </c>
      <c r="L133" s="5"/>
    </row>
    <row r="134" spans="1:12" customHeight="1" ht="105" outlineLevel="4">
      <c r="A134" s="1"/>
      <c r="B134" s="1">
        <v>827362</v>
      </c>
      <c r="C134" s="1" t="s">
        <v>444</v>
      </c>
      <c r="D134" s="1" t="s">
        <v>445</v>
      </c>
      <c r="E134" s="2" t="s">
        <v>446</v>
      </c>
      <c r="F134" s="2" t="s">
        <v>447</v>
      </c>
      <c r="G134" s="2">
        <v>-25</v>
      </c>
      <c r="H134" s="2">
        <v>0</v>
      </c>
      <c r="I134" s="1" t="s">
        <v>159</v>
      </c>
      <c r="J134" s="3" t="s">
        <v>17</v>
      </c>
      <c r="K134" s="2" t="str">
        <f>J134*180.11</f>
        <v>0</v>
      </c>
      <c r="L134" s="5"/>
    </row>
    <row r="135" spans="1:12" customHeight="1" ht="105" outlineLevel="4">
      <c r="A135" s="1"/>
      <c r="B135" s="1">
        <v>827363</v>
      </c>
      <c r="C135" s="1" t="s">
        <v>448</v>
      </c>
      <c r="D135" s="1" t="s">
        <v>449</v>
      </c>
      <c r="E135" s="2" t="s">
        <v>450</v>
      </c>
      <c r="F135" s="2" t="s">
        <v>443</v>
      </c>
      <c r="G135" s="2" t="s">
        <v>159</v>
      </c>
      <c r="H135" s="2">
        <v>0</v>
      </c>
      <c r="I135" s="1">
        <v>0</v>
      </c>
      <c r="J135" s="3" t="s">
        <v>17</v>
      </c>
      <c r="K135" s="2" t="str">
        <f>J135*155.89</f>
        <v>0</v>
      </c>
      <c r="L135" s="5"/>
    </row>
    <row r="136" spans="1:12" customHeight="1" ht="105" outlineLevel="4">
      <c r="A136" s="1"/>
      <c r="B136" s="1">
        <v>827364</v>
      </c>
      <c r="C136" s="1" t="s">
        <v>451</v>
      </c>
      <c r="D136" s="1" t="s">
        <v>452</v>
      </c>
      <c r="E136" s="2" t="s">
        <v>453</v>
      </c>
      <c r="F136" s="2" t="s">
        <v>454</v>
      </c>
      <c r="G136" s="2" t="s">
        <v>159</v>
      </c>
      <c r="H136" s="2">
        <v>0</v>
      </c>
      <c r="I136" s="1">
        <v>0</v>
      </c>
      <c r="J136" s="3" t="s">
        <v>17</v>
      </c>
      <c r="K136" s="2" t="str">
        <f>J136*296.65</f>
        <v>0</v>
      </c>
      <c r="L136" s="5"/>
    </row>
    <row r="137" spans="1:12" customHeight="1" ht="105" outlineLevel="4">
      <c r="A137" s="1"/>
      <c r="B137" s="1">
        <v>834130</v>
      </c>
      <c r="C137" s="1" t="s">
        <v>455</v>
      </c>
      <c r="D137" s="1" t="s">
        <v>456</v>
      </c>
      <c r="E137" s="2" t="s">
        <v>457</v>
      </c>
      <c r="F137" s="2" t="s">
        <v>458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J137*113.51</f>
        <v>0</v>
      </c>
      <c r="L137" s="5"/>
    </row>
    <row r="138" spans="1:12" customHeight="1" ht="105" outlineLevel="4">
      <c r="A138" s="1"/>
      <c r="B138" s="1">
        <v>834131</v>
      </c>
      <c r="C138" s="1" t="s">
        <v>459</v>
      </c>
      <c r="D138" s="1" t="s">
        <v>460</v>
      </c>
      <c r="E138" s="2" t="s">
        <v>461</v>
      </c>
      <c r="F138" s="2" t="s">
        <v>458</v>
      </c>
      <c r="G138" s="2" t="s">
        <v>159</v>
      </c>
      <c r="H138" s="2">
        <v>0</v>
      </c>
      <c r="I138" s="1">
        <v>0</v>
      </c>
      <c r="J138" s="3" t="s">
        <v>17</v>
      </c>
      <c r="K138" s="2" t="str">
        <f>J138*113.51</f>
        <v>0</v>
      </c>
      <c r="L138" s="5"/>
    </row>
    <row r="139" spans="1:12" customHeight="1" ht="105" outlineLevel="4">
      <c r="A139" s="1"/>
      <c r="B139" s="1">
        <v>834132</v>
      </c>
      <c r="C139" s="1" t="s">
        <v>462</v>
      </c>
      <c r="D139" s="1" t="s">
        <v>463</v>
      </c>
      <c r="E139" s="2" t="s">
        <v>464</v>
      </c>
      <c r="F139" s="2" t="s">
        <v>465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J139*393.51</f>
        <v>0</v>
      </c>
      <c r="L139" s="5"/>
    </row>
    <row r="140" spans="1:12" customHeight="1" ht="105" outlineLevel="4">
      <c r="A140" s="1"/>
      <c r="B140" s="1">
        <v>834133</v>
      </c>
      <c r="C140" s="1" t="s">
        <v>466</v>
      </c>
      <c r="D140" s="1" t="s">
        <v>467</v>
      </c>
      <c r="E140" s="2" t="s">
        <v>468</v>
      </c>
      <c r="F140" s="2" t="s">
        <v>469</v>
      </c>
      <c r="G140" s="2" t="s">
        <v>159</v>
      </c>
      <c r="H140" s="2">
        <v>0</v>
      </c>
      <c r="I140" s="1">
        <v>0</v>
      </c>
      <c r="J140" s="3" t="s">
        <v>17</v>
      </c>
      <c r="K140" s="2" t="str">
        <f>J140*393.56</f>
        <v>0</v>
      </c>
      <c r="L140" s="5"/>
    </row>
    <row r="141" spans="1:12" customHeight="1" ht="105" outlineLevel="4">
      <c r="A141" s="1"/>
      <c r="B141" s="1">
        <v>834134</v>
      </c>
      <c r="C141" s="1" t="s">
        <v>470</v>
      </c>
      <c r="D141" s="1" t="s">
        <v>471</v>
      </c>
      <c r="E141" s="2" t="s">
        <v>472</v>
      </c>
      <c r="F141" s="2" t="s">
        <v>469</v>
      </c>
      <c r="G141" s="2" t="s">
        <v>159</v>
      </c>
      <c r="H141" s="2">
        <v>0</v>
      </c>
      <c r="I141" s="1">
        <v>0</v>
      </c>
      <c r="J141" s="3" t="s">
        <v>17</v>
      </c>
      <c r="K141" s="2" t="str">
        <f>J141*393.56</f>
        <v>0</v>
      </c>
      <c r="L141" s="5"/>
    </row>
    <row r="142" spans="1:12" customHeight="1" ht="105" outlineLevel="4">
      <c r="A142" s="1"/>
      <c r="B142" s="1">
        <v>834135</v>
      </c>
      <c r="C142" s="1" t="s">
        <v>473</v>
      </c>
      <c r="D142" s="1" t="s">
        <v>474</v>
      </c>
      <c r="E142" s="2" t="s">
        <v>475</v>
      </c>
      <c r="F142" s="2" t="s">
        <v>476</v>
      </c>
      <c r="G142" s="2">
        <v>0</v>
      </c>
      <c r="H142" s="2">
        <v>0</v>
      </c>
      <c r="I142" s="1">
        <v>0</v>
      </c>
      <c r="J142" s="3" t="s">
        <v>477</v>
      </c>
      <c r="K142" s="2" t="str">
        <f>J142*0.00</f>
        <v>0</v>
      </c>
      <c r="L142" s="5"/>
    </row>
    <row r="143" spans="1:12" customHeight="1" ht="105" outlineLevel="4">
      <c r="A143" s="1"/>
      <c r="B143" s="1">
        <v>834136</v>
      </c>
      <c r="C143" s="1" t="s">
        <v>478</v>
      </c>
      <c r="D143" s="1" t="s">
        <v>479</v>
      </c>
      <c r="E143" s="2" t="s">
        <v>480</v>
      </c>
      <c r="F143" s="2" t="s">
        <v>481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J143*357.92</f>
        <v>0</v>
      </c>
      <c r="L143" s="5"/>
    </row>
    <row r="144" spans="1:12" customHeight="1" ht="105" outlineLevel="4">
      <c r="A144" s="1"/>
      <c r="B144" s="1">
        <v>834137</v>
      </c>
      <c r="C144" s="1" t="s">
        <v>482</v>
      </c>
      <c r="D144" s="1" t="s">
        <v>483</v>
      </c>
      <c r="E144" s="2" t="s">
        <v>484</v>
      </c>
      <c r="F144" s="2" t="s">
        <v>476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J144*0.00</f>
        <v>0</v>
      </c>
      <c r="L144" s="5"/>
    </row>
    <row r="145" spans="1:12" customHeight="1" ht="105" outlineLevel="4">
      <c r="A145" s="1"/>
      <c r="B145" s="1">
        <v>834143</v>
      </c>
      <c r="C145" s="1" t="s">
        <v>485</v>
      </c>
      <c r="D145" s="1" t="s">
        <v>486</v>
      </c>
      <c r="E145" s="2" t="s">
        <v>487</v>
      </c>
      <c r="F145" s="2" t="s">
        <v>488</v>
      </c>
      <c r="G145" s="2" t="s">
        <v>221</v>
      </c>
      <c r="H145" s="2">
        <v>0</v>
      </c>
      <c r="I145" s="1">
        <v>0</v>
      </c>
      <c r="J145" s="3" t="s">
        <v>17</v>
      </c>
      <c r="K145" s="2" t="str">
        <f>J145*151.35</f>
        <v>0</v>
      </c>
      <c r="L145" s="5"/>
    </row>
    <row r="146" spans="1:12" customHeight="1" ht="105" outlineLevel="4">
      <c r="A146" s="1"/>
      <c r="B146" s="1">
        <v>831663</v>
      </c>
      <c r="C146" s="1" t="s">
        <v>489</v>
      </c>
      <c r="D146" s="1" t="s">
        <v>490</v>
      </c>
      <c r="E146" s="2" t="s">
        <v>491</v>
      </c>
      <c r="F146" s="2" t="s">
        <v>492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J146*308.76</f>
        <v>0</v>
      </c>
      <c r="L146" s="5"/>
    </row>
    <row r="147" spans="1:12" customHeight="1" ht="105" outlineLevel="4">
      <c r="A147" s="1"/>
      <c r="B147" s="1">
        <v>831664</v>
      </c>
      <c r="C147" s="1" t="s">
        <v>493</v>
      </c>
      <c r="D147" s="1" t="s">
        <v>494</v>
      </c>
      <c r="E147" s="2" t="s">
        <v>495</v>
      </c>
      <c r="F147" s="2" t="s">
        <v>492</v>
      </c>
      <c r="G147" s="2">
        <v>5</v>
      </c>
      <c r="H147" s="2">
        <v>0</v>
      </c>
      <c r="I147" s="1">
        <v>0</v>
      </c>
      <c r="J147" s="3" t="s">
        <v>17</v>
      </c>
      <c r="K147" s="2" t="str">
        <f>J147*308.76</f>
        <v>0</v>
      </c>
      <c r="L147" s="5"/>
    </row>
    <row r="148" spans="1:12" customHeight="1" ht="105" outlineLevel="4">
      <c r="A148" s="1"/>
      <c r="B148" s="1">
        <v>823304</v>
      </c>
      <c r="C148" s="1" t="s">
        <v>496</v>
      </c>
      <c r="D148" s="1" t="s">
        <v>497</v>
      </c>
      <c r="E148" s="2" t="s">
        <v>498</v>
      </c>
      <c r="F148" s="2" t="s">
        <v>499</v>
      </c>
      <c r="G148" s="2" t="s">
        <v>221</v>
      </c>
      <c r="H148" s="2">
        <v>0</v>
      </c>
      <c r="I148" s="1">
        <v>0</v>
      </c>
      <c r="J148" s="3" t="s">
        <v>17</v>
      </c>
      <c r="K148" s="2" t="str">
        <f>J148*121.98</f>
        <v>0</v>
      </c>
      <c r="L148" s="5"/>
    </row>
    <row r="149" spans="1:12" customHeight="1" ht="105" outlineLevel="4">
      <c r="A149" s="1"/>
      <c r="B149" s="1">
        <v>823305</v>
      </c>
      <c r="C149" s="1" t="s">
        <v>500</v>
      </c>
      <c r="D149" s="1" t="s">
        <v>501</v>
      </c>
      <c r="E149" s="2" t="s">
        <v>502</v>
      </c>
      <c r="F149" s="2" t="s">
        <v>503</v>
      </c>
      <c r="G149" s="2" t="s">
        <v>413</v>
      </c>
      <c r="H149" s="2">
        <v>0</v>
      </c>
      <c r="I149" s="1">
        <v>0</v>
      </c>
      <c r="J149" s="3" t="s">
        <v>17</v>
      </c>
      <c r="K149" s="2" t="str">
        <f>J149*188.91</f>
        <v>0</v>
      </c>
      <c r="L149" s="5"/>
    </row>
    <row r="150" spans="1:12" customHeight="1" ht="105" outlineLevel="4">
      <c r="A150" s="1"/>
      <c r="B150" s="1">
        <v>823306</v>
      </c>
      <c r="C150" s="1" t="s">
        <v>504</v>
      </c>
      <c r="D150" s="1" t="s">
        <v>505</v>
      </c>
      <c r="E150" s="2" t="s">
        <v>506</v>
      </c>
      <c r="F150" s="2" t="s">
        <v>507</v>
      </c>
      <c r="G150" s="2" t="s">
        <v>413</v>
      </c>
      <c r="H150" s="2">
        <v>0</v>
      </c>
      <c r="I150" s="1">
        <v>0</v>
      </c>
      <c r="J150" s="3" t="s">
        <v>508</v>
      </c>
      <c r="K150" s="2" t="str">
        <f>J150*383.78</f>
        <v>0</v>
      </c>
      <c r="L150" s="5"/>
    </row>
    <row r="151" spans="1:12" customHeight="1" ht="105" outlineLevel="4">
      <c r="A151" s="1"/>
      <c r="B151" s="1">
        <v>823307</v>
      </c>
      <c r="C151" s="1" t="s">
        <v>509</v>
      </c>
      <c r="D151" s="1" t="s">
        <v>510</v>
      </c>
      <c r="E151" s="2" t="s">
        <v>511</v>
      </c>
      <c r="F151" s="2" t="s">
        <v>512</v>
      </c>
      <c r="G151" s="2" t="s">
        <v>159</v>
      </c>
      <c r="H151" s="2">
        <v>0</v>
      </c>
      <c r="I151" s="1">
        <v>0</v>
      </c>
      <c r="J151" s="3" t="s">
        <v>508</v>
      </c>
      <c r="K151" s="2" t="str">
        <f>J151*385.26</f>
        <v>0</v>
      </c>
      <c r="L151" s="5"/>
    </row>
    <row r="152" spans="1:12" customHeight="1" ht="105" outlineLevel="4">
      <c r="A152" s="1"/>
      <c r="B152" s="1">
        <v>823308</v>
      </c>
      <c r="C152" s="1" t="s">
        <v>513</v>
      </c>
      <c r="D152" s="1" t="s">
        <v>514</v>
      </c>
      <c r="E152" s="2" t="s">
        <v>515</v>
      </c>
      <c r="F152" s="2" t="s">
        <v>516</v>
      </c>
      <c r="G152" s="2" t="s">
        <v>221</v>
      </c>
      <c r="H152" s="2">
        <v>0</v>
      </c>
      <c r="I152" s="1">
        <v>0</v>
      </c>
      <c r="J152" s="3" t="s">
        <v>508</v>
      </c>
      <c r="K152" s="2" t="str">
        <f>J152*361.46</f>
        <v>0</v>
      </c>
      <c r="L152" s="5"/>
    </row>
    <row r="153" spans="1:12" customHeight="1" ht="105" outlineLevel="4">
      <c r="A153" s="1"/>
      <c r="B153" s="1">
        <v>823309</v>
      </c>
      <c r="C153" s="1" t="s">
        <v>517</v>
      </c>
      <c r="D153" s="1" t="s">
        <v>518</v>
      </c>
      <c r="E153" s="2" t="s">
        <v>519</v>
      </c>
      <c r="F153" s="2" t="s">
        <v>516</v>
      </c>
      <c r="G153" s="2" t="s">
        <v>38</v>
      </c>
      <c r="H153" s="2">
        <v>0</v>
      </c>
      <c r="I153" s="1">
        <v>0</v>
      </c>
      <c r="J153" s="3" t="s">
        <v>508</v>
      </c>
      <c r="K153" s="2" t="str">
        <f>J153*361.46</f>
        <v>0</v>
      </c>
      <c r="L153" s="5"/>
    </row>
    <row r="154" spans="1:12" customHeight="1" ht="105" outlineLevel="4">
      <c r="A154" s="1"/>
      <c r="B154" s="1">
        <v>878980</v>
      </c>
      <c r="C154" s="1" t="s">
        <v>520</v>
      </c>
      <c r="D154" s="1">
        <v>575002</v>
      </c>
      <c r="E154" s="2" t="s">
        <v>521</v>
      </c>
      <c r="F154" s="2" t="s">
        <v>522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J154*113.96</f>
        <v>0</v>
      </c>
      <c r="L154" s="5"/>
    </row>
    <row r="155" spans="1:12" customHeight="1" ht="105" outlineLevel="4">
      <c r="A155" s="1"/>
      <c r="B155" s="1">
        <v>878981</v>
      </c>
      <c r="C155" s="1" t="s">
        <v>523</v>
      </c>
      <c r="D155" s="1">
        <v>575001</v>
      </c>
      <c r="E155" s="2" t="s">
        <v>524</v>
      </c>
      <c r="F155" s="2" t="s">
        <v>525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J155*62.72</f>
        <v>0</v>
      </c>
      <c r="L155" s="5"/>
    </row>
    <row r="156" spans="1:12" customHeight="1" ht="105" outlineLevel="4">
      <c r="A156" s="1"/>
      <c r="B156" s="1">
        <v>878983</v>
      </c>
      <c r="C156" s="1" t="s">
        <v>526</v>
      </c>
      <c r="D156" s="1">
        <v>575068</v>
      </c>
      <c r="E156" s="2" t="s">
        <v>527</v>
      </c>
      <c r="F156" s="2" t="s">
        <v>528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J156*53.76</f>
        <v>0</v>
      </c>
      <c r="L156" s="5"/>
    </row>
    <row r="157" spans="1:12" customHeight="1" ht="105" outlineLevel="4">
      <c r="A157" s="1"/>
      <c r="B157" s="1">
        <v>878985</v>
      </c>
      <c r="C157" s="1" t="s">
        <v>529</v>
      </c>
      <c r="D157" s="1">
        <v>575860</v>
      </c>
      <c r="E157" s="2" t="s">
        <v>530</v>
      </c>
      <c r="F157" s="2" t="s">
        <v>531</v>
      </c>
      <c r="G157" s="2" t="s">
        <v>159</v>
      </c>
      <c r="H157" s="2">
        <v>0</v>
      </c>
      <c r="I157" s="1">
        <v>0</v>
      </c>
      <c r="J157" s="3" t="s">
        <v>17</v>
      </c>
      <c r="K157" s="2" t="str">
        <f>J157*63.84</f>
        <v>0</v>
      </c>
      <c r="L157" s="5"/>
    </row>
    <row r="158" spans="1:12" customHeight="1" ht="105" outlineLevel="4">
      <c r="A158" s="1"/>
      <c r="B158" s="1">
        <v>878986</v>
      </c>
      <c r="C158" s="1" t="s">
        <v>532</v>
      </c>
      <c r="D158" s="1">
        <v>575162</v>
      </c>
      <c r="E158" s="2" t="s">
        <v>533</v>
      </c>
      <c r="F158" s="2" t="s">
        <v>534</v>
      </c>
      <c r="G158" s="2">
        <v>2</v>
      </c>
      <c r="H158" s="2">
        <v>0</v>
      </c>
      <c r="I158" s="1">
        <v>0</v>
      </c>
      <c r="J158" s="3" t="s">
        <v>17</v>
      </c>
      <c r="K158" s="2" t="str">
        <f>J158*40.00</f>
        <v>0</v>
      </c>
      <c r="L158" s="5"/>
    </row>
    <row r="159" spans="1:12" customHeight="1" ht="105" outlineLevel="4">
      <c r="A159" s="1"/>
      <c r="B159" s="1">
        <v>878987</v>
      </c>
      <c r="C159" s="1" t="s">
        <v>535</v>
      </c>
      <c r="D159" s="1">
        <v>575017</v>
      </c>
      <c r="E159" s="2" t="s">
        <v>536</v>
      </c>
      <c r="F159" s="2" t="s">
        <v>537</v>
      </c>
      <c r="G159" s="2">
        <v>2</v>
      </c>
      <c r="H159" s="2">
        <v>0</v>
      </c>
      <c r="I159" s="1">
        <v>0</v>
      </c>
      <c r="J159" s="3" t="s">
        <v>17</v>
      </c>
      <c r="K159" s="2" t="str">
        <f>J159*24.00</f>
        <v>0</v>
      </c>
      <c r="L159" s="5"/>
    </row>
    <row r="160" spans="1:12" outlineLevel="2">
      <c r="A160" s="8" t="s">
        <v>538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5"/>
    </row>
    <row r="161" spans="1:12" customHeight="1" ht="105" outlineLevel="4">
      <c r="A161" s="1"/>
      <c r="B161" s="1">
        <v>827348</v>
      </c>
      <c r="C161" s="1" t="s">
        <v>539</v>
      </c>
      <c r="D161" s="1" t="s">
        <v>540</v>
      </c>
      <c r="E161" s="2" t="s">
        <v>541</v>
      </c>
      <c r="F161" s="2" t="s">
        <v>542</v>
      </c>
      <c r="G161" s="2" t="s">
        <v>159</v>
      </c>
      <c r="H161" s="2">
        <v>0</v>
      </c>
      <c r="I161" s="1">
        <v>0</v>
      </c>
      <c r="J161" s="3" t="s">
        <v>17</v>
      </c>
      <c r="K161" s="2" t="str">
        <f>J161*301.19</f>
        <v>0</v>
      </c>
      <c r="L161" s="5"/>
    </row>
    <row r="162" spans="1:12" customHeight="1" ht="105" outlineLevel="4">
      <c r="A162" s="1"/>
      <c r="B162" s="1">
        <v>827349</v>
      </c>
      <c r="C162" s="1" t="s">
        <v>543</v>
      </c>
      <c r="D162" s="1" t="s">
        <v>544</v>
      </c>
      <c r="E162" s="2" t="s">
        <v>545</v>
      </c>
      <c r="F162" s="2" t="s">
        <v>546</v>
      </c>
      <c r="G162" s="2" t="s">
        <v>38</v>
      </c>
      <c r="H162" s="2">
        <v>0</v>
      </c>
      <c r="I162" s="1">
        <v>0</v>
      </c>
      <c r="J162" s="3" t="s">
        <v>17</v>
      </c>
      <c r="K162" s="2" t="str">
        <f>J162*269.41</f>
        <v>0</v>
      </c>
      <c r="L162" s="5"/>
    </row>
    <row r="163" spans="1:12" customHeight="1" ht="105" outlineLevel="4">
      <c r="A163" s="1"/>
      <c r="B163" s="1">
        <v>831601</v>
      </c>
      <c r="C163" s="1" t="s">
        <v>547</v>
      </c>
      <c r="D163" s="1" t="s">
        <v>548</v>
      </c>
      <c r="E163" s="2" t="s">
        <v>549</v>
      </c>
      <c r="F163" s="2" t="s">
        <v>439</v>
      </c>
      <c r="G163" s="2">
        <v>-27</v>
      </c>
      <c r="H163" s="2">
        <v>0</v>
      </c>
      <c r="I163" s="1" t="s">
        <v>159</v>
      </c>
      <c r="J163" s="3" t="s">
        <v>17</v>
      </c>
      <c r="K163" s="2" t="str">
        <f>J163*137.73</f>
        <v>0</v>
      </c>
      <c r="L163" s="5"/>
    </row>
    <row r="164" spans="1:12" customHeight="1" ht="105" outlineLevel="4">
      <c r="A164" s="1"/>
      <c r="B164" s="1">
        <v>831602</v>
      </c>
      <c r="C164" s="1" t="s">
        <v>550</v>
      </c>
      <c r="D164" s="1" t="s">
        <v>551</v>
      </c>
      <c r="E164" s="2" t="s">
        <v>552</v>
      </c>
      <c r="F164" s="2" t="s">
        <v>553</v>
      </c>
      <c r="G164" s="2" t="s">
        <v>159</v>
      </c>
      <c r="H164" s="2">
        <v>0</v>
      </c>
      <c r="I164" s="1">
        <v>0</v>
      </c>
      <c r="J164" s="3" t="s">
        <v>17</v>
      </c>
      <c r="K164" s="2" t="str">
        <f>J164*307.24</f>
        <v>0</v>
      </c>
      <c r="L164" s="5"/>
    </row>
    <row r="165" spans="1:12" customHeight="1" ht="105" outlineLevel="4">
      <c r="A165" s="1"/>
      <c r="B165" s="1">
        <v>831603</v>
      </c>
      <c r="C165" s="1" t="s">
        <v>554</v>
      </c>
      <c r="D165" s="1" t="s">
        <v>555</v>
      </c>
      <c r="E165" s="2" t="s">
        <v>556</v>
      </c>
      <c r="F165" s="2" t="s">
        <v>325</v>
      </c>
      <c r="G165" s="2" t="s">
        <v>159</v>
      </c>
      <c r="H165" s="2">
        <v>0</v>
      </c>
      <c r="I165" s="1">
        <v>0</v>
      </c>
      <c r="J165" s="3" t="s">
        <v>17</v>
      </c>
      <c r="K165" s="2" t="str">
        <f>J165*196.76</f>
        <v>0</v>
      </c>
      <c r="L165" s="5"/>
    </row>
    <row r="166" spans="1:12" customHeight="1" ht="105" outlineLevel="4">
      <c r="A166" s="1"/>
      <c r="B166" s="1">
        <v>831604</v>
      </c>
      <c r="C166" s="1" t="s">
        <v>557</v>
      </c>
      <c r="D166" s="1" t="s">
        <v>558</v>
      </c>
      <c r="E166" s="2" t="s">
        <v>559</v>
      </c>
      <c r="F166" s="2" t="s">
        <v>341</v>
      </c>
      <c r="G166" s="2" t="s">
        <v>159</v>
      </c>
      <c r="H166" s="2">
        <v>0</v>
      </c>
      <c r="I166" s="1">
        <v>0</v>
      </c>
      <c r="J166" s="3" t="s">
        <v>17</v>
      </c>
      <c r="K166" s="2" t="str">
        <f>J166*204.32</f>
        <v>0</v>
      </c>
      <c r="L166" s="5"/>
    </row>
    <row r="167" spans="1:12" customHeight="1" ht="105" outlineLevel="4">
      <c r="A167" s="1"/>
      <c r="B167" s="1">
        <v>831605</v>
      </c>
      <c r="C167" s="1" t="s">
        <v>560</v>
      </c>
      <c r="D167" s="1" t="s">
        <v>561</v>
      </c>
      <c r="E167" s="2" t="s">
        <v>562</v>
      </c>
      <c r="F167" s="2" t="s">
        <v>563</v>
      </c>
      <c r="G167" s="2">
        <v>5</v>
      </c>
      <c r="H167" s="2">
        <v>0</v>
      </c>
      <c r="I167" s="1">
        <v>0</v>
      </c>
      <c r="J167" s="3" t="s">
        <v>17</v>
      </c>
      <c r="K167" s="2" t="str">
        <f>J167*348.11</f>
        <v>0</v>
      </c>
      <c r="L167" s="5"/>
    </row>
    <row r="168" spans="1:12" customHeight="1" ht="105" outlineLevel="4">
      <c r="A168" s="1"/>
      <c r="B168" s="1">
        <v>831606</v>
      </c>
      <c r="C168" s="1" t="s">
        <v>564</v>
      </c>
      <c r="D168" s="1" t="s">
        <v>565</v>
      </c>
      <c r="E168" s="2" t="s">
        <v>566</v>
      </c>
      <c r="F168" s="2" t="s">
        <v>220</v>
      </c>
      <c r="G168" s="2">
        <v>-10</v>
      </c>
      <c r="H168" s="2">
        <v>0</v>
      </c>
      <c r="I168" s="1" t="s">
        <v>159</v>
      </c>
      <c r="J168" s="3" t="s">
        <v>17</v>
      </c>
      <c r="K168" s="2" t="str">
        <f>J168*227.03</f>
        <v>0</v>
      </c>
      <c r="L168" s="5"/>
    </row>
    <row r="169" spans="1:12" customHeight="1" ht="105" outlineLevel="4">
      <c r="A169" s="1"/>
      <c r="B169" s="1">
        <v>831607</v>
      </c>
      <c r="C169" s="1" t="s">
        <v>567</v>
      </c>
      <c r="D169" s="1" t="s">
        <v>568</v>
      </c>
      <c r="E169" s="2" t="s">
        <v>569</v>
      </c>
      <c r="F169" s="2" t="s">
        <v>349</v>
      </c>
      <c r="G169" s="2">
        <v>-7</v>
      </c>
      <c r="H169" s="2">
        <v>0</v>
      </c>
      <c r="I169" s="1" t="s">
        <v>159</v>
      </c>
      <c r="J169" s="3" t="s">
        <v>17</v>
      </c>
      <c r="K169" s="2" t="str">
        <f>J169*219.46</f>
        <v>0</v>
      </c>
      <c r="L169" s="5"/>
    </row>
    <row r="170" spans="1:12" customHeight="1" ht="105" outlineLevel="4">
      <c r="A170" s="1"/>
      <c r="B170" s="1">
        <v>831608</v>
      </c>
      <c r="C170" s="1" t="s">
        <v>570</v>
      </c>
      <c r="D170" s="1" t="s">
        <v>571</v>
      </c>
      <c r="E170" s="2" t="s">
        <v>572</v>
      </c>
      <c r="F170" s="2" t="s">
        <v>573</v>
      </c>
      <c r="G170" s="2" t="s">
        <v>159</v>
      </c>
      <c r="H170" s="2">
        <v>0</v>
      </c>
      <c r="I170" s="1">
        <v>0</v>
      </c>
      <c r="J170" s="3" t="s">
        <v>17</v>
      </c>
      <c r="K170" s="2" t="str">
        <f>J170*258.81</f>
        <v>0</v>
      </c>
      <c r="L170" s="5"/>
    </row>
    <row r="171" spans="1:12" customHeight="1" ht="105" outlineLevel="4">
      <c r="A171" s="1"/>
      <c r="B171" s="1">
        <v>831609</v>
      </c>
      <c r="C171" s="1" t="s">
        <v>574</v>
      </c>
      <c r="D171" s="1" t="s">
        <v>575</v>
      </c>
      <c r="E171" s="2" t="s">
        <v>576</v>
      </c>
      <c r="F171" s="2" t="s">
        <v>476</v>
      </c>
      <c r="G171" s="2">
        <v>0</v>
      </c>
      <c r="H171" s="2">
        <v>0</v>
      </c>
      <c r="I171" s="1">
        <v>0</v>
      </c>
      <c r="J171" s="3" t="s">
        <v>17</v>
      </c>
      <c r="K171" s="2" t="str">
        <f>J171*0.00</f>
        <v>0</v>
      </c>
      <c r="L171" s="5"/>
    </row>
    <row r="172" spans="1:12" customHeight="1" ht="105" outlineLevel="4">
      <c r="A172" s="1"/>
      <c r="B172" s="1">
        <v>831610</v>
      </c>
      <c r="C172" s="1" t="s">
        <v>577</v>
      </c>
      <c r="D172" s="1" t="s">
        <v>578</v>
      </c>
      <c r="E172" s="2" t="s">
        <v>579</v>
      </c>
      <c r="F172" s="2" t="s">
        <v>580</v>
      </c>
      <c r="G172" s="2">
        <v>2</v>
      </c>
      <c r="H172" s="2">
        <v>0</v>
      </c>
      <c r="I172" s="1">
        <v>0</v>
      </c>
      <c r="J172" s="3" t="s">
        <v>17</v>
      </c>
      <c r="K172" s="2" t="str">
        <f>J172*346.59</f>
        <v>0</v>
      </c>
      <c r="L172" s="5"/>
    </row>
    <row r="173" spans="1:12" customHeight="1" ht="105" outlineLevel="4">
      <c r="A173" s="1"/>
      <c r="B173" s="1">
        <v>831611</v>
      </c>
      <c r="C173" s="1" t="s">
        <v>581</v>
      </c>
      <c r="D173" s="1" t="s">
        <v>582</v>
      </c>
      <c r="E173" s="2" t="s">
        <v>583</v>
      </c>
      <c r="F173" s="2" t="s">
        <v>584</v>
      </c>
      <c r="G173" s="2" t="s">
        <v>159</v>
      </c>
      <c r="H173" s="2">
        <v>0</v>
      </c>
      <c r="I173" s="1">
        <v>0</v>
      </c>
      <c r="J173" s="3" t="s">
        <v>17</v>
      </c>
      <c r="K173" s="2" t="str">
        <f>J173*336.00</f>
        <v>0</v>
      </c>
      <c r="L173" s="5"/>
    </row>
    <row r="174" spans="1:12" customHeight="1" ht="105" outlineLevel="4">
      <c r="A174" s="1"/>
      <c r="B174" s="1">
        <v>831612</v>
      </c>
      <c r="C174" s="1" t="s">
        <v>585</v>
      </c>
      <c r="D174" s="1" t="s">
        <v>586</v>
      </c>
      <c r="E174" s="2" t="s">
        <v>587</v>
      </c>
      <c r="F174" s="2" t="s">
        <v>588</v>
      </c>
      <c r="G174" s="2" t="s">
        <v>159</v>
      </c>
      <c r="H174" s="2">
        <v>0</v>
      </c>
      <c r="I174" s="1">
        <v>0</v>
      </c>
      <c r="J174" s="3" t="s">
        <v>17</v>
      </c>
      <c r="K174" s="2" t="str">
        <f>J174*423.78</f>
        <v>0</v>
      </c>
      <c r="L174" s="5"/>
    </row>
    <row r="175" spans="1:12" customHeight="1" ht="105" outlineLevel="4">
      <c r="A175" s="1"/>
      <c r="B175" s="1">
        <v>831613</v>
      </c>
      <c r="C175" s="1" t="s">
        <v>589</v>
      </c>
      <c r="D175" s="1" t="s">
        <v>590</v>
      </c>
      <c r="E175" s="2" t="s">
        <v>591</v>
      </c>
      <c r="F175" s="2" t="s">
        <v>588</v>
      </c>
      <c r="G175" s="2" t="s">
        <v>159</v>
      </c>
      <c r="H175" s="2">
        <v>0</v>
      </c>
      <c r="I175" s="1">
        <v>0</v>
      </c>
      <c r="J175" s="3" t="s">
        <v>17</v>
      </c>
      <c r="K175" s="2" t="str">
        <f>J175*423.78</f>
        <v>0</v>
      </c>
      <c r="L175" s="5"/>
    </row>
    <row r="176" spans="1:12" customHeight="1" ht="105" outlineLevel="4">
      <c r="A176" s="1"/>
      <c r="B176" s="1">
        <v>831614</v>
      </c>
      <c r="C176" s="1" t="s">
        <v>592</v>
      </c>
      <c r="D176" s="1" t="s">
        <v>593</v>
      </c>
      <c r="E176" s="2" t="s">
        <v>594</v>
      </c>
      <c r="F176" s="2" t="s">
        <v>588</v>
      </c>
      <c r="G176" s="2" t="s">
        <v>221</v>
      </c>
      <c r="H176" s="2">
        <v>0</v>
      </c>
      <c r="I176" s="1">
        <v>0</v>
      </c>
      <c r="J176" s="3" t="s">
        <v>17</v>
      </c>
      <c r="K176" s="2" t="str">
        <f>J176*423.78</f>
        <v>0</v>
      </c>
      <c r="L176" s="5"/>
    </row>
    <row r="177" spans="1:12" customHeight="1" ht="105" outlineLevel="4">
      <c r="A177" s="1"/>
      <c r="B177" s="1">
        <v>831615</v>
      </c>
      <c r="C177" s="1" t="s">
        <v>595</v>
      </c>
      <c r="D177" s="1" t="s">
        <v>596</v>
      </c>
      <c r="E177" s="2" t="s">
        <v>597</v>
      </c>
      <c r="F177" s="2" t="s">
        <v>598</v>
      </c>
      <c r="G177" s="2">
        <v>-3</v>
      </c>
      <c r="H177" s="2">
        <v>0</v>
      </c>
      <c r="I177" s="1" t="s">
        <v>221</v>
      </c>
      <c r="J177" s="3" t="s">
        <v>17</v>
      </c>
      <c r="K177" s="2" t="str">
        <f>J177*222.49</f>
        <v>0</v>
      </c>
      <c r="L177" s="5"/>
    </row>
    <row r="178" spans="1:12" customHeight="1" ht="105" outlineLevel="4">
      <c r="A178" s="1"/>
      <c r="B178" s="1">
        <v>831616</v>
      </c>
      <c r="C178" s="1" t="s">
        <v>599</v>
      </c>
      <c r="D178" s="1" t="s">
        <v>600</v>
      </c>
      <c r="E178" s="2" t="s">
        <v>601</v>
      </c>
      <c r="F178" s="2" t="s">
        <v>233</v>
      </c>
      <c r="G178" s="2" t="s">
        <v>159</v>
      </c>
      <c r="H178" s="2">
        <v>0</v>
      </c>
      <c r="I178" s="1">
        <v>0</v>
      </c>
      <c r="J178" s="3" t="s">
        <v>17</v>
      </c>
      <c r="K178" s="2" t="str">
        <f>J178*478.27</f>
        <v>0</v>
      </c>
      <c r="L178" s="5"/>
    </row>
    <row r="179" spans="1:12" customHeight="1" ht="105" outlineLevel="4">
      <c r="A179" s="1"/>
      <c r="B179" s="1">
        <v>831617</v>
      </c>
      <c r="C179" s="1" t="s">
        <v>602</v>
      </c>
      <c r="D179" s="1" t="s">
        <v>603</v>
      </c>
      <c r="E179" s="2" t="s">
        <v>604</v>
      </c>
      <c r="F179" s="2" t="s">
        <v>605</v>
      </c>
      <c r="G179" s="2">
        <v>4</v>
      </c>
      <c r="H179" s="2">
        <v>0</v>
      </c>
      <c r="I179" s="1" t="s">
        <v>159</v>
      </c>
      <c r="J179" s="3" t="s">
        <v>17</v>
      </c>
      <c r="K179" s="2" t="str">
        <f>J179*387.46</f>
        <v>0</v>
      </c>
      <c r="L179" s="5"/>
    </row>
    <row r="180" spans="1:12" customHeight="1" ht="105" outlineLevel="4">
      <c r="A180" s="1"/>
      <c r="B180" s="1">
        <v>831618</v>
      </c>
      <c r="C180" s="1" t="s">
        <v>606</v>
      </c>
      <c r="D180" s="1" t="s">
        <v>607</v>
      </c>
      <c r="E180" s="2" t="s">
        <v>608</v>
      </c>
      <c r="F180" s="2" t="s">
        <v>240</v>
      </c>
      <c r="G180" s="2" t="s">
        <v>159</v>
      </c>
      <c r="H180" s="2">
        <v>0</v>
      </c>
      <c r="I180" s="1">
        <v>0</v>
      </c>
      <c r="J180" s="3" t="s">
        <v>17</v>
      </c>
      <c r="K180" s="2" t="str">
        <f>J180*529.73</f>
        <v>0</v>
      </c>
      <c r="L180" s="5"/>
    </row>
    <row r="181" spans="1:12" customHeight="1" ht="105" outlineLevel="4">
      <c r="A181" s="1"/>
      <c r="B181" s="1">
        <v>831619</v>
      </c>
      <c r="C181" s="1" t="s">
        <v>609</v>
      </c>
      <c r="D181" s="1" t="s">
        <v>610</v>
      </c>
      <c r="E181" s="2" t="s">
        <v>611</v>
      </c>
      <c r="F181" s="2" t="s">
        <v>612</v>
      </c>
      <c r="G181" s="2">
        <v>8</v>
      </c>
      <c r="H181" s="2">
        <v>0</v>
      </c>
      <c r="I181" s="1" t="s">
        <v>159</v>
      </c>
      <c r="J181" s="3" t="s">
        <v>17</v>
      </c>
      <c r="K181" s="2" t="str">
        <f>J181*590.27</f>
        <v>0</v>
      </c>
      <c r="L181" s="5"/>
    </row>
    <row r="182" spans="1:12" customHeight="1" ht="105" outlineLevel="4">
      <c r="A182" s="1"/>
      <c r="B182" s="1">
        <v>831620</v>
      </c>
      <c r="C182" s="1" t="s">
        <v>613</v>
      </c>
      <c r="D182" s="1" t="s">
        <v>614</v>
      </c>
      <c r="E182" s="2" t="s">
        <v>615</v>
      </c>
      <c r="F182" s="2" t="s">
        <v>616</v>
      </c>
      <c r="G182" s="2">
        <v>7</v>
      </c>
      <c r="H182" s="2">
        <v>0</v>
      </c>
      <c r="I182" s="1" t="s">
        <v>159</v>
      </c>
      <c r="J182" s="3" t="s">
        <v>17</v>
      </c>
      <c r="K182" s="2" t="str">
        <f>J182*570.59</f>
        <v>0</v>
      </c>
      <c r="L182" s="5"/>
    </row>
    <row r="183" spans="1:12" customHeight="1" ht="105" outlineLevel="4">
      <c r="A183" s="1"/>
      <c r="B183" s="1">
        <v>831621</v>
      </c>
      <c r="C183" s="1" t="s">
        <v>617</v>
      </c>
      <c r="D183" s="1" t="s">
        <v>618</v>
      </c>
      <c r="E183" s="2" t="s">
        <v>619</v>
      </c>
      <c r="F183" s="2" t="s">
        <v>233</v>
      </c>
      <c r="G183" s="2">
        <v>10</v>
      </c>
      <c r="H183" s="2">
        <v>0</v>
      </c>
      <c r="I183" s="1">
        <v>0</v>
      </c>
      <c r="J183" s="3" t="s">
        <v>17</v>
      </c>
      <c r="K183" s="2" t="str">
        <f>J183*478.27</f>
        <v>0</v>
      </c>
      <c r="L183" s="5"/>
    </row>
    <row r="184" spans="1:12" customHeight="1" ht="105" outlineLevel="4">
      <c r="A184" s="1"/>
      <c r="B184" s="1">
        <v>831622</v>
      </c>
      <c r="C184" s="1" t="s">
        <v>620</v>
      </c>
      <c r="D184" s="1" t="s">
        <v>621</v>
      </c>
      <c r="E184" s="2" t="s">
        <v>622</v>
      </c>
      <c r="F184" s="2" t="s">
        <v>476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J184*0.00</f>
        <v>0</v>
      </c>
      <c r="L184" s="5"/>
    </row>
    <row r="185" spans="1:12" customHeight="1" ht="105" outlineLevel="4">
      <c r="A185" s="1"/>
      <c r="B185" s="1">
        <v>831623</v>
      </c>
      <c r="C185" s="1" t="s">
        <v>623</v>
      </c>
      <c r="D185" s="1" t="s">
        <v>624</v>
      </c>
      <c r="E185" s="2" t="s">
        <v>625</v>
      </c>
      <c r="F185" s="2" t="s">
        <v>626</v>
      </c>
      <c r="G185" s="2" t="s">
        <v>159</v>
      </c>
      <c r="H185" s="2">
        <v>0</v>
      </c>
      <c r="I185" s="1">
        <v>0</v>
      </c>
      <c r="J185" s="3" t="s">
        <v>17</v>
      </c>
      <c r="K185" s="2" t="str">
        <f>J185*693.19</f>
        <v>0</v>
      </c>
      <c r="L185" s="5"/>
    </row>
    <row r="186" spans="1:12" customHeight="1" ht="105" outlineLevel="4">
      <c r="A186" s="1"/>
      <c r="B186" s="1">
        <v>831624</v>
      </c>
      <c r="C186" s="1" t="s">
        <v>627</v>
      </c>
      <c r="D186" s="1" t="s">
        <v>628</v>
      </c>
      <c r="E186" s="2" t="s">
        <v>629</v>
      </c>
      <c r="F186" s="2" t="s">
        <v>630</v>
      </c>
      <c r="G186" s="2">
        <v>0</v>
      </c>
      <c r="H186" s="2">
        <v>0</v>
      </c>
      <c r="I186" s="1" t="s">
        <v>159</v>
      </c>
      <c r="J186" s="3" t="s">
        <v>17</v>
      </c>
      <c r="K186" s="2" t="str">
        <f>J186*611.46</f>
        <v>0</v>
      </c>
      <c r="L186" s="5"/>
    </row>
    <row r="187" spans="1:12" customHeight="1" ht="105" outlineLevel="4">
      <c r="A187" s="1"/>
      <c r="B187" s="1">
        <v>827350</v>
      </c>
      <c r="C187" s="1" t="s">
        <v>631</v>
      </c>
      <c r="D187" s="1" t="s">
        <v>632</v>
      </c>
      <c r="E187" s="2" t="s">
        <v>633</v>
      </c>
      <c r="F187" s="2" t="s">
        <v>376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J187*198.27</f>
        <v>0</v>
      </c>
      <c r="L187" s="5"/>
    </row>
    <row r="188" spans="1:12" customHeight="1" ht="105" outlineLevel="4">
      <c r="A188" s="1"/>
      <c r="B188" s="1">
        <v>827351</v>
      </c>
      <c r="C188" s="1" t="s">
        <v>634</v>
      </c>
      <c r="D188" s="1" t="s">
        <v>635</v>
      </c>
      <c r="E188" s="2" t="s">
        <v>636</v>
      </c>
      <c r="F188" s="2" t="s">
        <v>637</v>
      </c>
      <c r="G188" s="2">
        <v>0</v>
      </c>
      <c r="H188" s="2">
        <v>0</v>
      </c>
      <c r="I188" s="1">
        <v>0</v>
      </c>
      <c r="J188" s="3" t="s">
        <v>17</v>
      </c>
      <c r="K188" s="2" t="str">
        <f>J188*184.65</f>
        <v>0</v>
      </c>
      <c r="L188" s="5"/>
    </row>
    <row r="189" spans="1:12" customHeight="1" ht="105" outlineLevel="4">
      <c r="A189" s="1"/>
      <c r="B189" s="1">
        <v>827407</v>
      </c>
      <c r="C189" s="1" t="s">
        <v>638</v>
      </c>
      <c r="D189" s="1" t="s">
        <v>639</v>
      </c>
      <c r="E189" s="2" t="s">
        <v>640</v>
      </c>
      <c r="F189" s="2" t="s">
        <v>641</v>
      </c>
      <c r="G189" s="2" t="s">
        <v>38</v>
      </c>
      <c r="H189" s="2">
        <v>0</v>
      </c>
      <c r="I189" s="1">
        <v>0</v>
      </c>
      <c r="J189" s="3" t="s">
        <v>17</v>
      </c>
      <c r="K189" s="2" t="str">
        <f>J189*379.89</f>
        <v>0</v>
      </c>
      <c r="L189" s="5"/>
    </row>
    <row r="190" spans="1:12" customHeight="1" ht="105" outlineLevel="4">
      <c r="A190" s="1"/>
      <c r="B190" s="1">
        <v>827408</v>
      </c>
      <c r="C190" s="1" t="s">
        <v>642</v>
      </c>
      <c r="D190" s="1" t="s">
        <v>643</v>
      </c>
      <c r="E190" s="2" t="s">
        <v>644</v>
      </c>
      <c r="F190" s="2" t="s">
        <v>616</v>
      </c>
      <c r="G190" s="2">
        <v>2</v>
      </c>
      <c r="H190" s="2">
        <v>0</v>
      </c>
      <c r="I190" s="1" t="s">
        <v>38</v>
      </c>
      <c r="J190" s="3" t="s">
        <v>17</v>
      </c>
      <c r="K190" s="2" t="str">
        <f>J190*570.59</f>
        <v>0</v>
      </c>
      <c r="L190" s="5"/>
    </row>
    <row r="191" spans="1:12" customHeight="1" ht="105" outlineLevel="4">
      <c r="A191" s="1"/>
      <c r="B191" s="1">
        <v>827952</v>
      </c>
      <c r="C191" s="1" t="s">
        <v>645</v>
      </c>
      <c r="D191" s="1" t="s">
        <v>646</v>
      </c>
      <c r="E191" s="2" t="s">
        <v>647</v>
      </c>
      <c r="F191" s="2" t="s">
        <v>648</v>
      </c>
      <c r="G191" s="2">
        <v>7</v>
      </c>
      <c r="H191" s="2">
        <v>0</v>
      </c>
      <c r="I191" s="1">
        <v>0</v>
      </c>
      <c r="J191" s="3" t="s">
        <v>17</v>
      </c>
      <c r="K191" s="2" t="str">
        <f>J191*351.13</f>
        <v>0</v>
      </c>
      <c r="L191" s="5"/>
    </row>
    <row r="192" spans="1:12" customHeight="1" ht="105" outlineLevel="4">
      <c r="A192" s="1"/>
      <c r="B192" s="1">
        <v>826077</v>
      </c>
      <c r="C192" s="1" t="s">
        <v>649</v>
      </c>
      <c r="D192" s="1" t="s">
        <v>650</v>
      </c>
      <c r="E192" s="2" t="s">
        <v>651</v>
      </c>
      <c r="F192" s="2" t="s">
        <v>652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J192*490.55</f>
        <v>0</v>
      </c>
      <c r="L192" s="5"/>
    </row>
    <row r="193" spans="1:12" customHeight="1" ht="105" outlineLevel="4">
      <c r="A193" s="1"/>
      <c r="B193" s="1">
        <v>826078</v>
      </c>
      <c r="C193" s="1" t="s">
        <v>653</v>
      </c>
      <c r="D193" s="1" t="s">
        <v>654</v>
      </c>
      <c r="E193" s="2" t="s">
        <v>651</v>
      </c>
      <c r="F193" s="2" t="s">
        <v>655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J193*593.60</f>
        <v>0</v>
      </c>
      <c r="L193" s="5"/>
    </row>
    <row r="194" spans="1:12" customHeight="1" ht="105" outlineLevel="4">
      <c r="A194" s="1"/>
      <c r="B194" s="1">
        <v>826079</v>
      </c>
      <c r="C194" s="1" t="s">
        <v>656</v>
      </c>
      <c r="D194" s="1" t="s">
        <v>657</v>
      </c>
      <c r="E194" s="2" t="s">
        <v>651</v>
      </c>
      <c r="F194" s="2" t="s">
        <v>658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J194*551.51</f>
        <v>0</v>
      </c>
      <c r="L194" s="5"/>
    </row>
    <row r="195" spans="1:12" customHeight="1" ht="105" outlineLevel="4">
      <c r="A195" s="1"/>
      <c r="B195" s="1">
        <v>826080</v>
      </c>
      <c r="C195" s="1" t="s">
        <v>659</v>
      </c>
      <c r="D195" s="1" t="s">
        <v>660</v>
      </c>
      <c r="E195" s="2" t="s">
        <v>651</v>
      </c>
      <c r="F195" s="2" t="s">
        <v>661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J195*555.87</f>
        <v>0</v>
      </c>
      <c r="L195" s="5"/>
    </row>
    <row r="196" spans="1:12" customHeight="1" ht="105" outlineLevel="4">
      <c r="A196" s="1"/>
      <c r="B196" s="1">
        <v>826081</v>
      </c>
      <c r="C196" s="1" t="s">
        <v>662</v>
      </c>
      <c r="D196" s="1" t="s">
        <v>663</v>
      </c>
      <c r="E196" s="2" t="s">
        <v>651</v>
      </c>
      <c r="F196" s="2" t="s">
        <v>664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J196*547.16</f>
        <v>0</v>
      </c>
      <c r="L196" s="5"/>
    </row>
    <row r="197" spans="1:12" customHeight="1" ht="105" outlineLevel="4">
      <c r="A197" s="1"/>
      <c r="B197" s="1">
        <v>826082</v>
      </c>
      <c r="C197" s="1" t="s">
        <v>665</v>
      </c>
      <c r="D197" s="1" t="s">
        <v>666</v>
      </c>
      <c r="E197" s="2" t="s">
        <v>667</v>
      </c>
      <c r="F197" s="2" t="s">
        <v>476</v>
      </c>
      <c r="G197" s="2" t="s">
        <v>38</v>
      </c>
      <c r="H197" s="2">
        <v>0</v>
      </c>
      <c r="I197" s="1">
        <v>0</v>
      </c>
      <c r="J197" s="3" t="s">
        <v>17</v>
      </c>
      <c r="K197" s="2" t="str">
        <f>J197*0.00</f>
        <v>0</v>
      </c>
      <c r="L197" s="5"/>
    </row>
    <row r="198" spans="1:12" customHeight="1" ht="105" outlineLevel="4">
      <c r="A198" s="1"/>
      <c r="B198" s="1">
        <v>826083</v>
      </c>
      <c r="C198" s="1" t="s">
        <v>668</v>
      </c>
      <c r="D198" s="1" t="s">
        <v>669</v>
      </c>
      <c r="E198" s="2" t="s">
        <v>670</v>
      </c>
      <c r="F198" s="2" t="s">
        <v>476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J198*0.00</f>
        <v>0</v>
      </c>
      <c r="L198" s="5"/>
    </row>
    <row r="199" spans="1:12" customHeight="1" ht="105" outlineLevel="4">
      <c r="A199" s="1"/>
      <c r="B199" s="1">
        <v>826084</v>
      </c>
      <c r="C199" s="1" t="s">
        <v>671</v>
      </c>
      <c r="D199" s="1" t="s">
        <v>672</v>
      </c>
      <c r="E199" s="2" t="s">
        <v>667</v>
      </c>
      <c r="F199" s="2" t="s">
        <v>476</v>
      </c>
      <c r="G199" s="2" t="s">
        <v>38</v>
      </c>
      <c r="H199" s="2">
        <v>0</v>
      </c>
      <c r="I199" s="1">
        <v>0</v>
      </c>
      <c r="J199" s="3" t="s">
        <v>17</v>
      </c>
      <c r="K199" s="2" t="str">
        <f>J199*0.00</f>
        <v>0</v>
      </c>
      <c r="L199" s="5"/>
    </row>
    <row r="200" spans="1:12" customHeight="1" ht="105" outlineLevel="4">
      <c r="A200" s="1"/>
      <c r="B200" s="1">
        <v>826085</v>
      </c>
      <c r="C200" s="1" t="s">
        <v>673</v>
      </c>
      <c r="D200" s="1" t="s">
        <v>674</v>
      </c>
      <c r="E200" s="2" t="s">
        <v>667</v>
      </c>
      <c r="F200" s="2" t="s">
        <v>476</v>
      </c>
      <c r="G200" s="2">
        <v>10</v>
      </c>
      <c r="H200" s="2">
        <v>0</v>
      </c>
      <c r="I200" s="1">
        <v>0</v>
      </c>
      <c r="J200" s="3" t="s">
        <v>17</v>
      </c>
      <c r="K200" s="2" t="str">
        <f>J200*0.00</f>
        <v>0</v>
      </c>
      <c r="L200" s="5"/>
    </row>
    <row r="201" spans="1:12" customHeight="1" ht="105" outlineLevel="4">
      <c r="A201" s="1"/>
      <c r="B201" s="1">
        <v>826086</v>
      </c>
      <c r="C201" s="1" t="s">
        <v>675</v>
      </c>
      <c r="D201" s="1" t="s">
        <v>676</v>
      </c>
      <c r="E201" s="2" t="s">
        <v>667</v>
      </c>
      <c r="F201" s="2" t="s">
        <v>677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J201*600.86</f>
        <v>0</v>
      </c>
      <c r="L201" s="5"/>
    </row>
    <row r="202" spans="1:12" customHeight="1" ht="105" outlineLevel="4">
      <c r="A202" s="1"/>
      <c r="B202" s="1">
        <v>826087</v>
      </c>
      <c r="C202" s="1" t="s">
        <v>678</v>
      </c>
      <c r="D202" s="1" t="s">
        <v>679</v>
      </c>
      <c r="E202" s="2" t="s">
        <v>667</v>
      </c>
      <c r="F202" s="2" t="s">
        <v>680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J202*667.62</f>
        <v>0</v>
      </c>
      <c r="L202" s="5"/>
    </row>
    <row r="203" spans="1:12" customHeight="1" ht="105" outlineLevel="4">
      <c r="A203" s="1"/>
      <c r="B203" s="1">
        <v>826088</v>
      </c>
      <c r="C203" s="1" t="s">
        <v>681</v>
      </c>
      <c r="D203" s="1" t="s">
        <v>682</v>
      </c>
      <c r="E203" s="2" t="s">
        <v>670</v>
      </c>
      <c r="F203" s="2" t="s">
        <v>683</v>
      </c>
      <c r="G203" s="2">
        <v>3</v>
      </c>
      <c r="H203" s="2">
        <v>0</v>
      </c>
      <c r="I203" s="1">
        <v>0</v>
      </c>
      <c r="J203" s="3" t="s">
        <v>17</v>
      </c>
      <c r="K203" s="2" t="str">
        <f>J203*1042.07</f>
        <v>0</v>
      </c>
      <c r="L203" s="5"/>
    </row>
    <row r="204" spans="1:12" customHeight="1" ht="105" outlineLevel="4">
      <c r="A204" s="1"/>
      <c r="B204" s="1">
        <v>826089</v>
      </c>
      <c r="C204" s="1" t="s">
        <v>684</v>
      </c>
      <c r="D204" s="1" t="s">
        <v>685</v>
      </c>
      <c r="E204" s="2" t="s">
        <v>667</v>
      </c>
      <c r="F204" s="2" t="s">
        <v>686</v>
      </c>
      <c r="G204" s="2">
        <v>0</v>
      </c>
      <c r="H204" s="2">
        <v>0</v>
      </c>
      <c r="I204" s="1">
        <v>0</v>
      </c>
      <c r="J204" s="3" t="s">
        <v>17</v>
      </c>
      <c r="K204" s="2" t="str">
        <f>J204*647.30</f>
        <v>0</v>
      </c>
      <c r="L204" s="5"/>
    </row>
    <row r="205" spans="1:12" customHeight="1" ht="105" outlineLevel="4">
      <c r="A205" s="1"/>
      <c r="B205" s="1">
        <v>826090</v>
      </c>
      <c r="C205" s="1" t="s">
        <v>687</v>
      </c>
      <c r="D205" s="1" t="s">
        <v>688</v>
      </c>
      <c r="E205" s="2" t="s">
        <v>667</v>
      </c>
      <c r="F205" s="2" t="s">
        <v>686</v>
      </c>
      <c r="G205" s="2">
        <v>1</v>
      </c>
      <c r="H205" s="2">
        <v>0</v>
      </c>
      <c r="I205" s="1">
        <v>0</v>
      </c>
      <c r="J205" s="3" t="s">
        <v>17</v>
      </c>
      <c r="K205" s="2" t="str">
        <f>J205*647.30</f>
        <v>0</v>
      </c>
      <c r="L205" s="5"/>
    </row>
    <row r="206" spans="1:12" customHeight="1" ht="105" outlineLevel="4">
      <c r="A206" s="1"/>
      <c r="B206" s="1">
        <v>826091</v>
      </c>
      <c r="C206" s="1" t="s">
        <v>689</v>
      </c>
      <c r="D206" s="1" t="s">
        <v>690</v>
      </c>
      <c r="E206" s="2" t="s">
        <v>667</v>
      </c>
      <c r="F206" s="2" t="s">
        <v>691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J206*885.32</f>
        <v>0</v>
      </c>
      <c r="L206" s="5"/>
    </row>
    <row r="207" spans="1:12" customHeight="1" ht="105" outlineLevel="4">
      <c r="A207" s="1"/>
      <c r="B207" s="1">
        <v>826092</v>
      </c>
      <c r="C207" s="1" t="s">
        <v>692</v>
      </c>
      <c r="D207" s="1" t="s">
        <v>693</v>
      </c>
      <c r="E207" s="2" t="s">
        <v>694</v>
      </c>
      <c r="F207" s="2" t="s">
        <v>695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J207*878.06</f>
        <v>0</v>
      </c>
      <c r="L207" s="5"/>
    </row>
    <row r="208" spans="1:12" customHeight="1" ht="105" outlineLevel="4">
      <c r="A208" s="1"/>
      <c r="B208" s="1">
        <v>826093</v>
      </c>
      <c r="C208" s="1" t="s">
        <v>696</v>
      </c>
      <c r="D208" s="1" t="s">
        <v>697</v>
      </c>
      <c r="E208" s="2" t="s">
        <v>698</v>
      </c>
      <c r="F208" s="2" t="s">
        <v>695</v>
      </c>
      <c r="G208" s="2">
        <v>0</v>
      </c>
      <c r="H208" s="2">
        <v>0</v>
      </c>
      <c r="I208" s="1">
        <v>0</v>
      </c>
      <c r="J208" s="3" t="s">
        <v>17</v>
      </c>
      <c r="K208" s="2" t="str">
        <f>J208*878.06</f>
        <v>0</v>
      </c>
      <c r="L208" s="5"/>
    </row>
    <row r="209" spans="1:12" customHeight="1" ht="105" outlineLevel="4">
      <c r="A209" s="1"/>
      <c r="B209" s="1">
        <v>826094</v>
      </c>
      <c r="C209" s="1" t="s">
        <v>699</v>
      </c>
      <c r="D209" s="1" t="s">
        <v>700</v>
      </c>
      <c r="E209" s="2" t="s">
        <v>701</v>
      </c>
      <c r="F209" s="2" t="s">
        <v>702</v>
      </c>
      <c r="G209" s="2">
        <v>2</v>
      </c>
      <c r="H209" s="2">
        <v>0</v>
      </c>
      <c r="I209" s="1">
        <v>0</v>
      </c>
      <c r="J209" s="3" t="s">
        <v>17</v>
      </c>
      <c r="K209" s="2" t="str">
        <f>J209*738.73</f>
        <v>0</v>
      </c>
      <c r="L209" s="5"/>
    </row>
    <row r="210" spans="1:12" customHeight="1" ht="105" outlineLevel="4">
      <c r="A210" s="1"/>
      <c r="B210" s="1">
        <v>826095</v>
      </c>
      <c r="C210" s="1" t="s">
        <v>703</v>
      </c>
      <c r="D210" s="1" t="s">
        <v>704</v>
      </c>
      <c r="E210" s="2" t="s">
        <v>701</v>
      </c>
      <c r="F210" s="2" t="s">
        <v>705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J210*894.03</f>
        <v>0</v>
      </c>
      <c r="L210" s="5"/>
    </row>
    <row r="211" spans="1:12" customHeight="1" ht="105" outlineLevel="4">
      <c r="A211" s="1"/>
      <c r="B211" s="1">
        <v>826096</v>
      </c>
      <c r="C211" s="1" t="s">
        <v>706</v>
      </c>
      <c r="D211" s="1" t="s">
        <v>707</v>
      </c>
      <c r="E211" s="2" t="s">
        <v>701</v>
      </c>
      <c r="F211" s="2" t="s">
        <v>708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J211*895.48</f>
        <v>0</v>
      </c>
      <c r="L211" s="5"/>
    </row>
    <row r="212" spans="1:12" customHeight="1" ht="105" outlineLevel="4">
      <c r="A212" s="1"/>
      <c r="B212" s="1">
        <v>826097</v>
      </c>
      <c r="C212" s="1" t="s">
        <v>709</v>
      </c>
      <c r="D212" s="1" t="s">
        <v>710</v>
      </c>
      <c r="E212" s="2" t="s">
        <v>701</v>
      </c>
      <c r="F212" s="2" t="s">
        <v>711</v>
      </c>
      <c r="G212" s="2">
        <v>0</v>
      </c>
      <c r="H212" s="2">
        <v>0</v>
      </c>
      <c r="I212" s="1">
        <v>0</v>
      </c>
      <c r="J212" s="3" t="s">
        <v>17</v>
      </c>
      <c r="K212" s="2" t="str">
        <f>J212*658.91</f>
        <v>0</v>
      </c>
      <c r="L212" s="5"/>
    </row>
    <row r="213" spans="1:12" customHeight="1" ht="105" outlineLevel="4">
      <c r="A213" s="1"/>
      <c r="B213" s="1">
        <v>826098</v>
      </c>
      <c r="C213" s="1" t="s">
        <v>712</v>
      </c>
      <c r="D213" s="1" t="s">
        <v>713</v>
      </c>
      <c r="E213" s="2" t="s">
        <v>701</v>
      </c>
      <c r="F213" s="2" t="s">
        <v>714</v>
      </c>
      <c r="G213" s="2">
        <v>4</v>
      </c>
      <c r="H213" s="2">
        <v>0</v>
      </c>
      <c r="I213" s="1">
        <v>0</v>
      </c>
      <c r="J213" s="3" t="s">
        <v>17</v>
      </c>
      <c r="K213" s="2" t="str">
        <f>J213*802.59</f>
        <v>0</v>
      </c>
      <c r="L213" s="5"/>
    </row>
    <row r="214" spans="1:12" customHeight="1" ht="105" outlineLevel="4">
      <c r="A214" s="1"/>
      <c r="B214" s="1">
        <v>826099</v>
      </c>
      <c r="C214" s="1" t="s">
        <v>715</v>
      </c>
      <c r="D214" s="1" t="s">
        <v>716</v>
      </c>
      <c r="E214" s="2" t="s">
        <v>701</v>
      </c>
      <c r="F214" s="2" t="s">
        <v>717</v>
      </c>
      <c r="G214" s="2">
        <v>1</v>
      </c>
      <c r="H214" s="2">
        <v>0</v>
      </c>
      <c r="I214" s="1">
        <v>0</v>
      </c>
      <c r="J214" s="3" t="s">
        <v>17</v>
      </c>
      <c r="K214" s="2" t="str">
        <f>J214*992.72</f>
        <v>0</v>
      </c>
      <c r="L214" s="5"/>
    </row>
    <row r="215" spans="1:12" customHeight="1" ht="105" outlineLevel="4">
      <c r="A215" s="1"/>
      <c r="B215" s="1">
        <v>840185</v>
      </c>
      <c r="C215" s="1" t="s">
        <v>718</v>
      </c>
      <c r="D215" s="1" t="s">
        <v>719</v>
      </c>
      <c r="E215" s="2" t="s">
        <v>720</v>
      </c>
      <c r="F215" s="2" t="s">
        <v>721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J215*65.31</f>
        <v>0</v>
      </c>
      <c r="L215" s="5"/>
    </row>
    <row r="216" spans="1:12" outlineLevel="2">
      <c r="A216" s="8" t="s">
        <v>722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5"/>
    </row>
    <row r="217" spans="1:12" customHeight="1" ht="105" outlineLevel="4">
      <c r="A217" s="1"/>
      <c r="B217" s="1">
        <v>827365</v>
      </c>
      <c r="C217" s="1" t="s">
        <v>723</v>
      </c>
      <c r="D217" s="1" t="s">
        <v>724</v>
      </c>
      <c r="E217" s="2" t="s">
        <v>725</v>
      </c>
      <c r="F217" s="2" t="s">
        <v>263</v>
      </c>
      <c r="G217" s="2">
        <v>3</v>
      </c>
      <c r="H217" s="2">
        <v>0</v>
      </c>
      <c r="I217" s="1" t="s">
        <v>159</v>
      </c>
      <c r="J217" s="3" t="s">
        <v>17</v>
      </c>
      <c r="K217" s="2" t="str">
        <f>J217*814.27</f>
        <v>0</v>
      </c>
      <c r="L217" s="5"/>
    </row>
    <row r="218" spans="1:12" customHeight="1" ht="105" outlineLevel="4">
      <c r="A218" s="1"/>
      <c r="B218" s="1">
        <v>827366</v>
      </c>
      <c r="C218" s="1" t="s">
        <v>726</v>
      </c>
      <c r="D218" s="1" t="s">
        <v>727</v>
      </c>
      <c r="E218" s="2" t="s">
        <v>728</v>
      </c>
      <c r="F218" s="2" t="s">
        <v>263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J218*814.27</f>
        <v>0</v>
      </c>
      <c r="L218" s="5"/>
    </row>
    <row r="219" spans="1:12" customHeight="1" ht="105" outlineLevel="4">
      <c r="A219" s="1"/>
      <c r="B219" s="1">
        <v>827367</v>
      </c>
      <c r="C219" s="1" t="s">
        <v>729</v>
      </c>
      <c r="D219" s="1" t="s">
        <v>730</v>
      </c>
      <c r="E219" s="2" t="s">
        <v>731</v>
      </c>
      <c r="F219" s="2" t="s">
        <v>263</v>
      </c>
      <c r="G219" s="2">
        <v>-22</v>
      </c>
      <c r="H219" s="2">
        <v>0</v>
      </c>
      <c r="I219" s="1" t="s">
        <v>159</v>
      </c>
      <c r="J219" s="3" t="s">
        <v>17</v>
      </c>
      <c r="K219" s="2" t="str">
        <f>J219*814.27</f>
        <v>0</v>
      </c>
      <c r="L219" s="5"/>
    </row>
    <row r="220" spans="1:12" customHeight="1" ht="105" outlineLevel="4">
      <c r="A220" s="1"/>
      <c r="B220" s="1">
        <v>878870</v>
      </c>
      <c r="C220" s="1" t="s">
        <v>732</v>
      </c>
      <c r="D220" s="1" t="s">
        <v>733</v>
      </c>
      <c r="E220" s="2" t="s">
        <v>734</v>
      </c>
      <c r="F220" s="2" t="s">
        <v>735</v>
      </c>
      <c r="G220" s="2">
        <v>0</v>
      </c>
      <c r="H220" s="2">
        <v>0</v>
      </c>
      <c r="I220" s="1">
        <v>10</v>
      </c>
      <c r="J220" s="3" t="s">
        <v>17</v>
      </c>
      <c r="K220" s="2" t="str">
        <f>J220*405.00</f>
        <v>0</v>
      </c>
      <c r="L220" s="5"/>
    </row>
    <row r="221" spans="1:12" customHeight="1" ht="105" outlineLevel="4">
      <c r="A221" s="1"/>
      <c r="B221" s="1">
        <v>878871</v>
      </c>
      <c r="C221" s="1" t="s">
        <v>736</v>
      </c>
      <c r="D221" s="1" t="s">
        <v>737</v>
      </c>
      <c r="E221" s="2" t="s">
        <v>738</v>
      </c>
      <c r="F221" s="2" t="s">
        <v>739</v>
      </c>
      <c r="G221" s="2" t="s">
        <v>38</v>
      </c>
      <c r="H221" s="2">
        <v>0</v>
      </c>
      <c r="I221" s="1">
        <v>0</v>
      </c>
      <c r="J221" s="3" t="s">
        <v>17</v>
      </c>
      <c r="K221" s="2" t="str">
        <f>J221*410.27</f>
        <v>0</v>
      </c>
      <c r="L221" s="5"/>
    </row>
    <row r="222" spans="1:12" customHeight="1" ht="105" outlineLevel="4">
      <c r="A222" s="1"/>
      <c r="B222" s="1">
        <v>878872</v>
      </c>
      <c r="C222" s="1" t="s">
        <v>740</v>
      </c>
      <c r="D222" s="1" t="s">
        <v>741</v>
      </c>
      <c r="E222" s="2" t="s">
        <v>738</v>
      </c>
      <c r="F222" s="2" t="s">
        <v>742</v>
      </c>
      <c r="G222" s="2">
        <v>0</v>
      </c>
      <c r="H222" s="2">
        <v>0</v>
      </c>
      <c r="I222" s="1">
        <v>10</v>
      </c>
      <c r="J222" s="3" t="s">
        <v>17</v>
      </c>
      <c r="K222" s="2" t="str">
        <f>J222*374.90</f>
        <v>0</v>
      </c>
      <c r="L222" s="5"/>
    </row>
    <row r="223" spans="1:12" outlineLevel="2">
      <c r="A223" s="8" t="s">
        <v>743</v>
      </c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5"/>
    </row>
    <row r="224" spans="1:12" customHeight="1" ht="105" outlineLevel="4">
      <c r="A224" s="1"/>
      <c r="B224" s="1">
        <v>827411</v>
      </c>
      <c r="C224" s="1" t="s">
        <v>744</v>
      </c>
      <c r="D224" s="1" t="s">
        <v>745</v>
      </c>
      <c r="E224" s="2" t="s">
        <v>746</v>
      </c>
      <c r="F224" s="2" t="s">
        <v>747</v>
      </c>
      <c r="G224" s="2" t="s">
        <v>159</v>
      </c>
      <c r="H224" s="2">
        <v>0</v>
      </c>
      <c r="I224" s="1">
        <v>0</v>
      </c>
      <c r="J224" s="3" t="s">
        <v>17</v>
      </c>
      <c r="K224" s="2" t="str">
        <f>J224*384.43</f>
        <v>0</v>
      </c>
      <c r="L224" s="5"/>
    </row>
    <row r="225" spans="1:12" customHeight="1" ht="105" outlineLevel="4">
      <c r="A225" s="1"/>
      <c r="B225" s="1">
        <v>827413</v>
      </c>
      <c r="C225" s="1" t="s">
        <v>748</v>
      </c>
      <c r="D225" s="1" t="s">
        <v>749</v>
      </c>
      <c r="E225" s="2" t="s">
        <v>750</v>
      </c>
      <c r="F225" s="2" t="s">
        <v>751</v>
      </c>
      <c r="G225" s="2" t="s">
        <v>38</v>
      </c>
      <c r="H225" s="2">
        <v>0</v>
      </c>
      <c r="I225" s="1">
        <v>0</v>
      </c>
      <c r="J225" s="3" t="s">
        <v>17</v>
      </c>
      <c r="K225" s="2" t="str">
        <f>J225*134.70</f>
        <v>0</v>
      </c>
      <c r="L225" s="5"/>
    </row>
    <row r="226" spans="1:12" outlineLevel="2">
      <c r="A226" s="8" t="s">
        <v>752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5"/>
    </row>
    <row r="227" spans="1:12" customHeight="1" ht="105" outlineLevel="4">
      <c r="A227" s="1"/>
      <c r="B227" s="1">
        <v>827352</v>
      </c>
      <c r="C227" s="1" t="s">
        <v>753</v>
      </c>
      <c r="D227" s="1" t="s">
        <v>754</v>
      </c>
      <c r="E227" s="2" t="s">
        <v>755</v>
      </c>
      <c r="F227" s="2" t="s">
        <v>756</v>
      </c>
      <c r="G227" s="2">
        <v>3</v>
      </c>
      <c r="H227" s="2">
        <v>0</v>
      </c>
      <c r="I227" s="1">
        <v>0</v>
      </c>
      <c r="J227" s="3" t="s">
        <v>17</v>
      </c>
      <c r="K227" s="2" t="str">
        <f>J227*2566.92</f>
        <v>0</v>
      </c>
      <c r="L227" s="5"/>
    </row>
    <row r="228" spans="1:12" customHeight="1" ht="105" outlineLevel="4">
      <c r="A228" s="1"/>
      <c r="B228" s="1">
        <v>827353</v>
      </c>
      <c r="C228" s="1" t="s">
        <v>757</v>
      </c>
      <c r="D228" s="1" t="s">
        <v>758</v>
      </c>
      <c r="E228" s="2" t="s">
        <v>759</v>
      </c>
      <c r="F228" s="2" t="s">
        <v>760</v>
      </c>
      <c r="G228" s="2" t="s">
        <v>38</v>
      </c>
      <c r="H228" s="2">
        <v>0</v>
      </c>
      <c r="I228" s="1">
        <v>0</v>
      </c>
      <c r="J228" s="3" t="s">
        <v>17</v>
      </c>
      <c r="K228" s="2" t="str">
        <f>J228*2588.11</f>
        <v>0</v>
      </c>
      <c r="L228" s="5"/>
    </row>
    <row r="229" spans="1:12" customHeight="1" ht="105" outlineLevel="4">
      <c r="A229" s="1"/>
      <c r="B229" s="1">
        <v>827354</v>
      </c>
      <c r="C229" s="1" t="s">
        <v>761</v>
      </c>
      <c r="D229" s="1" t="s">
        <v>762</v>
      </c>
      <c r="E229" s="2" t="s">
        <v>763</v>
      </c>
      <c r="F229" s="2" t="s">
        <v>764</v>
      </c>
      <c r="G229" s="2">
        <v>6</v>
      </c>
      <c r="H229" s="2">
        <v>0</v>
      </c>
      <c r="I229" s="1">
        <v>0</v>
      </c>
      <c r="J229" s="3" t="s">
        <v>17</v>
      </c>
      <c r="K229" s="2" t="str">
        <f>J229*2138.59</f>
        <v>0</v>
      </c>
      <c r="L229" s="5"/>
    </row>
    <row r="230" spans="1:12" customHeight="1" ht="105" outlineLevel="4">
      <c r="A230" s="1"/>
      <c r="B230" s="1">
        <v>826100</v>
      </c>
      <c r="C230" s="1" t="s">
        <v>765</v>
      </c>
      <c r="D230" s="1" t="s">
        <v>766</v>
      </c>
      <c r="E230" s="2" t="s">
        <v>767</v>
      </c>
      <c r="F230" s="2" t="s">
        <v>768</v>
      </c>
      <c r="G230" s="2">
        <v>0</v>
      </c>
      <c r="H230" s="2">
        <v>0</v>
      </c>
      <c r="I230" s="1">
        <v>0</v>
      </c>
      <c r="J230" s="3" t="s">
        <v>17</v>
      </c>
      <c r="K230" s="2" t="str">
        <f>J230*1613.90</f>
        <v>0</v>
      </c>
      <c r="L230" s="5"/>
    </row>
    <row r="231" spans="1:12" customHeight="1" ht="105" outlineLevel="4">
      <c r="A231" s="1"/>
      <c r="B231" s="1">
        <v>826101</v>
      </c>
      <c r="C231" s="1" t="s">
        <v>769</v>
      </c>
      <c r="D231" s="1" t="s">
        <v>770</v>
      </c>
      <c r="E231" s="2" t="s">
        <v>767</v>
      </c>
      <c r="F231" s="2" t="s">
        <v>771</v>
      </c>
      <c r="G231" s="2">
        <v>3</v>
      </c>
      <c r="H231" s="2">
        <v>0</v>
      </c>
      <c r="I231" s="1">
        <v>0</v>
      </c>
      <c r="J231" s="3" t="s">
        <v>17</v>
      </c>
      <c r="K231" s="2" t="str">
        <f>J231*1792.41</f>
        <v>0</v>
      </c>
      <c r="L231" s="5"/>
    </row>
    <row r="232" spans="1:12" customHeight="1" ht="105" outlineLevel="4">
      <c r="A232" s="1"/>
      <c r="B232" s="1">
        <v>826102</v>
      </c>
      <c r="C232" s="1" t="s">
        <v>772</v>
      </c>
      <c r="D232" s="1" t="s">
        <v>773</v>
      </c>
      <c r="E232" s="2" t="s">
        <v>767</v>
      </c>
      <c r="F232" s="2" t="s">
        <v>774</v>
      </c>
      <c r="G232" s="2">
        <v>2</v>
      </c>
      <c r="H232" s="2">
        <v>0</v>
      </c>
      <c r="I232" s="1">
        <v>0</v>
      </c>
      <c r="J232" s="3" t="s">
        <v>17</v>
      </c>
      <c r="K232" s="2" t="str">
        <f>J232*2050.75</f>
        <v>0</v>
      </c>
      <c r="L232" s="5"/>
    </row>
    <row r="233" spans="1:12" customHeight="1" ht="105" outlineLevel="4">
      <c r="A233" s="1"/>
      <c r="B233" s="1">
        <v>826103</v>
      </c>
      <c r="C233" s="1" t="s">
        <v>775</v>
      </c>
      <c r="D233" s="1" t="s">
        <v>776</v>
      </c>
      <c r="E233" s="2" t="s">
        <v>767</v>
      </c>
      <c r="F233" s="2" t="s">
        <v>777</v>
      </c>
      <c r="G233" s="2">
        <v>0</v>
      </c>
      <c r="H233" s="2">
        <v>0</v>
      </c>
      <c r="I233" s="1">
        <v>0</v>
      </c>
      <c r="J233" s="3" t="s">
        <v>17</v>
      </c>
      <c r="K233" s="2" t="str">
        <f>J233*2014.47</f>
        <v>0</v>
      </c>
      <c r="L233" s="5"/>
    </row>
    <row r="234" spans="1:12" customHeight="1" ht="105" outlineLevel="4">
      <c r="A234" s="1"/>
      <c r="B234" s="1">
        <v>826104</v>
      </c>
      <c r="C234" s="1" t="s">
        <v>778</v>
      </c>
      <c r="D234" s="1" t="s">
        <v>779</v>
      </c>
      <c r="E234" s="2" t="s">
        <v>767</v>
      </c>
      <c r="F234" s="2" t="s">
        <v>780</v>
      </c>
      <c r="G234" s="2">
        <v>2</v>
      </c>
      <c r="H234" s="2">
        <v>0</v>
      </c>
      <c r="I234" s="1">
        <v>0</v>
      </c>
      <c r="J234" s="3" t="s">
        <v>17</v>
      </c>
      <c r="K234" s="2" t="str">
        <f>J234*1795.31</f>
        <v>0</v>
      </c>
      <c r="L234" s="5"/>
    </row>
    <row r="235" spans="1:12" customHeight="1" ht="105" outlineLevel="4">
      <c r="A235" s="1"/>
      <c r="B235" s="1">
        <v>826105</v>
      </c>
      <c r="C235" s="1" t="s">
        <v>781</v>
      </c>
      <c r="D235" s="1" t="s">
        <v>782</v>
      </c>
      <c r="E235" s="2" t="s">
        <v>767</v>
      </c>
      <c r="F235" s="2" t="s">
        <v>783</v>
      </c>
      <c r="G235" s="2">
        <v>4</v>
      </c>
      <c r="H235" s="2">
        <v>0</v>
      </c>
      <c r="I235" s="1">
        <v>0</v>
      </c>
      <c r="J235" s="3" t="s">
        <v>17</v>
      </c>
      <c r="K235" s="2" t="str">
        <f>J235*2010.11</f>
        <v>0</v>
      </c>
      <c r="L235" s="5"/>
    </row>
    <row r="236" spans="1:12" customHeight="1" ht="105" outlineLevel="4">
      <c r="A236" s="1"/>
      <c r="B236" s="1">
        <v>826106</v>
      </c>
      <c r="C236" s="1" t="s">
        <v>784</v>
      </c>
      <c r="D236" s="1" t="s">
        <v>785</v>
      </c>
      <c r="E236" s="2" t="s">
        <v>767</v>
      </c>
      <c r="F236" s="2" t="s">
        <v>786</v>
      </c>
      <c r="G236" s="2">
        <v>3</v>
      </c>
      <c r="H236" s="2">
        <v>0</v>
      </c>
      <c r="I236" s="1">
        <v>0</v>
      </c>
      <c r="J236" s="3" t="s">
        <v>17</v>
      </c>
      <c r="K236" s="2" t="str">
        <f>J236*2219.11</f>
        <v>0</v>
      </c>
      <c r="L236" s="5"/>
    </row>
    <row r="237" spans="1:12" outlineLevel="2">
      <c r="A237" s="8" t="s">
        <v>787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5"/>
    </row>
    <row r="238" spans="1:12" customHeight="1" ht="105" outlineLevel="4">
      <c r="A238" s="1"/>
      <c r="B238" s="1">
        <v>827356</v>
      </c>
      <c r="C238" s="1" t="s">
        <v>788</v>
      </c>
      <c r="D238" s="1" t="s">
        <v>789</v>
      </c>
      <c r="E238" s="2" t="s">
        <v>790</v>
      </c>
      <c r="F238" s="2" t="s">
        <v>791</v>
      </c>
      <c r="G238" s="2">
        <v>-23</v>
      </c>
      <c r="H238" s="2">
        <v>0</v>
      </c>
      <c r="I238" s="1" t="s">
        <v>413</v>
      </c>
      <c r="J238" s="3" t="s">
        <v>17</v>
      </c>
      <c r="K238" s="2" t="str">
        <f>J238*217.95</f>
        <v>0</v>
      </c>
      <c r="L238" s="5"/>
    </row>
    <row r="239" spans="1:12" customHeight="1" ht="105" outlineLevel="4">
      <c r="A239" s="1"/>
      <c r="B239" s="1">
        <v>831626</v>
      </c>
      <c r="C239" s="1" t="s">
        <v>792</v>
      </c>
      <c r="D239" s="1" t="s">
        <v>793</v>
      </c>
      <c r="E239" s="2" t="s">
        <v>794</v>
      </c>
      <c r="F239" s="2" t="s">
        <v>791</v>
      </c>
      <c r="G239" s="2" t="s">
        <v>221</v>
      </c>
      <c r="H239" s="2">
        <v>0</v>
      </c>
      <c r="I239" s="1">
        <v>0</v>
      </c>
      <c r="J239" s="3" t="s">
        <v>17</v>
      </c>
      <c r="K239" s="2" t="str">
        <f>J239*217.95</f>
        <v>0</v>
      </c>
      <c r="L239" s="5"/>
    </row>
    <row r="240" spans="1:12" customHeight="1" ht="105" outlineLevel="4">
      <c r="A240" s="1"/>
      <c r="B240" s="1">
        <v>831628</v>
      </c>
      <c r="C240" s="1" t="s">
        <v>795</v>
      </c>
      <c r="D240" s="1" t="s">
        <v>796</v>
      </c>
      <c r="E240" s="2" t="s">
        <v>797</v>
      </c>
      <c r="F240" s="2" t="s">
        <v>580</v>
      </c>
      <c r="G240" s="2" t="s">
        <v>413</v>
      </c>
      <c r="H240" s="2">
        <v>0</v>
      </c>
      <c r="I240" s="1" t="s">
        <v>413</v>
      </c>
      <c r="J240" s="3" t="s">
        <v>17</v>
      </c>
      <c r="K240" s="2" t="str">
        <f>J240*346.59</f>
        <v>0</v>
      </c>
      <c r="L240" s="5"/>
    </row>
    <row r="241" spans="1:12" customHeight="1" ht="105" outlineLevel="4">
      <c r="A241" s="1"/>
      <c r="B241" s="1">
        <v>831629</v>
      </c>
      <c r="C241" s="1" t="s">
        <v>798</v>
      </c>
      <c r="D241" s="1" t="s">
        <v>799</v>
      </c>
      <c r="E241" s="2" t="s">
        <v>800</v>
      </c>
      <c r="F241" s="2" t="s">
        <v>580</v>
      </c>
      <c r="G241" s="2" t="s">
        <v>159</v>
      </c>
      <c r="H241" s="2">
        <v>0</v>
      </c>
      <c r="I241" s="1">
        <v>0</v>
      </c>
      <c r="J241" s="3" t="s">
        <v>17</v>
      </c>
      <c r="K241" s="2" t="str">
        <f>J241*346.59</f>
        <v>0</v>
      </c>
      <c r="L241" s="5"/>
    </row>
    <row r="242" spans="1:12" customHeight="1" ht="105" outlineLevel="4">
      <c r="A242" s="1"/>
      <c r="B242" s="1">
        <v>831631</v>
      </c>
      <c r="C242" s="1" t="s">
        <v>801</v>
      </c>
      <c r="D242" s="1" t="s">
        <v>802</v>
      </c>
      <c r="E242" s="2" t="s">
        <v>803</v>
      </c>
      <c r="F242" s="2" t="s">
        <v>580</v>
      </c>
      <c r="G242" s="2">
        <v>0</v>
      </c>
      <c r="H242" s="2">
        <v>0</v>
      </c>
      <c r="I242" s="1">
        <v>0</v>
      </c>
      <c r="J242" s="3" t="s">
        <v>17</v>
      </c>
      <c r="K242" s="2" t="str">
        <f>J242*346.59</f>
        <v>0</v>
      </c>
      <c r="L242" s="5"/>
    </row>
    <row r="243" spans="1:12" customHeight="1" ht="105" outlineLevel="4">
      <c r="A243" s="1"/>
      <c r="B243" s="1">
        <v>831632</v>
      </c>
      <c r="C243" s="1" t="s">
        <v>804</v>
      </c>
      <c r="D243" s="1" t="s">
        <v>805</v>
      </c>
      <c r="E243" s="2" t="s">
        <v>806</v>
      </c>
      <c r="F243" s="2" t="s">
        <v>807</v>
      </c>
      <c r="G243" s="2" t="s">
        <v>221</v>
      </c>
      <c r="H243" s="2">
        <v>0</v>
      </c>
      <c r="I243" s="1">
        <v>0</v>
      </c>
      <c r="J243" s="3" t="s">
        <v>17</v>
      </c>
      <c r="K243" s="2" t="str">
        <f>J243*366.27</f>
        <v>0</v>
      </c>
      <c r="L243" s="5"/>
    </row>
    <row r="244" spans="1:12" customHeight="1" ht="105" outlineLevel="4">
      <c r="A244" s="1"/>
      <c r="B244" s="1">
        <v>831633</v>
      </c>
      <c r="C244" s="1" t="s">
        <v>808</v>
      </c>
      <c r="D244" s="1" t="s">
        <v>809</v>
      </c>
      <c r="E244" s="2" t="s">
        <v>810</v>
      </c>
      <c r="F244" s="2" t="s">
        <v>244</v>
      </c>
      <c r="G244" s="2" t="s">
        <v>221</v>
      </c>
      <c r="H244" s="2">
        <v>0</v>
      </c>
      <c r="I244" s="1">
        <v>0</v>
      </c>
      <c r="J244" s="3" t="s">
        <v>17</v>
      </c>
      <c r="K244" s="2" t="str">
        <f>J244*426.81</f>
        <v>0</v>
      </c>
      <c r="L244" s="5"/>
    </row>
    <row r="245" spans="1:12" customHeight="1" ht="105" outlineLevel="4">
      <c r="A245" s="1"/>
      <c r="B245" s="1">
        <v>831634</v>
      </c>
      <c r="C245" s="1" t="s">
        <v>811</v>
      </c>
      <c r="D245" s="1" t="s">
        <v>812</v>
      </c>
      <c r="E245" s="2" t="s">
        <v>813</v>
      </c>
      <c r="F245" s="2" t="s">
        <v>814</v>
      </c>
      <c r="G245" s="2">
        <v>0</v>
      </c>
      <c r="H245" s="2">
        <v>0</v>
      </c>
      <c r="I245" s="1">
        <v>0</v>
      </c>
      <c r="J245" s="3" t="s">
        <v>17</v>
      </c>
      <c r="K245" s="2" t="str">
        <f>J245*494.92</f>
        <v>0</v>
      </c>
      <c r="L245" s="5"/>
    </row>
    <row r="246" spans="1:12" customHeight="1" ht="105" outlineLevel="4">
      <c r="A246" s="1"/>
      <c r="B246" s="1">
        <v>831635</v>
      </c>
      <c r="C246" s="1" t="s">
        <v>815</v>
      </c>
      <c r="D246" s="1" t="s">
        <v>816</v>
      </c>
      <c r="E246" s="2" t="s">
        <v>817</v>
      </c>
      <c r="F246" s="2" t="s">
        <v>818</v>
      </c>
      <c r="G246" s="2">
        <v>0</v>
      </c>
      <c r="H246" s="2">
        <v>0</v>
      </c>
      <c r="I246" s="1">
        <v>0</v>
      </c>
      <c r="J246" s="3" t="s">
        <v>17</v>
      </c>
      <c r="K246" s="2" t="str">
        <f>J246*475.24</f>
        <v>0</v>
      </c>
      <c r="L246" s="5"/>
    </row>
    <row r="247" spans="1:12" customHeight="1" ht="105" outlineLevel="4">
      <c r="A247" s="1"/>
      <c r="B247" s="1">
        <v>831636</v>
      </c>
      <c r="C247" s="1" t="s">
        <v>819</v>
      </c>
      <c r="D247" s="1" t="s">
        <v>820</v>
      </c>
      <c r="E247" s="2" t="s">
        <v>821</v>
      </c>
      <c r="F247" s="2" t="s">
        <v>822</v>
      </c>
      <c r="G247" s="2">
        <v>0</v>
      </c>
      <c r="H247" s="2">
        <v>0</v>
      </c>
      <c r="I247" s="1">
        <v>0</v>
      </c>
      <c r="J247" s="3" t="s">
        <v>17</v>
      </c>
      <c r="K247" s="2" t="str">
        <f>J247*460.11</f>
        <v>0</v>
      </c>
      <c r="L247" s="5"/>
    </row>
    <row r="248" spans="1:12" customHeight="1" ht="105" outlineLevel="4">
      <c r="A248" s="1"/>
      <c r="B248" s="1">
        <v>831637</v>
      </c>
      <c r="C248" s="1" t="s">
        <v>823</v>
      </c>
      <c r="D248" s="1" t="s">
        <v>824</v>
      </c>
      <c r="E248" s="2" t="s">
        <v>825</v>
      </c>
      <c r="F248" s="2" t="s">
        <v>630</v>
      </c>
      <c r="G248" s="2">
        <v>0</v>
      </c>
      <c r="H248" s="2">
        <v>0</v>
      </c>
      <c r="I248" s="1">
        <v>0</v>
      </c>
      <c r="J248" s="3" t="s">
        <v>17</v>
      </c>
      <c r="K248" s="2" t="str">
        <f>J248*611.46</f>
        <v>0</v>
      </c>
      <c r="L248" s="5"/>
    </row>
    <row r="249" spans="1:12" customHeight="1" ht="105" outlineLevel="4">
      <c r="A249" s="1"/>
      <c r="B249" s="1">
        <v>831638</v>
      </c>
      <c r="C249" s="1" t="s">
        <v>826</v>
      </c>
      <c r="D249" s="1" t="s">
        <v>827</v>
      </c>
      <c r="E249" s="2" t="s">
        <v>828</v>
      </c>
      <c r="F249" s="2" t="s">
        <v>829</v>
      </c>
      <c r="G249" s="2" t="s">
        <v>38</v>
      </c>
      <c r="H249" s="2">
        <v>0</v>
      </c>
      <c r="I249" s="1">
        <v>0</v>
      </c>
      <c r="J249" s="3" t="s">
        <v>17</v>
      </c>
      <c r="K249" s="2" t="str">
        <f>J249*632.65</f>
        <v>0</v>
      </c>
      <c r="L249" s="5"/>
    </row>
    <row r="250" spans="1:12" customHeight="1" ht="105" outlineLevel="4">
      <c r="A250" s="1"/>
      <c r="B250" s="1">
        <v>831639</v>
      </c>
      <c r="C250" s="1" t="s">
        <v>830</v>
      </c>
      <c r="D250" s="1" t="s">
        <v>831</v>
      </c>
      <c r="E250" s="2" t="s">
        <v>832</v>
      </c>
      <c r="F250" s="2" t="s">
        <v>833</v>
      </c>
      <c r="G250" s="2" t="s">
        <v>38</v>
      </c>
      <c r="H250" s="2">
        <v>0</v>
      </c>
      <c r="I250" s="1">
        <v>0</v>
      </c>
      <c r="J250" s="3" t="s">
        <v>17</v>
      </c>
      <c r="K250" s="2" t="str">
        <f>J250*641.73</f>
        <v>0</v>
      </c>
      <c r="L250" s="5"/>
    </row>
    <row r="251" spans="1:12" customHeight="1" ht="105" outlineLevel="4">
      <c r="A251" s="1"/>
      <c r="B251" s="1">
        <v>831640</v>
      </c>
      <c r="C251" s="1" t="s">
        <v>834</v>
      </c>
      <c r="D251" s="1" t="s">
        <v>835</v>
      </c>
      <c r="E251" s="2" t="s">
        <v>836</v>
      </c>
      <c r="F251" s="2" t="s">
        <v>837</v>
      </c>
      <c r="G251" s="2">
        <v>-4</v>
      </c>
      <c r="H251" s="2">
        <v>0</v>
      </c>
      <c r="I251" s="1" t="s">
        <v>159</v>
      </c>
      <c r="J251" s="3" t="s">
        <v>17</v>
      </c>
      <c r="K251" s="2" t="str">
        <f>J251*682.59</f>
        <v>0</v>
      </c>
      <c r="L251" s="5"/>
    </row>
    <row r="252" spans="1:12" customHeight="1" ht="105" outlineLevel="4">
      <c r="A252" s="1"/>
      <c r="B252" s="1">
        <v>831641</v>
      </c>
      <c r="C252" s="1" t="s">
        <v>838</v>
      </c>
      <c r="D252" s="1" t="s">
        <v>839</v>
      </c>
      <c r="E252" s="2" t="s">
        <v>840</v>
      </c>
      <c r="F252" s="2" t="s">
        <v>626</v>
      </c>
      <c r="G252" s="2">
        <v>0</v>
      </c>
      <c r="H252" s="2">
        <v>0</v>
      </c>
      <c r="I252" s="1">
        <v>0</v>
      </c>
      <c r="J252" s="3" t="s">
        <v>17</v>
      </c>
      <c r="K252" s="2" t="str">
        <f>J252*693.19</f>
        <v>0</v>
      </c>
      <c r="L252" s="5"/>
    </row>
    <row r="253" spans="1:12" customHeight="1" ht="105" outlineLevel="4">
      <c r="A253" s="1"/>
      <c r="B253" s="1">
        <v>831642</v>
      </c>
      <c r="C253" s="1" t="s">
        <v>841</v>
      </c>
      <c r="D253" s="1" t="s">
        <v>842</v>
      </c>
      <c r="E253" s="2" t="s">
        <v>843</v>
      </c>
      <c r="F253" s="2" t="s">
        <v>844</v>
      </c>
      <c r="G253" s="2">
        <v>0</v>
      </c>
      <c r="H253" s="2">
        <v>0</v>
      </c>
      <c r="I253" s="1">
        <v>0</v>
      </c>
      <c r="J253" s="3" t="s">
        <v>17</v>
      </c>
      <c r="K253" s="2" t="str">
        <f>J253*774.92</f>
        <v>0</v>
      </c>
      <c r="L253" s="5"/>
    </row>
    <row r="254" spans="1:12" customHeight="1" ht="105" outlineLevel="4">
      <c r="A254" s="1"/>
      <c r="B254" s="1">
        <v>831643</v>
      </c>
      <c r="C254" s="1" t="s">
        <v>845</v>
      </c>
      <c r="D254" s="1" t="s">
        <v>846</v>
      </c>
      <c r="E254" s="2" t="s">
        <v>847</v>
      </c>
      <c r="F254" s="2" t="s">
        <v>616</v>
      </c>
      <c r="G254" s="2">
        <v>2</v>
      </c>
      <c r="H254" s="2">
        <v>0</v>
      </c>
      <c r="I254" s="1">
        <v>0</v>
      </c>
      <c r="J254" s="3" t="s">
        <v>17</v>
      </c>
      <c r="K254" s="2" t="str">
        <f>J254*570.59</f>
        <v>0</v>
      </c>
      <c r="L254" s="5"/>
    </row>
    <row r="255" spans="1:12" customHeight="1" ht="105" outlineLevel="4">
      <c r="A255" s="1"/>
      <c r="B255" s="1">
        <v>827357</v>
      </c>
      <c r="C255" s="1" t="s">
        <v>848</v>
      </c>
      <c r="D255" s="1" t="s">
        <v>849</v>
      </c>
      <c r="E255" s="2" t="s">
        <v>850</v>
      </c>
      <c r="F255" s="2" t="s">
        <v>851</v>
      </c>
      <c r="G255" s="2">
        <v>5</v>
      </c>
      <c r="H255" s="2">
        <v>0</v>
      </c>
      <c r="I255" s="1">
        <v>0</v>
      </c>
      <c r="J255" s="3" t="s">
        <v>17</v>
      </c>
      <c r="K255" s="2" t="str">
        <f>J255*743.13</f>
        <v>0</v>
      </c>
      <c r="L255" s="5"/>
    </row>
    <row r="256" spans="1:12" customHeight="1" ht="105" outlineLevel="4">
      <c r="A256" s="1"/>
      <c r="B256" s="1">
        <v>831018</v>
      </c>
      <c r="C256" s="1" t="s">
        <v>852</v>
      </c>
      <c r="D256" s="1" t="s">
        <v>853</v>
      </c>
      <c r="E256" s="2" t="s">
        <v>854</v>
      </c>
      <c r="F256" s="2" t="s">
        <v>447</v>
      </c>
      <c r="G256" s="2" t="s">
        <v>221</v>
      </c>
      <c r="H256" s="2">
        <v>0</v>
      </c>
      <c r="I256" s="1">
        <v>0</v>
      </c>
      <c r="J256" s="3" t="s">
        <v>17</v>
      </c>
      <c r="K256" s="2" t="str">
        <f>J256*180.11</f>
        <v>0</v>
      </c>
      <c r="L256" s="5"/>
    </row>
    <row r="257" spans="1:12" customHeight="1" ht="105" outlineLevel="4">
      <c r="A257" s="1"/>
      <c r="B257" s="1">
        <v>821978</v>
      </c>
      <c r="C257" s="1" t="s">
        <v>855</v>
      </c>
      <c r="D257" s="1"/>
      <c r="E257" s="2" t="s">
        <v>856</v>
      </c>
      <c r="F257" s="2" t="s">
        <v>857</v>
      </c>
      <c r="G257" s="2">
        <v>0</v>
      </c>
      <c r="H257" s="2">
        <v>0</v>
      </c>
      <c r="I257" s="1">
        <v>0</v>
      </c>
      <c r="J257" s="3" t="s">
        <v>17</v>
      </c>
      <c r="K257" s="2" t="str">
        <f>J257*183.43</f>
        <v>0</v>
      </c>
      <c r="L257" s="5"/>
    </row>
    <row r="258" spans="1:12" customHeight="1" ht="105" outlineLevel="4">
      <c r="A258" s="1"/>
      <c r="B258" s="1">
        <v>824942</v>
      </c>
      <c r="C258" s="1" t="s">
        <v>858</v>
      </c>
      <c r="D258" s="1" t="s">
        <v>859</v>
      </c>
      <c r="E258" s="2" t="s">
        <v>860</v>
      </c>
      <c r="F258" s="2" t="s">
        <v>861</v>
      </c>
      <c r="G258" s="2" t="s">
        <v>159</v>
      </c>
      <c r="H258" s="2">
        <v>0</v>
      </c>
      <c r="I258" s="1">
        <v>0</v>
      </c>
      <c r="J258" s="3" t="s">
        <v>17</v>
      </c>
      <c r="K258" s="2" t="str">
        <f>J258*327.25</f>
        <v>0</v>
      </c>
      <c r="L258" s="5"/>
    </row>
    <row r="259" spans="1:12" customHeight="1" ht="105" outlineLevel="4">
      <c r="A259" s="1"/>
      <c r="B259" s="1">
        <v>824943</v>
      </c>
      <c r="C259" s="1" t="s">
        <v>862</v>
      </c>
      <c r="D259" s="1" t="s">
        <v>863</v>
      </c>
      <c r="E259" s="2" t="s">
        <v>864</v>
      </c>
      <c r="F259" s="2" t="s">
        <v>865</v>
      </c>
      <c r="G259" s="2" t="s">
        <v>38</v>
      </c>
      <c r="H259" s="2">
        <v>0</v>
      </c>
      <c r="I259" s="1">
        <v>0</v>
      </c>
      <c r="J259" s="3" t="s">
        <v>17</v>
      </c>
      <c r="K259" s="2" t="str">
        <f>J259*351.05</f>
        <v>0</v>
      </c>
      <c r="L259" s="5"/>
    </row>
    <row r="260" spans="1:12" customHeight="1" ht="105" outlineLevel="4">
      <c r="A260" s="1"/>
      <c r="B260" s="1">
        <v>824944</v>
      </c>
      <c r="C260" s="1" t="s">
        <v>866</v>
      </c>
      <c r="D260" s="1" t="s">
        <v>867</v>
      </c>
      <c r="E260" s="2" t="s">
        <v>868</v>
      </c>
      <c r="F260" s="2" t="s">
        <v>869</v>
      </c>
      <c r="G260" s="2">
        <v>0</v>
      </c>
      <c r="H260" s="2">
        <v>0</v>
      </c>
      <c r="I260" s="1">
        <v>0</v>
      </c>
      <c r="J260" s="3" t="s">
        <v>17</v>
      </c>
      <c r="K260" s="2" t="str">
        <f>J260*377.83</f>
        <v>0</v>
      </c>
      <c r="L260" s="5"/>
    </row>
    <row r="261" spans="1:12" customHeight="1" ht="105" outlineLevel="4">
      <c r="A261" s="1"/>
      <c r="B261" s="1">
        <v>824945</v>
      </c>
      <c r="C261" s="1" t="s">
        <v>870</v>
      </c>
      <c r="D261" s="1" t="s">
        <v>871</v>
      </c>
      <c r="E261" s="2" t="s">
        <v>872</v>
      </c>
      <c r="F261" s="2" t="s">
        <v>873</v>
      </c>
      <c r="G261" s="2" t="s">
        <v>413</v>
      </c>
      <c r="H261" s="2">
        <v>0</v>
      </c>
      <c r="I261" s="1">
        <v>0</v>
      </c>
      <c r="J261" s="3" t="s">
        <v>17</v>
      </c>
      <c r="K261" s="2" t="str">
        <f>J261*278.16</f>
        <v>0</v>
      </c>
      <c r="L261" s="5"/>
    </row>
    <row r="262" spans="1:12" customHeight="1" ht="105" outlineLevel="4">
      <c r="A262" s="1"/>
      <c r="B262" s="1">
        <v>824946</v>
      </c>
      <c r="C262" s="1" t="s">
        <v>874</v>
      </c>
      <c r="D262" s="1" t="s">
        <v>875</v>
      </c>
      <c r="E262" s="2" t="s">
        <v>876</v>
      </c>
      <c r="F262" s="2" t="s">
        <v>877</v>
      </c>
      <c r="G262" s="2">
        <v>0</v>
      </c>
      <c r="H262" s="2">
        <v>0</v>
      </c>
      <c r="I262" s="1">
        <v>0</v>
      </c>
      <c r="J262" s="3" t="s">
        <v>17</v>
      </c>
      <c r="K262" s="2" t="str">
        <f>J262*300.48</f>
        <v>0</v>
      </c>
      <c r="L262" s="5"/>
    </row>
    <row r="263" spans="1:12" customHeight="1" ht="105" outlineLevel="4">
      <c r="A263" s="1"/>
      <c r="B263" s="1">
        <v>824947</v>
      </c>
      <c r="C263" s="1" t="s">
        <v>878</v>
      </c>
      <c r="D263" s="1" t="s">
        <v>879</v>
      </c>
      <c r="E263" s="2" t="s">
        <v>880</v>
      </c>
      <c r="F263" s="2" t="s">
        <v>881</v>
      </c>
      <c r="G263" s="2" t="s">
        <v>413</v>
      </c>
      <c r="H263" s="2">
        <v>0</v>
      </c>
      <c r="I263" s="1">
        <v>0</v>
      </c>
      <c r="J263" s="3" t="s">
        <v>17</v>
      </c>
      <c r="K263" s="2" t="str">
        <f>J263*322.79</f>
        <v>0</v>
      </c>
      <c r="L263" s="5"/>
    </row>
    <row r="264" spans="1:12" customHeight="1" ht="105" outlineLevel="4">
      <c r="A264" s="1"/>
      <c r="B264" s="1">
        <v>824948</v>
      </c>
      <c r="C264" s="1" t="s">
        <v>882</v>
      </c>
      <c r="D264" s="1" t="s">
        <v>883</v>
      </c>
      <c r="E264" s="2" t="s">
        <v>884</v>
      </c>
      <c r="F264" s="2" t="s">
        <v>885</v>
      </c>
      <c r="G264" s="2" t="s">
        <v>413</v>
      </c>
      <c r="H264" s="2">
        <v>0</v>
      </c>
      <c r="I264" s="1">
        <v>0</v>
      </c>
      <c r="J264" s="3" t="s">
        <v>17</v>
      </c>
      <c r="K264" s="2" t="str">
        <f>J264*249.90</f>
        <v>0</v>
      </c>
      <c r="L264" s="5"/>
    </row>
    <row r="265" spans="1:12" customHeight="1" ht="105" outlineLevel="4">
      <c r="A265" s="1"/>
      <c r="B265" s="1">
        <v>824949</v>
      </c>
      <c r="C265" s="1" t="s">
        <v>886</v>
      </c>
      <c r="D265" s="1" t="s">
        <v>887</v>
      </c>
      <c r="E265" s="2" t="s">
        <v>888</v>
      </c>
      <c r="F265" s="2" t="s">
        <v>889</v>
      </c>
      <c r="G265" s="2" t="s">
        <v>221</v>
      </c>
      <c r="H265" s="2">
        <v>0</v>
      </c>
      <c r="I265" s="1">
        <v>0</v>
      </c>
      <c r="J265" s="3" t="s">
        <v>17</v>
      </c>
      <c r="K265" s="2" t="str">
        <f>J265*269.24</f>
        <v>0</v>
      </c>
      <c r="L265" s="5"/>
    </row>
    <row r="266" spans="1:12" customHeight="1" ht="105" outlineLevel="4">
      <c r="A266" s="1"/>
      <c r="B266" s="1">
        <v>824950</v>
      </c>
      <c r="C266" s="1" t="s">
        <v>890</v>
      </c>
      <c r="D266" s="1" t="s">
        <v>891</v>
      </c>
      <c r="E266" s="2" t="s">
        <v>892</v>
      </c>
      <c r="F266" s="2" t="s">
        <v>893</v>
      </c>
      <c r="G266" s="2" t="s">
        <v>221</v>
      </c>
      <c r="H266" s="2">
        <v>0</v>
      </c>
      <c r="I266" s="1">
        <v>0</v>
      </c>
      <c r="J266" s="3" t="s">
        <v>17</v>
      </c>
      <c r="K266" s="2" t="str">
        <f>J266*297.50</f>
        <v>0</v>
      </c>
      <c r="L266" s="5"/>
    </row>
    <row r="267" spans="1:12" customHeight="1" ht="105" outlineLevel="4">
      <c r="A267" s="1"/>
      <c r="B267" s="1">
        <v>824951</v>
      </c>
      <c r="C267" s="1" t="s">
        <v>894</v>
      </c>
      <c r="D267" s="1" t="s">
        <v>895</v>
      </c>
      <c r="E267" s="2" t="s">
        <v>896</v>
      </c>
      <c r="F267" s="2" t="s">
        <v>897</v>
      </c>
      <c r="G267" s="2" t="s">
        <v>159</v>
      </c>
      <c r="H267" s="2">
        <v>0</v>
      </c>
      <c r="I267" s="1">
        <v>0</v>
      </c>
      <c r="J267" s="3" t="s">
        <v>17</v>
      </c>
      <c r="K267" s="2" t="str">
        <f>J267*415.01</f>
        <v>0</v>
      </c>
      <c r="L267" s="5"/>
    </row>
    <row r="268" spans="1:12" customHeight="1" ht="105" outlineLevel="4">
      <c r="A268" s="1"/>
      <c r="B268" s="1">
        <v>824952</v>
      </c>
      <c r="C268" s="1" t="s">
        <v>898</v>
      </c>
      <c r="D268" s="1" t="s">
        <v>899</v>
      </c>
      <c r="E268" s="2" t="s">
        <v>900</v>
      </c>
      <c r="F268" s="2" t="s">
        <v>901</v>
      </c>
      <c r="G268" s="2" t="s">
        <v>221</v>
      </c>
      <c r="H268" s="2">
        <v>0</v>
      </c>
      <c r="I268" s="1">
        <v>0</v>
      </c>
      <c r="J268" s="3" t="s">
        <v>17</v>
      </c>
      <c r="K268" s="2" t="str">
        <f>J268*444.76</f>
        <v>0</v>
      </c>
      <c r="L268" s="5"/>
    </row>
    <row r="269" spans="1:12" customHeight="1" ht="105" outlineLevel="4">
      <c r="A269" s="1"/>
      <c r="B269" s="1">
        <v>824953</v>
      </c>
      <c r="C269" s="1" t="s">
        <v>902</v>
      </c>
      <c r="D269" s="1" t="s">
        <v>903</v>
      </c>
      <c r="E269" s="2" t="s">
        <v>904</v>
      </c>
      <c r="F269" s="2" t="s">
        <v>905</v>
      </c>
      <c r="G269" s="2" t="s">
        <v>38</v>
      </c>
      <c r="H269" s="2">
        <v>0</v>
      </c>
      <c r="I269" s="1">
        <v>0</v>
      </c>
      <c r="J269" s="3" t="s">
        <v>17</v>
      </c>
      <c r="K269" s="2" t="str">
        <f>J269*467.08</f>
        <v>0</v>
      </c>
      <c r="L269" s="5"/>
    </row>
    <row r="270" spans="1:12" customHeight="1" ht="105" outlineLevel="4">
      <c r="A270" s="1"/>
      <c r="B270" s="1">
        <v>824954</v>
      </c>
      <c r="C270" s="1" t="s">
        <v>906</v>
      </c>
      <c r="D270" s="1" t="s">
        <v>907</v>
      </c>
      <c r="E270" s="2" t="s">
        <v>908</v>
      </c>
      <c r="F270" s="2" t="s">
        <v>909</v>
      </c>
      <c r="G270" s="2" t="s">
        <v>159</v>
      </c>
      <c r="H270" s="2">
        <v>0</v>
      </c>
      <c r="I270" s="1">
        <v>0</v>
      </c>
      <c r="J270" s="3" t="s">
        <v>17</v>
      </c>
      <c r="K270" s="2" t="str">
        <f>J270*437.33</f>
        <v>0</v>
      </c>
      <c r="L270" s="5"/>
    </row>
    <row r="271" spans="1:12" customHeight="1" ht="105" outlineLevel="4">
      <c r="A271" s="1"/>
      <c r="B271" s="1">
        <v>824955</v>
      </c>
      <c r="C271" s="1" t="s">
        <v>910</v>
      </c>
      <c r="D271" s="1" t="s">
        <v>911</v>
      </c>
      <c r="E271" s="2" t="s">
        <v>912</v>
      </c>
      <c r="F271" s="2" t="s">
        <v>913</v>
      </c>
      <c r="G271" s="2">
        <v>6</v>
      </c>
      <c r="H271" s="2">
        <v>0</v>
      </c>
      <c r="I271" s="1">
        <v>0</v>
      </c>
      <c r="J271" s="3" t="s">
        <v>17</v>
      </c>
      <c r="K271" s="2" t="str">
        <f>J271*462.61</f>
        <v>0</v>
      </c>
      <c r="L271" s="5"/>
    </row>
    <row r="272" spans="1:12" customHeight="1" ht="105" outlineLevel="4">
      <c r="A272" s="1"/>
      <c r="B272" s="1">
        <v>824956</v>
      </c>
      <c r="C272" s="1" t="s">
        <v>914</v>
      </c>
      <c r="D272" s="1" t="s">
        <v>915</v>
      </c>
      <c r="E272" s="2" t="s">
        <v>916</v>
      </c>
      <c r="F272" s="2" t="s">
        <v>917</v>
      </c>
      <c r="G272" s="2">
        <v>0</v>
      </c>
      <c r="H272" s="2">
        <v>0</v>
      </c>
      <c r="I272" s="1">
        <v>0</v>
      </c>
      <c r="J272" s="3" t="s">
        <v>17</v>
      </c>
      <c r="K272" s="2" t="str">
        <f>J272*486.41</f>
        <v>0</v>
      </c>
      <c r="L272" s="5"/>
    </row>
    <row r="273" spans="1:12" customHeight="1" ht="105" outlineLevel="4">
      <c r="A273" s="1"/>
      <c r="B273" s="1">
        <v>824957</v>
      </c>
      <c r="C273" s="1" t="s">
        <v>918</v>
      </c>
      <c r="D273" s="1" t="s">
        <v>919</v>
      </c>
      <c r="E273" s="2" t="s">
        <v>920</v>
      </c>
      <c r="F273" s="2" t="s">
        <v>921</v>
      </c>
      <c r="G273" s="2" t="s">
        <v>38</v>
      </c>
      <c r="H273" s="2">
        <v>0</v>
      </c>
      <c r="I273" s="1">
        <v>0</v>
      </c>
      <c r="J273" s="3" t="s">
        <v>17</v>
      </c>
      <c r="K273" s="2" t="str">
        <f>J273*395.68</f>
        <v>0</v>
      </c>
      <c r="L273" s="5"/>
    </row>
    <row r="274" spans="1:12" customHeight="1" ht="105" outlineLevel="4">
      <c r="A274" s="1"/>
      <c r="B274" s="1">
        <v>824958</v>
      </c>
      <c r="C274" s="1" t="s">
        <v>922</v>
      </c>
      <c r="D274" s="1" t="s">
        <v>923</v>
      </c>
      <c r="E274" s="2" t="s">
        <v>924</v>
      </c>
      <c r="F274" s="2" t="s">
        <v>925</v>
      </c>
      <c r="G274" s="2" t="s">
        <v>38</v>
      </c>
      <c r="H274" s="2">
        <v>0</v>
      </c>
      <c r="I274" s="1">
        <v>0</v>
      </c>
      <c r="J274" s="3" t="s">
        <v>17</v>
      </c>
      <c r="K274" s="2" t="str">
        <f>J274*428.40</f>
        <v>0</v>
      </c>
      <c r="L274" s="5"/>
    </row>
    <row r="275" spans="1:12" customHeight="1" ht="105" outlineLevel="4">
      <c r="A275" s="1"/>
      <c r="B275" s="1">
        <v>824959</v>
      </c>
      <c r="C275" s="1" t="s">
        <v>926</v>
      </c>
      <c r="D275" s="1" t="s">
        <v>927</v>
      </c>
      <c r="E275" s="2" t="s">
        <v>928</v>
      </c>
      <c r="F275" s="2" t="s">
        <v>929</v>
      </c>
      <c r="G275" s="2">
        <v>5</v>
      </c>
      <c r="H275" s="2">
        <v>0</v>
      </c>
      <c r="I275" s="1">
        <v>0</v>
      </c>
      <c r="J275" s="3" t="s">
        <v>17</v>
      </c>
      <c r="K275" s="2" t="str">
        <f>J275*458.15</f>
        <v>0</v>
      </c>
      <c r="L275" s="5"/>
    </row>
    <row r="276" spans="1:12" customHeight="1" ht="105" outlineLevel="4">
      <c r="A276" s="1"/>
      <c r="B276" s="1">
        <v>824960</v>
      </c>
      <c r="C276" s="1" t="s">
        <v>930</v>
      </c>
      <c r="D276" s="1" t="s">
        <v>931</v>
      </c>
      <c r="E276" s="2" t="s">
        <v>932</v>
      </c>
      <c r="F276" s="2" t="s">
        <v>933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J276*453.69</f>
        <v>0</v>
      </c>
      <c r="L276" s="5"/>
    </row>
    <row r="277" spans="1:12" customHeight="1" ht="105" outlineLevel="4">
      <c r="A277" s="1"/>
      <c r="B277" s="1">
        <v>824961</v>
      </c>
      <c r="C277" s="1" t="s">
        <v>934</v>
      </c>
      <c r="D277" s="1" t="s">
        <v>935</v>
      </c>
      <c r="E277" s="2" t="s">
        <v>936</v>
      </c>
      <c r="F277" s="2" t="s">
        <v>937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J277*394.19</f>
        <v>0</v>
      </c>
      <c r="L277" s="5"/>
    </row>
    <row r="278" spans="1:12" customHeight="1" ht="105" outlineLevel="4">
      <c r="A278" s="1"/>
      <c r="B278" s="1">
        <v>878875</v>
      </c>
      <c r="C278" s="1" t="s">
        <v>938</v>
      </c>
      <c r="D278" s="1"/>
      <c r="E278" s="2" t="s">
        <v>939</v>
      </c>
      <c r="F278" s="2" t="s">
        <v>940</v>
      </c>
      <c r="G278" s="2">
        <v>1</v>
      </c>
      <c r="H278" s="2">
        <v>0</v>
      </c>
      <c r="I278" s="1">
        <v>0</v>
      </c>
      <c r="J278" s="3" t="s">
        <v>17</v>
      </c>
      <c r="K278" s="2" t="str">
        <f>J278*410.89</f>
        <v>0</v>
      </c>
      <c r="L278" s="5"/>
    </row>
    <row r="279" spans="1:12" customHeight="1" ht="105" outlineLevel="4">
      <c r="A279" s="1"/>
      <c r="B279" s="1">
        <v>878876</v>
      </c>
      <c r="C279" s="1" t="s">
        <v>941</v>
      </c>
      <c r="D279" s="1"/>
      <c r="E279" s="2" t="s">
        <v>942</v>
      </c>
      <c r="F279" s="2" t="s">
        <v>940</v>
      </c>
      <c r="G279" s="2">
        <v>1</v>
      </c>
      <c r="H279" s="2">
        <v>0</v>
      </c>
      <c r="I279" s="1">
        <v>0</v>
      </c>
      <c r="J279" s="3" t="s">
        <v>17</v>
      </c>
      <c r="K279" s="2" t="str">
        <f>J279*410.89</f>
        <v>0</v>
      </c>
      <c r="L279" s="5"/>
    </row>
    <row r="280" spans="1:12" customHeight="1" ht="105" outlineLevel="4">
      <c r="A280" s="1"/>
      <c r="B280" s="1">
        <v>830331</v>
      </c>
      <c r="C280" s="1" t="s">
        <v>943</v>
      </c>
      <c r="D280" s="1" t="s">
        <v>944</v>
      </c>
      <c r="E280" s="2" t="s">
        <v>945</v>
      </c>
      <c r="F280" s="2" t="s">
        <v>946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J280*301.96</f>
        <v>0</v>
      </c>
      <c r="L280" s="5"/>
    </row>
    <row r="281" spans="1:12" customHeight="1" ht="105" outlineLevel="4">
      <c r="A281" s="1"/>
      <c r="B281" s="1">
        <v>830332</v>
      </c>
      <c r="C281" s="1" t="s">
        <v>947</v>
      </c>
      <c r="D281" s="1" t="s">
        <v>948</v>
      </c>
      <c r="E281" s="2" t="s">
        <v>949</v>
      </c>
      <c r="F281" s="2" t="s">
        <v>950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J281*318.33</f>
        <v>0</v>
      </c>
      <c r="L281" s="5"/>
    </row>
    <row r="282" spans="1:12" customHeight="1" ht="105" outlineLevel="4">
      <c r="A282" s="1"/>
      <c r="B282" s="1">
        <v>830333</v>
      </c>
      <c r="C282" s="1" t="s">
        <v>951</v>
      </c>
      <c r="D282" s="1" t="s">
        <v>952</v>
      </c>
      <c r="E282" s="2" t="s">
        <v>953</v>
      </c>
      <c r="F282" s="2" t="s">
        <v>954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J282*342.13</f>
        <v>0</v>
      </c>
      <c r="L282" s="5"/>
    </row>
    <row r="283" spans="1:12" customHeight="1" ht="105" outlineLevel="4">
      <c r="A283" s="1"/>
      <c r="B283" s="1">
        <v>830334</v>
      </c>
      <c r="C283" s="1" t="s">
        <v>955</v>
      </c>
      <c r="D283" s="1" t="s">
        <v>956</v>
      </c>
      <c r="E283" s="2" t="s">
        <v>957</v>
      </c>
      <c r="F283" s="2" t="s">
        <v>958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J283*315.35</f>
        <v>0</v>
      </c>
      <c r="L283" s="5"/>
    </row>
    <row r="284" spans="1:12" customHeight="1" ht="105" outlineLevel="4">
      <c r="A284" s="1"/>
      <c r="B284" s="1">
        <v>830335</v>
      </c>
      <c r="C284" s="1" t="s">
        <v>959</v>
      </c>
      <c r="D284" s="1" t="s">
        <v>960</v>
      </c>
      <c r="E284" s="2" t="s">
        <v>961</v>
      </c>
      <c r="F284" s="2" t="s">
        <v>954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J284*342.13</f>
        <v>0</v>
      </c>
      <c r="L284" s="5"/>
    </row>
    <row r="285" spans="1:12" customHeight="1" ht="105" outlineLevel="4">
      <c r="A285" s="1"/>
      <c r="B285" s="1">
        <v>830336</v>
      </c>
      <c r="C285" s="1" t="s">
        <v>962</v>
      </c>
      <c r="D285" s="1" t="s">
        <v>963</v>
      </c>
      <c r="E285" s="2" t="s">
        <v>964</v>
      </c>
      <c r="F285" s="2" t="s">
        <v>965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J285*367.41</f>
        <v>0</v>
      </c>
      <c r="L285" s="5"/>
    </row>
    <row r="286" spans="1:12" customHeight="1" ht="105" outlineLevel="4">
      <c r="A286" s="1"/>
      <c r="B286" s="1">
        <v>830337</v>
      </c>
      <c r="C286" s="1" t="s">
        <v>966</v>
      </c>
      <c r="D286" s="1" t="s">
        <v>967</v>
      </c>
      <c r="E286" s="2" t="s">
        <v>968</v>
      </c>
      <c r="F286" s="2" t="s">
        <v>969</v>
      </c>
      <c r="G286" s="2" t="s">
        <v>413</v>
      </c>
      <c r="H286" s="2">
        <v>0</v>
      </c>
      <c r="I286" s="1">
        <v>0</v>
      </c>
      <c r="J286" s="3" t="s">
        <v>17</v>
      </c>
      <c r="K286" s="2" t="str">
        <f>J286*174.04</f>
        <v>0</v>
      </c>
      <c r="L286" s="5"/>
    </row>
    <row r="287" spans="1:12" customHeight="1" ht="105" outlineLevel="4">
      <c r="A287" s="1"/>
      <c r="B287" s="1">
        <v>830338</v>
      </c>
      <c r="C287" s="1" t="s">
        <v>970</v>
      </c>
      <c r="D287" s="1" t="s">
        <v>971</v>
      </c>
      <c r="E287" s="2" t="s">
        <v>972</v>
      </c>
      <c r="F287" s="2" t="s">
        <v>973</v>
      </c>
      <c r="G287" s="2" t="s">
        <v>159</v>
      </c>
      <c r="H287" s="2">
        <v>0</v>
      </c>
      <c r="I287" s="1">
        <v>0</v>
      </c>
      <c r="J287" s="3" t="s">
        <v>17</v>
      </c>
      <c r="K287" s="2" t="str">
        <f>J287*190.40</f>
        <v>0</v>
      </c>
      <c r="L287" s="5"/>
    </row>
    <row r="288" spans="1:12" customHeight="1" ht="105" outlineLevel="4">
      <c r="A288" s="1"/>
      <c r="B288" s="1">
        <v>830339</v>
      </c>
      <c r="C288" s="1" t="s">
        <v>974</v>
      </c>
      <c r="D288" s="1" t="s">
        <v>975</v>
      </c>
      <c r="E288" s="2" t="s">
        <v>976</v>
      </c>
      <c r="F288" s="2" t="s">
        <v>977</v>
      </c>
      <c r="G288" s="2" t="s">
        <v>221</v>
      </c>
      <c r="H288" s="2">
        <v>0</v>
      </c>
      <c r="I288" s="1">
        <v>0</v>
      </c>
      <c r="J288" s="3" t="s">
        <v>17</v>
      </c>
      <c r="K288" s="2" t="str">
        <f>J288*203.79</f>
        <v>0</v>
      </c>
      <c r="L288" s="5"/>
    </row>
    <row r="289" spans="1:12" customHeight="1" ht="105" outlineLevel="4">
      <c r="A289" s="1"/>
      <c r="B289" s="1">
        <v>830340</v>
      </c>
      <c r="C289" s="1" t="s">
        <v>978</v>
      </c>
      <c r="D289" s="1" t="s">
        <v>979</v>
      </c>
      <c r="E289" s="2" t="s">
        <v>980</v>
      </c>
      <c r="F289" s="2" t="s">
        <v>981</v>
      </c>
      <c r="G289" s="2" t="s">
        <v>221</v>
      </c>
      <c r="H289" s="2">
        <v>0</v>
      </c>
      <c r="I289" s="1">
        <v>0</v>
      </c>
      <c r="J289" s="3" t="s">
        <v>17</v>
      </c>
      <c r="K289" s="2" t="str">
        <f>J289*285.60</f>
        <v>0</v>
      </c>
      <c r="L289" s="5"/>
    </row>
    <row r="290" spans="1:12" customHeight="1" ht="105" outlineLevel="4">
      <c r="A290" s="1"/>
      <c r="B290" s="1">
        <v>830341</v>
      </c>
      <c r="C290" s="1" t="s">
        <v>982</v>
      </c>
      <c r="D290" s="1" t="s">
        <v>983</v>
      </c>
      <c r="E290" s="2" t="s">
        <v>984</v>
      </c>
      <c r="F290" s="2" t="s">
        <v>985</v>
      </c>
      <c r="G290" s="2" t="s">
        <v>221</v>
      </c>
      <c r="H290" s="2">
        <v>0</v>
      </c>
      <c r="I290" s="1">
        <v>0</v>
      </c>
      <c r="J290" s="3" t="s">
        <v>17</v>
      </c>
      <c r="K290" s="2" t="str">
        <f>J290*306.43</f>
        <v>0</v>
      </c>
      <c r="L290" s="5"/>
    </row>
    <row r="291" spans="1:12" customHeight="1" ht="105" outlineLevel="4">
      <c r="A291" s="1"/>
      <c r="B291" s="1">
        <v>830342</v>
      </c>
      <c r="C291" s="1" t="s">
        <v>986</v>
      </c>
      <c r="D291" s="1" t="s">
        <v>987</v>
      </c>
      <c r="E291" s="2" t="s">
        <v>988</v>
      </c>
      <c r="F291" s="2" t="s">
        <v>989</v>
      </c>
      <c r="G291" s="2" t="s">
        <v>221</v>
      </c>
      <c r="H291" s="2">
        <v>0</v>
      </c>
      <c r="I291" s="1">
        <v>0</v>
      </c>
      <c r="J291" s="3" t="s">
        <v>17</v>
      </c>
      <c r="K291" s="2" t="str">
        <f>J291*324.28</f>
        <v>0</v>
      </c>
      <c r="L291" s="5"/>
    </row>
    <row r="292" spans="1:12" customHeight="1" ht="105" outlineLevel="4">
      <c r="A292" s="1"/>
      <c r="B292" s="1">
        <v>878964</v>
      </c>
      <c r="C292" s="1" t="s">
        <v>990</v>
      </c>
      <c r="D292" s="1">
        <v>569018</v>
      </c>
      <c r="E292" s="2" t="s">
        <v>991</v>
      </c>
      <c r="F292" s="2" t="s">
        <v>992</v>
      </c>
      <c r="G292" s="2">
        <v>0</v>
      </c>
      <c r="H292" s="2">
        <v>0</v>
      </c>
      <c r="I292" s="1">
        <v>0</v>
      </c>
      <c r="J292" s="3" t="s">
        <v>17</v>
      </c>
      <c r="K292" s="2" t="str">
        <f>J292*66.08</f>
        <v>0</v>
      </c>
      <c r="L292" s="5"/>
    </row>
    <row r="293" spans="1:12" outlineLevel="2">
      <c r="A293" s="8" t="s">
        <v>993</v>
      </c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5"/>
    </row>
    <row r="294" spans="1:12" customHeight="1" ht="105" outlineLevel="4">
      <c r="A294" s="1"/>
      <c r="B294" s="1">
        <v>823189</v>
      </c>
      <c r="C294" s="1" t="s">
        <v>994</v>
      </c>
      <c r="D294" s="1" t="s">
        <v>995</v>
      </c>
      <c r="E294" s="2" t="s">
        <v>996</v>
      </c>
      <c r="F294" s="2" t="s">
        <v>997</v>
      </c>
      <c r="G294" s="2" t="s">
        <v>413</v>
      </c>
      <c r="H294" s="2">
        <v>0</v>
      </c>
      <c r="I294" s="1">
        <v>0</v>
      </c>
      <c r="J294" s="3" t="s">
        <v>17</v>
      </c>
      <c r="K294" s="2" t="str">
        <f>J294*142.80</f>
        <v>0</v>
      </c>
      <c r="L294" s="5"/>
    </row>
    <row r="295" spans="1:12" customHeight="1" ht="105" outlineLevel="4">
      <c r="A295" s="1"/>
      <c r="B295" s="1">
        <v>823190</v>
      </c>
      <c r="C295" s="1" t="s">
        <v>998</v>
      </c>
      <c r="D295" s="1" t="s">
        <v>999</v>
      </c>
      <c r="E295" s="2" t="s">
        <v>1000</v>
      </c>
      <c r="F295" s="2" t="s">
        <v>869</v>
      </c>
      <c r="G295" s="2" t="s">
        <v>38</v>
      </c>
      <c r="H295" s="2">
        <v>0</v>
      </c>
      <c r="I295" s="1">
        <v>0</v>
      </c>
      <c r="J295" s="3" t="s">
        <v>17</v>
      </c>
      <c r="K295" s="2" t="str">
        <f>J295*377.83</f>
        <v>0</v>
      </c>
      <c r="L295" s="5"/>
    </row>
    <row r="296" spans="1:12" customHeight="1" ht="105" outlineLevel="4">
      <c r="A296" s="1"/>
      <c r="B296" s="1">
        <v>823191</v>
      </c>
      <c r="C296" s="1" t="s">
        <v>1001</v>
      </c>
      <c r="D296" s="1" t="s">
        <v>1002</v>
      </c>
      <c r="E296" s="2" t="s">
        <v>1003</v>
      </c>
      <c r="F296" s="2" t="s">
        <v>1004</v>
      </c>
      <c r="G296" s="2" t="s">
        <v>38</v>
      </c>
      <c r="H296" s="2">
        <v>0</v>
      </c>
      <c r="I296" s="1">
        <v>0</v>
      </c>
      <c r="J296" s="3" t="s">
        <v>17</v>
      </c>
      <c r="K296" s="2" t="str">
        <f>J296*489.39</f>
        <v>0</v>
      </c>
      <c r="L296" s="5"/>
    </row>
    <row r="297" spans="1:12" customHeight="1" ht="105" outlineLevel="4">
      <c r="A297" s="1"/>
      <c r="B297" s="1">
        <v>878976</v>
      </c>
      <c r="C297" s="1" t="s">
        <v>1005</v>
      </c>
      <c r="D297" s="1">
        <v>565044</v>
      </c>
      <c r="E297" s="2" t="s">
        <v>1006</v>
      </c>
      <c r="F297" s="2" t="s">
        <v>1007</v>
      </c>
      <c r="G297" s="2">
        <v>3</v>
      </c>
      <c r="H297" s="2">
        <v>0</v>
      </c>
      <c r="I297" s="1">
        <v>0</v>
      </c>
      <c r="J297" s="3" t="s">
        <v>17</v>
      </c>
      <c r="K297" s="2" t="str">
        <f>J297*49.00</f>
        <v>0</v>
      </c>
      <c r="L297" s="5"/>
    </row>
    <row r="298" spans="1:12" customHeight="1" ht="105" outlineLevel="4">
      <c r="A298" s="1"/>
      <c r="B298" s="1">
        <v>827403</v>
      </c>
      <c r="C298" s="1" t="s">
        <v>1008</v>
      </c>
      <c r="D298" s="1" t="s">
        <v>1009</v>
      </c>
      <c r="E298" s="2" t="s">
        <v>1010</v>
      </c>
      <c r="F298" s="2" t="s">
        <v>1011</v>
      </c>
      <c r="G298" s="2" t="s">
        <v>221</v>
      </c>
      <c r="H298" s="2">
        <v>0</v>
      </c>
      <c r="I298" s="1">
        <v>0</v>
      </c>
      <c r="J298" s="3" t="s">
        <v>17</v>
      </c>
      <c r="K298" s="2" t="str">
        <f>J298*101.41</f>
        <v>0</v>
      </c>
      <c r="L298" s="5"/>
    </row>
    <row r="299" spans="1:12" customHeight="1" ht="105" outlineLevel="4">
      <c r="A299" s="1"/>
      <c r="B299" s="1">
        <v>827404</v>
      </c>
      <c r="C299" s="1" t="s">
        <v>1012</v>
      </c>
      <c r="D299" s="1" t="s">
        <v>1013</v>
      </c>
      <c r="E299" s="2" t="s">
        <v>1014</v>
      </c>
      <c r="F299" s="2" t="s">
        <v>1015</v>
      </c>
      <c r="G299" s="2">
        <v>4</v>
      </c>
      <c r="H299" s="2">
        <v>0</v>
      </c>
      <c r="I299" s="1">
        <v>0</v>
      </c>
      <c r="J299" s="3" t="s">
        <v>17</v>
      </c>
      <c r="K299" s="2" t="str">
        <f>J299*705.30</f>
        <v>0</v>
      </c>
      <c r="L299" s="5"/>
    </row>
    <row r="300" spans="1:12" outlineLevel="1">
      <c r="A300" s="7" t="s">
        <v>1016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5"/>
    </row>
    <row r="301" spans="1:12" outlineLevel="2">
      <c r="A301" s="8" t="s">
        <v>1017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5"/>
    </row>
    <row r="302" spans="1:12" outlineLevel="3">
      <c r="A302" s="9" t="s">
        <v>1018</v>
      </c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5"/>
    </row>
    <row r="303" spans="1:12" customHeight="1" ht="105" outlineLevel="5">
      <c r="A303" s="1"/>
      <c r="B303" s="1">
        <v>827205</v>
      </c>
      <c r="C303" s="1" t="s">
        <v>1019</v>
      </c>
      <c r="D303" s="1" t="s">
        <v>1020</v>
      </c>
      <c r="E303" s="2" t="s">
        <v>1021</v>
      </c>
      <c r="F303" s="2" t="s">
        <v>1022</v>
      </c>
      <c r="G303" s="2">
        <v>1</v>
      </c>
      <c r="H303" s="2">
        <v>0</v>
      </c>
      <c r="I303" s="1">
        <v>6</v>
      </c>
      <c r="J303" s="3" t="s">
        <v>17</v>
      </c>
      <c r="K303" s="2" t="str">
        <f>J303*5301.83</f>
        <v>0</v>
      </c>
      <c r="L303" s="5"/>
    </row>
    <row r="304" spans="1:12" customHeight="1" ht="105" outlineLevel="5">
      <c r="A304" s="1"/>
      <c r="B304" s="1">
        <v>827206</v>
      </c>
      <c r="C304" s="1" t="s">
        <v>1023</v>
      </c>
      <c r="D304" s="1" t="s">
        <v>1024</v>
      </c>
      <c r="E304" s="2" t="s">
        <v>1025</v>
      </c>
      <c r="F304" s="2" t="s">
        <v>1026</v>
      </c>
      <c r="G304" s="2">
        <v>10</v>
      </c>
      <c r="H304" s="2">
        <v>0</v>
      </c>
      <c r="I304" s="1">
        <v>0</v>
      </c>
      <c r="J304" s="3" t="s">
        <v>17</v>
      </c>
      <c r="K304" s="2" t="str">
        <f>J304*2656.21</f>
        <v>0</v>
      </c>
      <c r="L304" s="5"/>
    </row>
    <row r="305" spans="1:12" customHeight="1" ht="105" outlineLevel="5">
      <c r="A305" s="1"/>
      <c r="B305" s="1">
        <v>827207</v>
      </c>
      <c r="C305" s="1" t="s">
        <v>1027</v>
      </c>
      <c r="D305" s="1" t="s">
        <v>1028</v>
      </c>
      <c r="E305" s="2" t="s">
        <v>1029</v>
      </c>
      <c r="F305" s="2" t="s">
        <v>1030</v>
      </c>
      <c r="G305" s="2">
        <v>6</v>
      </c>
      <c r="H305" s="2">
        <v>0</v>
      </c>
      <c r="I305" s="1">
        <v>0</v>
      </c>
      <c r="J305" s="3" t="s">
        <v>17</v>
      </c>
      <c r="K305" s="2" t="str">
        <f>J305*4675.24</f>
        <v>0</v>
      </c>
      <c r="L305" s="5"/>
    </row>
    <row r="306" spans="1:12" customHeight="1" ht="105" outlineLevel="5">
      <c r="A306" s="1"/>
      <c r="B306" s="1">
        <v>827209</v>
      </c>
      <c r="C306" s="1" t="s">
        <v>1031</v>
      </c>
      <c r="D306" s="1" t="s">
        <v>1032</v>
      </c>
      <c r="E306" s="2" t="s">
        <v>1033</v>
      </c>
      <c r="F306" s="2" t="s">
        <v>1034</v>
      </c>
      <c r="G306" s="2" t="s">
        <v>38</v>
      </c>
      <c r="H306" s="2">
        <v>0</v>
      </c>
      <c r="I306" s="1">
        <v>0</v>
      </c>
      <c r="J306" s="3" t="s">
        <v>17</v>
      </c>
      <c r="K306" s="2" t="str">
        <f>J306*4890.16</f>
        <v>0</v>
      </c>
      <c r="L306" s="5"/>
    </row>
    <row r="307" spans="1:12" customHeight="1" ht="105" outlineLevel="5">
      <c r="A307" s="1"/>
      <c r="B307" s="1">
        <v>827336</v>
      </c>
      <c r="C307" s="1" t="s">
        <v>1035</v>
      </c>
      <c r="D307" s="1" t="s">
        <v>1036</v>
      </c>
      <c r="E307" s="2" t="s">
        <v>1037</v>
      </c>
      <c r="F307" s="2" t="s">
        <v>1038</v>
      </c>
      <c r="G307" s="2">
        <v>4</v>
      </c>
      <c r="H307" s="2">
        <v>0</v>
      </c>
      <c r="I307" s="1">
        <v>0</v>
      </c>
      <c r="J307" s="3" t="s">
        <v>17</v>
      </c>
      <c r="K307" s="2" t="str">
        <f>J307*5012.75</f>
        <v>0</v>
      </c>
      <c r="L307" s="5"/>
    </row>
    <row r="308" spans="1:12" customHeight="1" ht="105" outlineLevel="5">
      <c r="A308" s="1"/>
      <c r="B308" s="1">
        <v>827344</v>
      </c>
      <c r="C308" s="1" t="s">
        <v>1039</v>
      </c>
      <c r="D308" s="1" t="s">
        <v>1040</v>
      </c>
      <c r="E308" s="2" t="s">
        <v>1041</v>
      </c>
      <c r="F308" s="2" t="s">
        <v>1042</v>
      </c>
      <c r="G308" s="2">
        <v>10</v>
      </c>
      <c r="H308" s="2">
        <v>0</v>
      </c>
      <c r="I308" s="1">
        <v>0</v>
      </c>
      <c r="J308" s="3" t="s">
        <v>17</v>
      </c>
      <c r="K308" s="2" t="str">
        <f>J308*4753.94</f>
        <v>0</v>
      </c>
      <c r="L308" s="5"/>
    </row>
    <row r="309" spans="1:12" customHeight="1" ht="105" outlineLevel="5">
      <c r="A309" s="1"/>
      <c r="B309" s="1">
        <v>827345</v>
      </c>
      <c r="C309" s="1" t="s">
        <v>1043</v>
      </c>
      <c r="D309" s="1" t="s">
        <v>1044</v>
      </c>
      <c r="E309" s="2" t="s">
        <v>1041</v>
      </c>
      <c r="F309" s="2" t="s">
        <v>1045</v>
      </c>
      <c r="G309" s="2">
        <v>0</v>
      </c>
      <c r="H309" s="2">
        <v>0</v>
      </c>
      <c r="I309" s="1">
        <v>0</v>
      </c>
      <c r="J309" s="3" t="s">
        <v>17</v>
      </c>
      <c r="K309" s="2" t="str">
        <f>J309*4629.83</f>
        <v>0</v>
      </c>
      <c r="L309" s="5"/>
    </row>
    <row r="310" spans="1:12" outlineLevel="3">
      <c r="A310" s="9" t="s">
        <v>1046</v>
      </c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5"/>
    </row>
    <row r="311" spans="1:12" customHeight="1" ht="105" outlineLevel="5">
      <c r="A311" s="1"/>
      <c r="B311" s="1">
        <v>827270</v>
      </c>
      <c r="C311" s="1" t="s">
        <v>1047</v>
      </c>
      <c r="D311" s="1" t="s">
        <v>1048</v>
      </c>
      <c r="E311" s="2" t="s">
        <v>1049</v>
      </c>
      <c r="F311" s="2" t="s">
        <v>1050</v>
      </c>
      <c r="G311" s="2">
        <v>2</v>
      </c>
      <c r="H311" s="2">
        <v>0</v>
      </c>
      <c r="I311" s="1">
        <v>0</v>
      </c>
      <c r="J311" s="3" t="s">
        <v>17</v>
      </c>
      <c r="K311" s="2" t="str">
        <f>J311*2551.78</f>
        <v>0</v>
      </c>
      <c r="L311" s="5"/>
    </row>
    <row r="312" spans="1:12" customHeight="1" ht="105" outlineLevel="5">
      <c r="A312" s="1"/>
      <c r="B312" s="1">
        <v>827271</v>
      </c>
      <c r="C312" s="1" t="s">
        <v>1051</v>
      </c>
      <c r="D312" s="1" t="s">
        <v>1052</v>
      </c>
      <c r="E312" s="2" t="s">
        <v>1053</v>
      </c>
      <c r="F312" s="2" t="s">
        <v>1054</v>
      </c>
      <c r="G312" s="2" t="s">
        <v>38</v>
      </c>
      <c r="H312" s="2">
        <v>0</v>
      </c>
      <c r="I312" s="1">
        <v>0</v>
      </c>
      <c r="J312" s="3" t="s">
        <v>17</v>
      </c>
      <c r="K312" s="2" t="str">
        <f>J312*1973.62</f>
        <v>0</v>
      </c>
      <c r="L312" s="5"/>
    </row>
    <row r="313" spans="1:12" customHeight="1" ht="105" outlineLevel="5">
      <c r="A313" s="1"/>
      <c r="B313" s="1">
        <v>827274</v>
      </c>
      <c r="C313" s="1" t="s">
        <v>1055</v>
      </c>
      <c r="D313" s="1" t="s">
        <v>1056</v>
      </c>
      <c r="E313" s="2" t="s">
        <v>1057</v>
      </c>
      <c r="F313" s="2" t="s">
        <v>1058</v>
      </c>
      <c r="G313" s="2" t="s">
        <v>38</v>
      </c>
      <c r="H313" s="2">
        <v>0</v>
      </c>
      <c r="I313" s="1">
        <v>0</v>
      </c>
      <c r="J313" s="3" t="s">
        <v>17</v>
      </c>
      <c r="K313" s="2" t="str">
        <f>J313*5198.91</f>
        <v>0</v>
      </c>
      <c r="L313" s="5"/>
    </row>
    <row r="314" spans="1:12" customHeight="1" ht="105" outlineLevel="5">
      <c r="A314" s="1"/>
      <c r="B314" s="1">
        <v>834698</v>
      </c>
      <c r="C314" s="1" t="s">
        <v>1059</v>
      </c>
      <c r="D314" s="1" t="s">
        <v>1060</v>
      </c>
      <c r="E314" s="2" t="s">
        <v>1061</v>
      </c>
      <c r="F314" s="2" t="s">
        <v>1062</v>
      </c>
      <c r="G314" s="2">
        <v>1</v>
      </c>
      <c r="H314" s="2">
        <v>0</v>
      </c>
      <c r="I314" s="1">
        <v>8</v>
      </c>
      <c r="J314" s="3" t="s">
        <v>17</v>
      </c>
      <c r="K314" s="2" t="str">
        <f>J314*5775.56</f>
        <v>0</v>
      </c>
      <c r="L314" s="5"/>
    </row>
    <row r="315" spans="1:12" outlineLevel="3">
      <c r="A315" s="9" t="s">
        <v>1063</v>
      </c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5"/>
    </row>
    <row r="316" spans="1:12" customHeight="1" ht="105" outlineLevel="5">
      <c r="A316" s="1"/>
      <c r="B316" s="1">
        <v>827083</v>
      </c>
      <c r="C316" s="1" t="s">
        <v>1064</v>
      </c>
      <c r="D316" s="1" t="s">
        <v>1065</v>
      </c>
      <c r="E316" s="2" t="s">
        <v>1066</v>
      </c>
      <c r="F316" s="2" t="s">
        <v>1067</v>
      </c>
      <c r="G316" s="2" t="s">
        <v>38</v>
      </c>
      <c r="H316" s="2">
        <v>0</v>
      </c>
      <c r="I316" s="1">
        <v>10</v>
      </c>
      <c r="J316" s="3" t="s">
        <v>17</v>
      </c>
      <c r="K316" s="2" t="str">
        <f>J316*2570.28</f>
        <v>0</v>
      </c>
      <c r="L316" s="5"/>
    </row>
    <row r="317" spans="1:12" customHeight="1" ht="105" outlineLevel="5">
      <c r="A317" s="1"/>
      <c r="B317" s="1">
        <v>827084</v>
      </c>
      <c r="C317" s="1" t="s">
        <v>1068</v>
      </c>
      <c r="D317" s="1" t="s">
        <v>1069</v>
      </c>
      <c r="E317" s="2" t="s">
        <v>1070</v>
      </c>
      <c r="F317" s="2" t="s">
        <v>1067</v>
      </c>
      <c r="G317" s="2">
        <v>8</v>
      </c>
      <c r="H317" s="2">
        <v>0</v>
      </c>
      <c r="I317" s="1">
        <v>0</v>
      </c>
      <c r="J317" s="3" t="s">
        <v>17</v>
      </c>
      <c r="K317" s="2" t="str">
        <f>J317*2570.28</f>
        <v>0</v>
      </c>
      <c r="L317" s="5"/>
    </row>
    <row r="318" spans="1:12" customHeight="1" ht="105" outlineLevel="5">
      <c r="A318" s="1"/>
      <c r="B318" s="1">
        <v>827085</v>
      </c>
      <c r="C318" s="1" t="s">
        <v>1071</v>
      </c>
      <c r="D318" s="1" t="s">
        <v>1072</v>
      </c>
      <c r="E318" s="2" t="s">
        <v>1073</v>
      </c>
      <c r="F318" s="2" t="s">
        <v>476</v>
      </c>
      <c r="G318" s="2">
        <v>0</v>
      </c>
      <c r="H318" s="2">
        <v>0</v>
      </c>
      <c r="I318" s="1">
        <v>0</v>
      </c>
      <c r="J318" s="3" t="s">
        <v>17</v>
      </c>
      <c r="K318" s="2" t="str">
        <f>J318*0.00</f>
        <v>0</v>
      </c>
      <c r="L318" s="5"/>
    </row>
    <row r="319" spans="1:12" customHeight="1" ht="105" outlineLevel="5">
      <c r="A319" s="1"/>
      <c r="B319" s="1">
        <v>827086</v>
      </c>
      <c r="C319" s="1" t="s">
        <v>1074</v>
      </c>
      <c r="D319" s="1" t="s">
        <v>1075</v>
      </c>
      <c r="E319" s="2" t="s">
        <v>1076</v>
      </c>
      <c r="F319" s="2" t="s">
        <v>476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J319*0.00</f>
        <v>0</v>
      </c>
      <c r="L319" s="5"/>
    </row>
    <row r="320" spans="1:12" customHeight="1" ht="105" outlineLevel="5">
      <c r="A320" s="1"/>
      <c r="B320" s="1">
        <v>827087</v>
      </c>
      <c r="C320" s="1" t="s">
        <v>1077</v>
      </c>
      <c r="D320" s="1" t="s">
        <v>1078</v>
      </c>
      <c r="E320" s="2" t="s">
        <v>1079</v>
      </c>
      <c r="F320" s="2" t="s">
        <v>1080</v>
      </c>
      <c r="G320" s="2" t="s">
        <v>38</v>
      </c>
      <c r="H320" s="2">
        <v>0</v>
      </c>
      <c r="I320" s="1">
        <v>10</v>
      </c>
      <c r="J320" s="3" t="s">
        <v>17</v>
      </c>
      <c r="K320" s="2" t="str">
        <f>J320*3982.05</f>
        <v>0</v>
      </c>
      <c r="L320" s="5"/>
    </row>
    <row r="321" spans="1:12" customHeight="1" ht="105" outlineLevel="5">
      <c r="A321" s="1"/>
      <c r="B321" s="1">
        <v>827088</v>
      </c>
      <c r="C321" s="1" t="s">
        <v>1081</v>
      </c>
      <c r="D321" s="1" t="s">
        <v>1082</v>
      </c>
      <c r="E321" s="2" t="s">
        <v>1083</v>
      </c>
      <c r="F321" s="2" t="s">
        <v>476</v>
      </c>
      <c r="G321" s="2">
        <v>0</v>
      </c>
      <c r="H321" s="2">
        <v>0</v>
      </c>
      <c r="I321" s="1">
        <v>0</v>
      </c>
      <c r="J321" s="3" t="s">
        <v>17</v>
      </c>
      <c r="K321" s="2" t="str">
        <f>J321*0.00</f>
        <v>0</v>
      </c>
      <c r="L321" s="5"/>
    </row>
    <row r="322" spans="1:12" customHeight="1" ht="105" outlineLevel="5">
      <c r="A322" s="1"/>
      <c r="B322" s="1">
        <v>827091</v>
      </c>
      <c r="C322" s="1" t="s">
        <v>1084</v>
      </c>
      <c r="D322" s="1" t="s">
        <v>1085</v>
      </c>
      <c r="E322" s="2" t="s">
        <v>1086</v>
      </c>
      <c r="F322" s="2" t="s">
        <v>1087</v>
      </c>
      <c r="G322" s="2">
        <v>4</v>
      </c>
      <c r="H322" s="2">
        <v>0</v>
      </c>
      <c r="I322" s="1">
        <v>0</v>
      </c>
      <c r="J322" s="3" t="s">
        <v>17</v>
      </c>
      <c r="K322" s="2" t="str">
        <f>J322*2715.55</f>
        <v>0</v>
      </c>
      <c r="L322" s="5"/>
    </row>
    <row r="323" spans="1:12" customHeight="1" ht="105" outlineLevel="5">
      <c r="A323" s="1"/>
      <c r="B323" s="1">
        <v>827092</v>
      </c>
      <c r="C323" s="1" t="s">
        <v>1088</v>
      </c>
      <c r="D323" s="1" t="s">
        <v>1089</v>
      </c>
      <c r="E323" s="2" t="s">
        <v>1090</v>
      </c>
      <c r="F323" s="2" t="s">
        <v>476</v>
      </c>
      <c r="G323" s="2">
        <v>0</v>
      </c>
      <c r="H323" s="2">
        <v>0</v>
      </c>
      <c r="I323" s="1">
        <v>0</v>
      </c>
      <c r="J323" s="3" t="s">
        <v>17</v>
      </c>
      <c r="K323" s="2" t="str">
        <f>J323*0.00</f>
        <v>0</v>
      </c>
      <c r="L323" s="5"/>
    </row>
    <row r="324" spans="1:12" customHeight="1" ht="105" outlineLevel="5">
      <c r="A324" s="1"/>
      <c r="B324" s="1">
        <v>827093</v>
      </c>
      <c r="C324" s="1" t="s">
        <v>1091</v>
      </c>
      <c r="D324" s="1" t="s">
        <v>1092</v>
      </c>
      <c r="E324" s="2" t="s">
        <v>1093</v>
      </c>
      <c r="F324" s="2" t="s">
        <v>1094</v>
      </c>
      <c r="G324" s="2" t="s">
        <v>38</v>
      </c>
      <c r="H324" s="2">
        <v>0</v>
      </c>
      <c r="I324" s="1">
        <v>0</v>
      </c>
      <c r="J324" s="3" t="s">
        <v>17</v>
      </c>
      <c r="K324" s="2" t="str">
        <f>J324*3717.19</f>
        <v>0</v>
      </c>
      <c r="L324" s="5"/>
    </row>
    <row r="325" spans="1:12" customHeight="1" ht="105" outlineLevel="5">
      <c r="A325" s="1"/>
      <c r="B325" s="1">
        <v>827094</v>
      </c>
      <c r="C325" s="1" t="s">
        <v>1095</v>
      </c>
      <c r="D325" s="1" t="s">
        <v>1096</v>
      </c>
      <c r="E325" s="2" t="s">
        <v>1097</v>
      </c>
      <c r="F325" s="2" t="s">
        <v>1094</v>
      </c>
      <c r="G325" s="2">
        <v>0</v>
      </c>
      <c r="H325" s="2">
        <v>0</v>
      </c>
      <c r="I325" s="1">
        <v>0</v>
      </c>
      <c r="J325" s="3" t="s">
        <v>17</v>
      </c>
      <c r="K325" s="2" t="str">
        <f>J325*3717.19</f>
        <v>0</v>
      </c>
      <c r="L325" s="5"/>
    </row>
    <row r="326" spans="1:12" customHeight="1" ht="105" outlineLevel="5">
      <c r="A326" s="1"/>
      <c r="B326" s="1">
        <v>827095</v>
      </c>
      <c r="C326" s="1" t="s">
        <v>1098</v>
      </c>
      <c r="D326" s="1" t="s">
        <v>1099</v>
      </c>
      <c r="E326" s="2" t="s">
        <v>1100</v>
      </c>
      <c r="F326" s="2" t="s">
        <v>1101</v>
      </c>
      <c r="G326" s="2" t="s">
        <v>159</v>
      </c>
      <c r="H326" s="2">
        <v>0</v>
      </c>
      <c r="I326" s="1">
        <v>0</v>
      </c>
      <c r="J326" s="3" t="s">
        <v>17</v>
      </c>
      <c r="K326" s="2" t="str">
        <f>J326*3711.87</f>
        <v>0</v>
      </c>
      <c r="L326" s="5"/>
    </row>
    <row r="327" spans="1:12" customHeight="1" ht="105" outlineLevel="5">
      <c r="A327" s="1"/>
      <c r="B327" s="1">
        <v>827096</v>
      </c>
      <c r="C327" s="1" t="s">
        <v>1102</v>
      </c>
      <c r="D327" s="1" t="s">
        <v>1103</v>
      </c>
      <c r="E327" s="2" t="s">
        <v>1104</v>
      </c>
      <c r="F327" s="2" t="s">
        <v>1101</v>
      </c>
      <c r="G327" s="2" t="s">
        <v>38</v>
      </c>
      <c r="H327" s="2">
        <v>0</v>
      </c>
      <c r="I327" s="1">
        <v>10</v>
      </c>
      <c r="J327" s="3" t="s">
        <v>17</v>
      </c>
      <c r="K327" s="2" t="str">
        <f>J327*3711.87</f>
        <v>0</v>
      </c>
      <c r="L327" s="5"/>
    </row>
    <row r="328" spans="1:12" customHeight="1" ht="105" outlineLevel="5">
      <c r="A328" s="1"/>
      <c r="B328" s="1">
        <v>827097</v>
      </c>
      <c r="C328" s="1" t="s">
        <v>1105</v>
      </c>
      <c r="D328" s="1" t="s">
        <v>1106</v>
      </c>
      <c r="E328" s="2" t="s">
        <v>1107</v>
      </c>
      <c r="F328" s="2" t="s">
        <v>1108</v>
      </c>
      <c r="G328" s="2">
        <v>0</v>
      </c>
      <c r="H328" s="2">
        <v>0</v>
      </c>
      <c r="I328" s="1">
        <v>0</v>
      </c>
      <c r="J328" s="3" t="s">
        <v>17</v>
      </c>
      <c r="K328" s="2" t="str">
        <f>J328*3355.27</f>
        <v>0</v>
      </c>
      <c r="L328" s="5"/>
    </row>
    <row r="329" spans="1:12" customHeight="1" ht="105" outlineLevel="5">
      <c r="A329" s="1"/>
      <c r="B329" s="1">
        <v>827098</v>
      </c>
      <c r="C329" s="1" t="s">
        <v>1109</v>
      </c>
      <c r="D329" s="1" t="s">
        <v>1110</v>
      </c>
      <c r="E329" s="2" t="s">
        <v>1111</v>
      </c>
      <c r="F329" s="2" t="s">
        <v>1108</v>
      </c>
      <c r="G329" s="2">
        <v>0</v>
      </c>
      <c r="H329" s="2">
        <v>0</v>
      </c>
      <c r="I329" s="1">
        <v>0</v>
      </c>
      <c r="J329" s="3" t="s">
        <v>17</v>
      </c>
      <c r="K329" s="2" t="str">
        <f>J329*3355.27</f>
        <v>0</v>
      </c>
      <c r="L329" s="5"/>
    </row>
    <row r="330" spans="1:12" customHeight="1" ht="105" outlineLevel="5">
      <c r="A330" s="1"/>
      <c r="B330" s="1">
        <v>827100</v>
      </c>
      <c r="C330" s="1" t="s">
        <v>1112</v>
      </c>
      <c r="D330" s="1" t="s">
        <v>1113</v>
      </c>
      <c r="E330" s="2" t="s">
        <v>1114</v>
      </c>
      <c r="F330" s="2" t="s">
        <v>1115</v>
      </c>
      <c r="G330" s="2">
        <v>0</v>
      </c>
      <c r="H330" s="2">
        <v>0</v>
      </c>
      <c r="I330" s="1">
        <v>0</v>
      </c>
      <c r="J330" s="3" t="s">
        <v>17</v>
      </c>
      <c r="K330" s="2" t="str">
        <f>J330*5886.44</f>
        <v>0</v>
      </c>
      <c r="L330" s="5"/>
    </row>
    <row r="331" spans="1:12" customHeight="1" ht="105" outlineLevel="5">
      <c r="A331" s="1"/>
      <c r="B331" s="1">
        <v>827103</v>
      </c>
      <c r="C331" s="1" t="s">
        <v>1116</v>
      </c>
      <c r="D331" s="1" t="s">
        <v>1117</v>
      </c>
      <c r="E331" s="2" t="s">
        <v>1118</v>
      </c>
      <c r="F331" s="2" t="s">
        <v>476</v>
      </c>
      <c r="G331" s="2">
        <v>0</v>
      </c>
      <c r="H331" s="2">
        <v>0</v>
      </c>
      <c r="I331" s="1">
        <v>0</v>
      </c>
      <c r="J331" s="3" t="s">
        <v>17</v>
      </c>
      <c r="K331" s="2" t="str">
        <f>J331*0.00</f>
        <v>0</v>
      </c>
      <c r="L331" s="5"/>
    </row>
    <row r="332" spans="1:12" customHeight="1" ht="105" outlineLevel="5">
      <c r="A332" s="1"/>
      <c r="B332" s="1">
        <v>827104</v>
      </c>
      <c r="C332" s="1" t="s">
        <v>1119</v>
      </c>
      <c r="D332" s="1" t="s">
        <v>1120</v>
      </c>
      <c r="E332" s="2" t="s">
        <v>1121</v>
      </c>
      <c r="F332" s="2" t="s">
        <v>1122</v>
      </c>
      <c r="G332" s="2">
        <v>0</v>
      </c>
      <c r="H332" s="2">
        <v>0</v>
      </c>
      <c r="I332" s="1">
        <v>0</v>
      </c>
      <c r="J332" s="3" t="s">
        <v>17</v>
      </c>
      <c r="K332" s="2" t="str">
        <f>J332*6203.54</f>
        <v>0</v>
      </c>
      <c r="L332" s="5"/>
    </row>
    <row r="333" spans="1:12" customHeight="1" ht="105" outlineLevel="5">
      <c r="A333" s="1"/>
      <c r="B333" s="1">
        <v>827105</v>
      </c>
      <c r="C333" s="1" t="s">
        <v>1123</v>
      </c>
      <c r="D333" s="1" t="s">
        <v>1124</v>
      </c>
      <c r="E333" s="2" t="s">
        <v>1125</v>
      </c>
      <c r="F333" s="2" t="s">
        <v>1122</v>
      </c>
      <c r="G333" s="2">
        <v>0</v>
      </c>
      <c r="H333" s="2">
        <v>0</v>
      </c>
      <c r="I333" s="1">
        <v>0</v>
      </c>
      <c r="J333" s="3" t="s">
        <v>17</v>
      </c>
      <c r="K333" s="2" t="str">
        <f>J333*6203.54</f>
        <v>0</v>
      </c>
      <c r="L333" s="5"/>
    </row>
    <row r="334" spans="1:12" customHeight="1" ht="105" outlineLevel="5">
      <c r="A334" s="1"/>
      <c r="B334" s="1">
        <v>827106</v>
      </c>
      <c r="C334" s="1" t="s">
        <v>1126</v>
      </c>
      <c r="D334" s="1" t="s">
        <v>1127</v>
      </c>
      <c r="E334" s="2" t="s">
        <v>1128</v>
      </c>
      <c r="F334" s="2" t="s">
        <v>1129</v>
      </c>
      <c r="G334" s="2">
        <v>5</v>
      </c>
      <c r="H334" s="2">
        <v>0</v>
      </c>
      <c r="I334" s="1">
        <v>0</v>
      </c>
      <c r="J334" s="3" t="s">
        <v>17</v>
      </c>
      <c r="K334" s="2" t="str">
        <f>J334*2828.33</f>
        <v>0</v>
      </c>
      <c r="L334" s="5"/>
    </row>
    <row r="335" spans="1:12" customHeight="1" ht="105" outlineLevel="5">
      <c r="A335" s="1"/>
      <c r="B335" s="1">
        <v>827107</v>
      </c>
      <c r="C335" s="1" t="s">
        <v>1130</v>
      </c>
      <c r="D335" s="1" t="s">
        <v>1131</v>
      </c>
      <c r="E335" s="2" t="s">
        <v>1132</v>
      </c>
      <c r="F335" s="2" t="s">
        <v>476</v>
      </c>
      <c r="G335" s="2">
        <v>0</v>
      </c>
      <c r="H335" s="2">
        <v>0</v>
      </c>
      <c r="I335" s="1">
        <v>0</v>
      </c>
      <c r="J335" s="3" t="s">
        <v>17</v>
      </c>
      <c r="K335" s="2" t="str">
        <f>J335*0.00</f>
        <v>0</v>
      </c>
      <c r="L335" s="5"/>
    </row>
    <row r="336" spans="1:12" customHeight="1" ht="105" outlineLevel="5">
      <c r="A336" s="1"/>
      <c r="B336" s="1">
        <v>827109</v>
      </c>
      <c r="C336" s="1" t="s">
        <v>1133</v>
      </c>
      <c r="D336" s="1" t="s">
        <v>1134</v>
      </c>
      <c r="E336" s="2" t="s">
        <v>1135</v>
      </c>
      <c r="F336" s="2" t="s">
        <v>1136</v>
      </c>
      <c r="G336" s="2">
        <v>5</v>
      </c>
      <c r="H336" s="2">
        <v>0</v>
      </c>
      <c r="I336" s="1">
        <v>0</v>
      </c>
      <c r="J336" s="3" t="s">
        <v>17</v>
      </c>
      <c r="K336" s="2" t="str">
        <f>J336*3769.58</f>
        <v>0</v>
      </c>
      <c r="L336" s="5"/>
    </row>
    <row r="337" spans="1:12" customHeight="1" ht="105" outlineLevel="5">
      <c r="A337" s="1"/>
      <c r="B337" s="1">
        <v>827110</v>
      </c>
      <c r="C337" s="1" t="s">
        <v>1137</v>
      </c>
      <c r="D337" s="1" t="s">
        <v>1138</v>
      </c>
      <c r="E337" s="2" t="s">
        <v>1139</v>
      </c>
      <c r="F337" s="2" t="s">
        <v>1140</v>
      </c>
      <c r="G337" s="2">
        <v>4</v>
      </c>
      <c r="H337" s="2">
        <v>0</v>
      </c>
      <c r="I337" s="1">
        <v>0</v>
      </c>
      <c r="J337" s="3" t="s">
        <v>17</v>
      </c>
      <c r="K337" s="2" t="str">
        <f>J337*2828.34</f>
        <v>0</v>
      </c>
      <c r="L337" s="5"/>
    </row>
    <row r="338" spans="1:12" customHeight="1" ht="105" outlineLevel="5">
      <c r="A338" s="1"/>
      <c r="B338" s="1">
        <v>827111</v>
      </c>
      <c r="C338" s="1" t="s">
        <v>1141</v>
      </c>
      <c r="D338" s="1" t="s">
        <v>1142</v>
      </c>
      <c r="E338" s="2" t="s">
        <v>1143</v>
      </c>
      <c r="F338" s="2" t="s">
        <v>476</v>
      </c>
      <c r="G338" s="2">
        <v>0</v>
      </c>
      <c r="H338" s="2">
        <v>0</v>
      </c>
      <c r="I338" s="1">
        <v>0</v>
      </c>
      <c r="J338" s="3" t="s">
        <v>17</v>
      </c>
      <c r="K338" s="2" t="str">
        <f>J338*0.00</f>
        <v>0</v>
      </c>
      <c r="L338" s="5"/>
    </row>
    <row r="339" spans="1:12" customHeight="1" ht="105" outlineLevel="5">
      <c r="A339" s="1"/>
      <c r="B339" s="1">
        <v>827113</v>
      </c>
      <c r="C339" s="1" t="s">
        <v>1144</v>
      </c>
      <c r="D339" s="1" t="s">
        <v>1145</v>
      </c>
      <c r="E339" s="2" t="s">
        <v>1146</v>
      </c>
      <c r="F339" s="2" t="s">
        <v>1136</v>
      </c>
      <c r="G339" s="2">
        <v>5</v>
      </c>
      <c r="H339" s="2">
        <v>0</v>
      </c>
      <c r="I339" s="1">
        <v>0</v>
      </c>
      <c r="J339" s="3" t="s">
        <v>17</v>
      </c>
      <c r="K339" s="2" t="str">
        <f>J339*3769.58</f>
        <v>0</v>
      </c>
      <c r="L339" s="5"/>
    </row>
    <row r="340" spans="1:12" customHeight="1" ht="105" outlineLevel="5">
      <c r="A340" s="1"/>
      <c r="B340" s="1">
        <v>827114</v>
      </c>
      <c r="C340" s="1" t="s">
        <v>1147</v>
      </c>
      <c r="D340" s="1" t="s">
        <v>1148</v>
      </c>
      <c r="E340" s="2" t="s">
        <v>1149</v>
      </c>
      <c r="F340" s="2" t="s">
        <v>1150</v>
      </c>
      <c r="G340" s="2">
        <v>7</v>
      </c>
      <c r="H340" s="2">
        <v>0</v>
      </c>
      <c r="I340" s="1">
        <v>9</v>
      </c>
      <c r="J340" s="3" t="s">
        <v>17</v>
      </c>
      <c r="K340" s="2" t="str">
        <f>J340*2427.67</f>
        <v>0</v>
      </c>
      <c r="L340" s="5"/>
    </row>
    <row r="341" spans="1:12" customHeight="1" ht="105" outlineLevel="5">
      <c r="A341" s="1"/>
      <c r="B341" s="1">
        <v>827126</v>
      </c>
      <c r="C341" s="1" t="s">
        <v>1151</v>
      </c>
      <c r="D341" s="1" t="s">
        <v>1152</v>
      </c>
      <c r="E341" s="2" t="s">
        <v>1153</v>
      </c>
      <c r="F341" s="2" t="s">
        <v>1154</v>
      </c>
      <c r="G341" s="2">
        <v>9</v>
      </c>
      <c r="H341" s="2">
        <v>0</v>
      </c>
      <c r="I341" s="1" t="s">
        <v>38</v>
      </c>
      <c r="J341" s="3" t="s">
        <v>17</v>
      </c>
      <c r="K341" s="2" t="str">
        <f>J341*3285.83</f>
        <v>0</v>
      </c>
      <c r="L341" s="5"/>
    </row>
    <row r="342" spans="1:12" customHeight="1" ht="105" outlineLevel="5">
      <c r="A342" s="1"/>
      <c r="B342" s="1">
        <v>827128</v>
      </c>
      <c r="C342" s="1" t="s">
        <v>1155</v>
      </c>
      <c r="D342" s="1" t="s">
        <v>1156</v>
      </c>
      <c r="E342" s="2" t="s">
        <v>1157</v>
      </c>
      <c r="F342" s="2" t="s">
        <v>1158</v>
      </c>
      <c r="G342" s="2">
        <v>10</v>
      </c>
      <c r="H342" s="2">
        <v>0</v>
      </c>
      <c r="I342" s="1">
        <v>0</v>
      </c>
      <c r="J342" s="3" t="s">
        <v>17</v>
      </c>
      <c r="K342" s="2" t="str">
        <f>J342*6166.05</f>
        <v>0</v>
      </c>
      <c r="L342" s="5"/>
    </row>
    <row r="343" spans="1:12" customHeight="1" ht="105" outlineLevel="5">
      <c r="A343" s="1"/>
      <c r="B343" s="1">
        <v>827130</v>
      </c>
      <c r="C343" s="1" t="s">
        <v>1159</v>
      </c>
      <c r="D343" s="1" t="s">
        <v>1160</v>
      </c>
      <c r="E343" s="2" t="s">
        <v>1161</v>
      </c>
      <c r="F343" s="2" t="s">
        <v>1162</v>
      </c>
      <c r="G343" s="2">
        <v>8</v>
      </c>
      <c r="H343" s="2">
        <v>0</v>
      </c>
      <c r="I343" s="1">
        <v>0</v>
      </c>
      <c r="J343" s="3" t="s">
        <v>17</v>
      </c>
      <c r="K343" s="2" t="str">
        <f>J343*4028.97</f>
        <v>0</v>
      </c>
      <c r="L343" s="5"/>
    </row>
    <row r="344" spans="1:12" customHeight="1" ht="105" outlineLevel="5">
      <c r="A344" s="1"/>
      <c r="B344" s="1">
        <v>827131</v>
      </c>
      <c r="C344" s="1" t="s">
        <v>1163</v>
      </c>
      <c r="D344" s="1" t="s">
        <v>1164</v>
      </c>
      <c r="E344" s="2" t="s">
        <v>1165</v>
      </c>
      <c r="F344" s="2" t="s">
        <v>1166</v>
      </c>
      <c r="G344" s="2">
        <v>7</v>
      </c>
      <c r="H344" s="2">
        <v>0</v>
      </c>
      <c r="I344" s="1">
        <v>8</v>
      </c>
      <c r="J344" s="3" t="s">
        <v>17</v>
      </c>
      <c r="K344" s="2" t="str">
        <f>J344*5481.94</f>
        <v>0</v>
      </c>
      <c r="L344" s="5"/>
    </row>
    <row r="345" spans="1:12" customHeight="1" ht="105" outlineLevel="5">
      <c r="A345" s="1"/>
      <c r="B345" s="1">
        <v>827132</v>
      </c>
      <c r="C345" s="1" t="s">
        <v>1167</v>
      </c>
      <c r="D345" s="1" t="s">
        <v>1168</v>
      </c>
      <c r="E345" s="2" t="s">
        <v>1169</v>
      </c>
      <c r="F345" s="2" t="s">
        <v>1166</v>
      </c>
      <c r="G345" s="2">
        <v>4</v>
      </c>
      <c r="H345" s="2">
        <v>0</v>
      </c>
      <c r="I345" s="1">
        <v>8</v>
      </c>
      <c r="J345" s="3" t="s">
        <v>17</v>
      </c>
      <c r="K345" s="2" t="str">
        <f>J345*5481.94</f>
        <v>0</v>
      </c>
      <c r="L345" s="5"/>
    </row>
    <row r="346" spans="1:12" customHeight="1" ht="105" outlineLevel="5">
      <c r="A346" s="1"/>
      <c r="B346" s="1">
        <v>827136</v>
      </c>
      <c r="C346" s="1" t="s">
        <v>1170</v>
      </c>
      <c r="D346" s="1" t="s">
        <v>1171</v>
      </c>
      <c r="E346" s="2" t="s">
        <v>1172</v>
      </c>
      <c r="F346" s="2" t="s">
        <v>476</v>
      </c>
      <c r="G346" s="2">
        <v>0</v>
      </c>
      <c r="H346" s="2">
        <v>0</v>
      </c>
      <c r="I346" s="1">
        <v>0</v>
      </c>
      <c r="J346" s="3" t="s">
        <v>17</v>
      </c>
      <c r="K346" s="2" t="str">
        <f>J346*0.00</f>
        <v>0</v>
      </c>
      <c r="L346" s="5"/>
    </row>
    <row r="347" spans="1:12" customHeight="1" ht="105" outlineLevel="5">
      <c r="A347" s="1"/>
      <c r="B347" s="1">
        <v>827141</v>
      </c>
      <c r="C347" s="1" t="s">
        <v>1173</v>
      </c>
      <c r="D347" s="1" t="s">
        <v>1174</v>
      </c>
      <c r="E347" s="2" t="s">
        <v>1175</v>
      </c>
      <c r="F347" s="2" t="s">
        <v>476</v>
      </c>
      <c r="G347" s="2">
        <v>0</v>
      </c>
      <c r="H347" s="2">
        <v>0</v>
      </c>
      <c r="I347" s="1">
        <v>0</v>
      </c>
      <c r="J347" s="3" t="s">
        <v>17</v>
      </c>
      <c r="K347" s="2" t="str">
        <f>J347*0.00</f>
        <v>0</v>
      </c>
      <c r="L347" s="5"/>
    </row>
    <row r="348" spans="1:12" customHeight="1" ht="105" outlineLevel="5">
      <c r="A348" s="1"/>
      <c r="B348" s="1">
        <v>827142</v>
      </c>
      <c r="C348" s="1" t="s">
        <v>1176</v>
      </c>
      <c r="D348" s="1" t="s">
        <v>1177</v>
      </c>
      <c r="E348" s="2" t="s">
        <v>1178</v>
      </c>
      <c r="F348" s="2" t="s">
        <v>476</v>
      </c>
      <c r="G348" s="2">
        <v>0</v>
      </c>
      <c r="H348" s="2">
        <v>0</v>
      </c>
      <c r="I348" s="1">
        <v>0</v>
      </c>
      <c r="J348" s="3" t="s">
        <v>17</v>
      </c>
      <c r="K348" s="2" t="str">
        <f>J348*0.00</f>
        <v>0</v>
      </c>
      <c r="L348" s="5"/>
    </row>
    <row r="349" spans="1:12" customHeight="1" ht="105" outlineLevel="5">
      <c r="A349" s="1"/>
      <c r="B349" s="1">
        <v>827145</v>
      </c>
      <c r="C349" s="1" t="s">
        <v>1179</v>
      </c>
      <c r="D349" s="1" t="s">
        <v>1180</v>
      </c>
      <c r="E349" s="2" t="s">
        <v>1181</v>
      </c>
      <c r="F349" s="2" t="s">
        <v>476</v>
      </c>
      <c r="G349" s="2">
        <v>0</v>
      </c>
      <c r="H349" s="2">
        <v>0</v>
      </c>
      <c r="I349" s="1">
        <v>0</v>
      </c>
      <c r="J349" s="3" t="s">
        <v>17</v>
      </c>
      <c r="K349" s="2" t="str">
        <f>J349*0.00</f>
        <v>0</v>
      </c>
      <c r="L349" s="5"/>
    </row>
    <row r="350" spans="1:12" customHeight="1" ht="105" outlineLevel="5">
      <c r="A350" s="1"/>
      <c r="B350" s="1">
        <v>827147</v>
      </c>
      <c r="C350" s="1" t="s">
        <v>1182</v>
      </c>
      <c r="D350" s="1" t="s">
        <v>1183</v>
      </c>
      <c r="E350" s="2" t="s">
        <v>1184</v>
      </c>
      <c r="F350" s="2" t="s">
        <v>476</v>
      </c>
      <c r="G350" s="2">
        <v>0</v>
      </c>
      <c r="H350" s="2">
        <v>0</v>
      </c>
      <c r="I350" s="1">
        <v>0</v>
      </c>
      <c r="J350" s="3" t="s">
        <v>17</v>
      </c>
      <c r="K350" s="2" t="str">
        <f>J350*0.00</f>
        <v>0</v>
      </c>
      <c r="L350" s="5"/>
    </row>
    <row r="351" spans="1:12" customHeight="1" ht="105" outlineLevel="5">
      <c r="A351" s="1"/>
      <c r="B351" s="1">
        <v>827148</v>
      </c>
      <c r="C351" s="1" t="s">
        <v>1185</v>
      </c>
      <c r="D351" s="1" t="s">
        <v>1186</v>
      </c>
      <c r="E351" s="2" t="s">
        <v>1187</v>
      </c>
      <c r="F351" s="2" t="s">
        <v>476</v>
      </c>
      <c r="G351" s="2">
        <v>0</v>
      </c>
      <c r="H351" s="2">
        <v>0</v>
      </c>
      <c r="I351" s="1">
        <v>0</v>
      </c>
      <c r="J351" s="3" t="s">
        <v>17</v>
      </c>
      <c r="K351" s="2" t="str">
        <f>J351*0.00</f>
        <v>0</v>
      </c>
      <c r="L351" s="5"/>
    </row>
    <row r="352" spans="1:12" customHeight="1" ht="105" outlineLevel="5">
      <c r="A352" s="1"/>
      <c r="B352" s="1">
        <v>827149</v>
      </c>
      <c r="C352" s="1" t="s">
        <v>1188</v>
      </c>
      <c r="D352" s="1" t="s">
        <v>1189</v>
      </c>
      <c r="E352" s="2" t="s">
        <v>1190</v>
      </c>
      <c r="F352" s="2" t="s">
        <v>1191</v>
      </c>
      <c r="G352" s="2">
        <v>-25</v>
      </c>
      <c r="H352" s="2">
        <v>0</v>
      </c>
      <c r="I352" s="1" t="s">
        <v>159</v>
      </c>
      <c r="J352" s="3" t="s">
        <v>17</v>
      </c>
      <c r="K352" s="2" t="str">
        <f>J352*2899.89</f>
        <v>0</v>
      </c>
      <c r="L352" s="5"/>
    </row>
    <row r="353" spans="1:12" customHeight="1" ht="105" outlineLevel="5">
      <c r="A353" s="1"/>
      <c r="B353" s="1">
        <v>827151</v>
      </c>
      <c r="C353" s="1" t="s">
        <v>1192</v>
      </c>
      <c r="D353" s="1" t="s">
        <v>1193</v>
      </c>
      <c r="E353" s="2" t="s">
        <v>1194</v>
      </c>
      <c r="F353" s="2" t="s">
        <v>1195</v>
      </c>
      <c r="G353" s="2">
        <v>8</v>
      </c>
      <c r="H353" s="2">
        <v>0</v>
      </c>
      <c r="I353" s="1">
        <v>0</v>
      </c>
      <c r="J353" s="3" t="s">
        <v>17</v>
      </c>
      <c r="K353" s="2" t="str">
        <f>J353*5917.83</f>
        <v>0</v>
      </c>
      <c r="L353" s="5"/>
    </row>
    <row r="354" spans="1:12" customHeight="1" ht="105" outlineLevel="5">
      <c r="A354" s="1"/>
      <c r="B354" s="1">
        <v>827154</v>
      </c>
      <c r="C354" s="1" t="s">
        <v>1196</v>
      </c>
      <c r="D354" s="1" t="s">
        <v>1197</v>
      </c>
      <c r="E354" s="2" t="s">
        <v>1198</v>
      </c>
      <c r="F354" s="2" t="s">
        <v>1199</v>
      </c>
      <c r="G354" s="2">
        <v>0</v>
      </c>
      <c r="H354" s="2">
        <v>0</v>
      </c>
      <c r="I354" s="1">
        <v>8</v>
      </c>
      <c r="J354" s="3" t="s">
        <v>17</v>
      </c>
      <c r="K354" s="2" t="str">
        <f>J354*5359.35</f>
        <v>0</v>
      </c>
      <c r="L354" s="5"/>
    </row>
    <row r="355" spans="1:12" customHeight="1" ht="105" outlineLevel="5">
      <c r="A355" s="1"/>
      <c r="B355" s="1">
        <v>827164</v>
      </c>
      <c r="C355" s="1" t="s">
        <v>1200</v>
      </c>
      <c r="D355" s="1" t="s">
        <v>1201</v>
      </c>
      <c r="E355" s="2" t="s">
        <v>1202</v>
      </c>
      <c r="F355" s="2" t="s">
        <v>1203</v>
      </c>
      <c r="G355" s="2">
        <v>5</v>
      </c>
      <c r="H355" s="2">
        <v>0</v>
      </c>
      <c r="I355" s="1">
        <v>10</v>
      </c>
      <c r="J355" s="3" t="s">
        <v>17</v>
      </c>
      <c r="K355" s="2" t="str">
        <f>J355*2342.92</f>
        <v>0</v>
      </c>
      <c r="L355" s="5"/>
    </row>
    <row r="356" spans="1:12" customHeight="1" ht="105" outlineLevel="5">
      <c r="A356" s="1"/>
      <c r="B356" s="1">
        <v>827166</v>
      </c>
      <c r="C356" s="1" t="s">
        <v>1204</v>
      </c>
      <c r="D356" s="1" t="s">
        <v>1205</v>
      </c>
      <c r="E356" s="2" t="s">
        <v>1206</v>
      </c>
      <c r="F356" s="2" t="s">
        <v>1207</v>
      </c>
      <c r="G356" s="2">
        <v>7</v>
      </c>
      <c r="H356" s="2">
        <v>0</v>
      </c>
      <c r="I356" s="1">
        <v>8</v>
      </c>
      <c r="J356" s="3" t="s">
        <v>17</v>
      </c>
      <c r="K356" s="2" t="str">
        <f>J356*4006.27</f>
        <v>0</v>
      </c>
      <c r="L356" s="5"/>
    </row>
    <row r="357" spans="1:12" customHeight="1" ht="105" outlineLevel="5">
      <c r="A357" s="1"/>
      <c r="B357" s="1">
        <v>827170</v>
      </c>
      <c r="C357" s="1" t="s">
        <v>1208</v>
      </c>
      <c r="D357" s="1" t="s">
        <v>1209</v>
      </c>
      <c r="E357" s="2" t="s">
        <v>1210</v>
      </c>
      <c r="F357" s="2" t="s">
        <v>1211</v>
      </c>
      <c r="G357" s="2" t="s">
        <v>159</v>
      </c>
      <c r="H357" s="2">
        <v>0</v>
      </c>
      <c r="I357" s="1">
        <v>8</v>
      </c>
      <c r="J357" s="3" t="s">
        <v>17</v>
      </c>
      <c r="K357" s="2" t="str">
        <f>J357*3691.46</f>
        <v>0</v>
      </c>
      <c r="L357" s="5"/>
    </row>
    <row r="358" spans="1:12" customHeight="1" ht="105" outlineLevel="5">
      <c r="A358" s="1"/>
      <c r="B358" s="1">
        <v>827172</v>
      </c>
      <c r="C358" s="1" t="s">
        <v>1212</v>
      </c>
      <c r="D358" s="1" t="s">
        <v>1213</v>
      </c>
      <c r="E358" s="2" t="s">
        <v>1214</v>
      </c>
      <c r="F358" s="2" t="s">
        <v>1215</v>
      </c>
      <c r="G358" s="2">
        <v>0</v>
      </c>
      <c r="H358" s="2">
        <v>0</v>
      </c>
      <c r="I358" s="1">
        <v>9</v>
      </c>
      <c r="J358" s="3" t="s">
        <v>17</v>
      </c>
      <c r="K358" s="2" t="str">
        <f>J358*2657.73</f>
        <v>0</v>
      </c>
      <c r="L358" s="5"/>
    </row>
    <row r="359" spans="1:12" customHeight="1" ht="105" outlineLevel="5">
      <c r="A359" s="1"/>
      <c r="B359" s="1">
        <v>827174</v>
      </c>
      <c r="C359" s="1" t="s">
        <v>1216</v>
      </c>
      <c r="D359" s="1" t="s">
        <v>1217</v>
      </c>
      <c r="E359" s="2" t="s">
        <v>1218</v>
      </c>
      <c r="F359" s="2" t="s">
        <v>1219</v>
      </c>
      <c r="G359" s="2" t="s">
        <v>38</v>
      </c>
      <c r="H359" s="2">
        <v>0</v>
      </c>
      <c r="I359" s="1">
        <v>0</v>
      </c>
      <c r="J359" s="3" t="s">
        <v>17</v>
      </c>
      <c r="K359" s="2" t="str">
        <f>J359*5382.05</f>
        <v>0</v>
      </c>
      <c r="L359" s="5"/>
    </row>
    <row r="360" spans="1:12" customHeight="1" ht="105" outlineLevel="5">
      <c r="A360" s="1"/>
      <c r="B360" s="1">
        <v>827183</v>
      </c>
      <c r="C360" s="1" t="s">
        <v>1220</v>
      </c>
      <c r="D360" s="1" t="s">
        <v>1221</v>
      </c>
      <c r="E360" s="2" t="s">
        <v>1222</v>
      </c>
      <c r="F360" s="2" t="s">
        <v>1223</v>
      </c>
      <c r="G360" s="2">
        <v>0</v>
      </c>
      <c r="H360" s="2">
        <v>0</v>
      </c>
      <c r="I360" s="1">
        <v>0</v>
      </c>
      <c r="J360" s="3" t="s">
        <v>17</v>
      </c>
      <c r="K360" s="2" t="str">
        <f>J360*3535.56</f>
        <v>0</v>
      </c>
      <c r="L360" s="5"/>
    </row>
    <row r="361" spans="1:12" customHeight="1" ht="105" outlineLevel="5">
      <c r="A361" s="1"/>
      <c r="B361" s="1">
        <v>827184</v>
      </c>
      <c r="C361" s="1" t="s">
        <v>1224</v>
      </c>
      <c r="D361" s="1" t="s">
        <v>1225</v>
      </c>
      <c r="E361" s="2" t="s">
        <v>1226</v>
      </c>
      <c r="F361" s="2" t="s">
        <v>1227</v>
      </c>
      <c r="G361" s="2">
        <v>0</v>
      </c>
      <c r="H361" s="2">
        <v>0</v>
      </c>
      <c r="I361" s="1">
        <v>0</v>
      </c>
      <c r="J361" s="3" t="s">
        <v>17</v>
      </c>
      <c r="K361" s="2" t="str">
        <f>J361*5224.64</f>
        <v>0</v>
      </c>
      <c r="L361" s="5"/>
    </row>
    <row r="362" spans="1:12" customHeight="1" ht="105" outlineLevel="5">
      <c r="A362" s="1"/>
      <c r="B362" s="1">
        <v>827185</v>
      </c>
      <c r="C362" s="1" t="s">
        <v>1228</v>
      </c>
      <c r="D362" s="1" t="s">
        <v>1229</v>
      </c>
      <c r="E362" s="2" t="s">
        <v>1230</v>
      </c>
      <c r="F362" s="2" t="s">
        <v>1231</v>
      </c>
      <c r="G362" s="2">
        <v>5</v>
      </c>
      <c r="H362" s="2">
        <v>0</v>
      </c>
      <c r="I362" s="1">
        <v>0</v>
      </c>
      <c r="J362" s="3" t="s">
        <v>17</v>
      </c>
      <c r="K362" s="2" t="str">
        <f>J362*3045.19</f>
        <v>0</v>
      </c>
      <c r="L362" s="5"/>
    </row>
    <row r="363" spans="1:12" customHeight="1" ht="105" outlineLevel="5">
      <c r="A363" s="1"/>
      <c r="B363" s="1">
        <v>827187</v>
      </c>
      <c r="C363" s="1" t="s">
        <v>1232</v>
      </c>
      <c r="D363" s="1" t="s">
        <v>1233</v>
      </c>
      <c r="E363" s="2" t="s">
        <v>1234</v>
      </c>
      <c r="F363" s="2" t="s">
        <v>1235</v>
      </c>
      <c r="G363" s="2">
        <v>7</v>
      </c>
      <c r="H363" s="2">
        <v>0</v>
      </c>
      <c r="I363" s="1">
        <v>0</v>
      </c>
      <c r="J363" s="3" t="s">
        <v>17</v>
      </c>
      <c r="K363" s="2" t="str">
        <f>J363*5283.67</f>
        <v>0</v>
      </c>
      <c r="L363" s="5"/>
    </row>
    <row r="364" spans="1:12" customHeight="1" ht="105" outlineLevel="5">
      <c r="A364" s="1"/>
      <c r="B364" s="1">
        <v>827190</v>
      </c>
      <c r="C364" s="1" t="s">
        <v>1236</v>
      </c>
      <c r="D364" s="1" t="s">
        <v>1237</v>
      </c>
      <c r="E364" s="2" t="s">
        <v>1238</v>
      </c>
      <c r="F364" s="2" t="s">
        <v>1239</v>
      </c>
      <c r="G364" s="2">
        <v>0</v>
      </c>
      <c r="H364" s="2">
        <v>0</v>
      </c>
      <c r="I364" s="1">
        <v>0</v>
      </c>
      <c r="J364" s="3" t="s">
        <v>17</v>
      </c>
      <c r="K364" s="2" t="str">
        <f>J364*5173.18</f>
        <v>0</v>
      </c>
      <c r="L364" s="5"/>
    </row>
    <row r="365" spans="1:12" customHeight="1" ht="105" outlineLevel="5">
      <c r="A365" s="1"/>
      <c r="B365" s="1">
        <v>827191</v>
      </c>
      <c r="C365" s="1" t="s">
        <v>1240</v>
      </c>
      <c r="D365" s="1" t="s">
        <v>1241</v>
      </c>
      <c r="E365" s="2" t="s">
        <v>1242</v>
      </c>
      <c r="F365" s="2" t="s">
        <v>1243</v>
      </c>
      <c r="G365" s="2">
        <v>1</v>
      </c>
      <c r="H365" s="2">
        <v>0</v>
      </c>
      <c r="I365" s="1">
        <v>6</v>
      </c>
      <c r="J365" s="3" t="s">
        <v>17</v>
      </c>
      <c r="K365" s="2" t="str">
        <f>J365*5861.83</f>
        <v>0</v>
      </c>
      <c r="L365" s="5"/>
    </row>
    <row r="366" spans="1:12" customHeight="1" ht="105" outlineLevel="5">
      <c r="A366" s="1"/>
      <c r="B366" s="1">
        <v>827193</v>
      </c>
      <c r="C366" s="1" t="s">
        <v>1244</v>
      </c>
      <c r="D366" s="1" t="s">
        <v>1245</v>
      </c>
      <c r="E366" s="2" t="s">
        <v>1246</v>
      </c>
      <c r="F366" s="2" t="s">
        <v>1231</v>
      </c>
      <c r="G366" s="2">
        <v>3</v>
      </c>
      <c r="H366" s="2">
        <v>0</v>
      </c>
      <c r="I366" s="1">
        <v>0</v>
      </c>
      <c r="J366" s="3" t="s">
        <v>17</v>
      </c>
      <c r="K366" s="2" t="str">
        <f>J366*3045.19</f>
        <v>0</v>
      </c>
      <c r="L366" s="5"/>
    </row>
    <row r="367" spans="1:12" customHeight="1" ht="105" outlineLevel="5">
      <c r="A367" s="1"/>
      <c r="B367" s="1">
        <v>827194</v>
      </c>
      <c r="C367" s="1" t="s">
        <v>1247</v>
      </c>
      <c r="D367" s="1" t="s">
        <v>1248</v>
      </c>
      <c r="E367" s="2" t="s">
        <v>1249</v>
      </c>
      <c r="F367" s="2" t="s">
        <v>1250</v>
      </c>
      <c r="G367" s="2">
        <v>6</v>
      </c>
      <c r="H367" s="2">
        <v>0</v>
      </c>
      <c r="I367" s="1">
        <v>0</v>
      </c>
      <c r="J367" s="3" t="s">
        <v>17</v>
      </c>
      <c r="K367" s="2" t="str">
        <f>J367*4914.37</f>
        <v>0</v>
      </c>
      <c r="L367" s="5"/>
    </row>
    <row r="368" spans="1:12" customHeight="1" ht="105" outlineLevel="5">
      <c r="A368" s="1"/>
      <c r="B368" s="1">
        <v>827197</v>
      </c>
      <c r="C368" s="1" t="s">
        <v>1251</v>
      </c>
      <c r="D368" s="1" t="s">
        <v>1252</v>
      </c>
      <c r="E368" s="2" t="s">
        <v>1253</v>
      </c>
      <c r="F368" s="2" t="s">
        <v>1254</v>
      </c>
      <c r="G368" s="2">
        <v>7</v>
      </c>
      <c r="H368" s="2">
        <v>0</v>
      </c>
      <c r="I368" s="1">
        <v>0</v>
      </c>
      <c r="J368" s="3" t="s">
        <v>17</v>
      </c>
      <c r="K368" s="2" t="str">
        <f>J368*3462.92</f>
        <v>0</v>
      </c>
      <c r="L368" s="5"/>
    </row>
    <row r="369" spans="1:12" customHeight="1" ht="105" outlineLevel="5">
      <c r="A369" s="1"/>
      <c r="B369" s="1">
        <v>827198</v>
      </c>
      <c r="C369" s="1" t="s">
        <v>1255</v>
      </c>
      <c r="D369" s="1" t="s">
        <v>1256</v>
      </c>
      <c r="E369" s="2" t="s">
        <v>1257</v>
      </c>
      <c r="F369" s="2" t="s">
        <v>1258</v>
      </c>
      <c r="G369" s="2">
        <v>2</v>
      </c>
      <c r="H369" s="2">
        <v>0</v>
      </c>
      <c r="I369" s="1">
        <v>10</v>
      </c>
      <c r="J369" s="3" t="s">
        <v>17</v>
      </c>
      <c r="K369" s="2" t="str">
        <f>J369*4287.78</f>
        <v>0</v>
      </c>
      <c r="L369" s="5"/>
    </row>
    <row r="370" spans="1:12" customHeight="1" ht="105" outlineLevel="5">
      <c r="A370" s="1"/>
      <c r="B370" s="1">
        <v>827199</v>
      </c>
      <c r="C370" s="1" t="s">
        <v>1259</v>
      </c>
      <c r="D370" s="1" t="s">
        <v>1260</v>
      </c>
      <c r="E370" s="2" t="s">
        <v>1261</v>
      </c>
      <c r="F370" s="2" t="s">
        <v>1262</v>
      </c>
      <c r="G370" s="2">
        <v>4</v>
      </c>
      <c r="H370" s="2">
        <v>0</v>
      </c>
      <c r="I370" s="1">
        <v>0</v>
      </c>
      <c r="J370" s="3" t="s">
        <v>17</v>
      </c>
      <c r="K370" s="2" t="str">
        <f>J370*4896.21</f>
        <v>0</v>
      </c>
      <c r="L370" s="5"/>
    </row>
    <row r="371" spans="1:12" customHeight="1" ht="105" outlineLevel="5">
      <c r="A371" s="1"/>
      <c r="B371" s="1">
        <v>827201</v>
      </c>
      <c r="C371" s="1" t="s">
        <v>1263</v>
      </c>
      <c r="D371" s="1" t="s">
        <v>1264</v>
      </c>
      <c r="E371" s="2" t="s">
        <v>1265</v>
      </c>
      <c r="F371" s="2" t="s">
        <v>1266</v>
      </c>
      <c r="G371" s="2" t="s">
        <v>38</v>
      </c>
      <c r="H371" s="2">
        <v>0</v>
      </c>
      <c r="I371" s="1">
        <v>10</v>
      </c>
      <c r="J371" s="3" t="s">
        <v>17</v>
      </c>
      <c r="K371" s="2" t="str">
        <f>J371*2457.94</f>
        <v>0</v>
      </c>
      <c r="L371" s="5"/>
    </row>
    <row r="372" spans="1:12" customHeight="1" ht="105" outlineLevel="5">
      <c r="A372" s="1"/>
      <c r="B372" s="1">
        <v>827204</v>
      </c>
      <c r="C372" s="1" t="s">
        <v>1267</v>
      </c>
      <c r="D372" s="1" t="s">
        <v>1268</v>
      </c>
      <c r="E372" s="2" t="s">
        <v>1269</v>
      </c>
      <c r="F372" s="2" t="s">
        <v>1270</v>
      </c>
      <c r="G372" s="2">
        <v>-10</v>
      </c>
      <c r="H372" s="2">
        <v>0</v>
      </c>
      <c r="I372" s="1">
        <v>10</v>
      </c>
      <c r="J372" s="3" t="s">
        <v>17</v>
      </c>
      <c r="K372" s="2" t="str">
        <f>J372*2211.24</f>
        <v>0</v>
      </c>
      <c r="L372" s="5"/>
    </row>
    <row r="373" spans="1:12" customHeight="1" ht="105" outlineLevel="5">
      <c r="A373" s="1"/>
      <c r="B373" s="1">
        <v>827211</v>
      </c>
      <c r="C373" s="1" t="s">
        <v>1271</v>
      </c>
      <c r="D373" s="1" t="s">
        <v>1272</v>
      </c>
      <c r="E373" s="2" t="s">
        <v>1273</v>
      </c>
      <c r="F373" s="2" t="s">
        <v>1274</v>
      </c>
      <c r="G373" s="2" t="s">
        <v>38</v>
      </c>
      <c r="H373" s="2">
        <v>0</v>
      </c>
      <c r="I373" s="1">
        <v>0</v>
      </c>
      <c r="J373" s="3" t="s">
        <v>17</v>
      </c>
      <c r="K373" s="2" t="str">
        <f>J373*2084.11</f>
        <v>0</v>
      </c>
      <c r="L373" s="5"/>
    </row>
    <row r="374" spans="1:12" customHeight="1" ht="105" outlineLevel="5">
      <c r="A374" s="1"/>
      <c r="B374" s="1">
        <v>827214</v>
      </c>
      <c r="C374" s="1" t="s">
        <v>1275</v>
      </c>
      <c r="D374" s="1" t="s">
        <v>1276</v>
      </c>
      <c r="E374" s="2" t="s">
        <v>1277</v>
      </c>
      <c r="F374" s="2" t="s">
        <v>1278</v>
      </c>
      <c r="G374" s="2">
        <v>0</v>
      </c>
      <c r="H374" s="2">
        <v>0</v>
      </c>
      <c r="I374" s="1">
        <v>1</v>
      </c>
      <c r="J374" s="3" t="s">
        <v>17</v>
      </c>
      <c r="K374" s="2" t="str">
        <f>J374*3721.73</f>
        <v>0</v>
      </c>
      <c r="L374" s="5"/>
    </row>
    <row r="375" spans="1:12" customHeight="1" ht="105" outlineLevel="5">
      <c r="A375" s="1"/>
      <c r="B375" s="1">
        <v>827217</v>
      </c>
      <c r="C375" s="1" t="s">
        <v>1279</v>
      </c>
      <c r="D375" s="1" t="s">
        <v>1280</v>
      </c>
      <c r="E375" s="2" t="s">
        <v>1281</v>
      </c>
      <c r="F375" s="2" t="s">
        <v>1282</v>
      </c>
      <c r="G375" s="2">
        <v>4</v>
      </c>
      <c r="H375" s="2">
        <v>0</v>
      </c>
      <c r="I375" s="1">
        <v>0</v>
      </c>
      <c r="J375" s="3" t="s">
        <v>17</v>
      </c>
      <c r="K375" s="2" t="str">
        <f>J375*2221.84</f>
        <v>0</v>
      </c>
      <c r="L375" s="5"/>
    </row>
    <row r="376" spans="1:12" customHeight="1" ht="105" outlineLevel="5">
      <c r="A376" s="1"/>
      <c r="B376" s="1">
        <v>827219</v>
      </c>
      <c r="C376" s="1" t="s">
        <v>1283</v>
      </c>
      <c r="D376" s="1" t="s">
        <v>1284</v>
      </c>
      <c r="E376" s="2" t="s">
        <v>1285</v>
      </c>
      <c r="F376" s="2" t="s">
        <v>1286</v>
      </c>
      <c r="G376" s="2" t="s">
        <v>38</v>
      </c>
      <c r="H376" s="2">
        <v>0</v>
      </c>
      <c r="I376" s="1">
        <v>10</v>
      </c>
      <c r="J376" s="3" t="s">
        <v>17</v>
      </c>
      <c r="K376" s="2" t="str">
        <f>J376*2886.27</f>
        <v>0</v>
      </c>
      <c r="L376" s="5"/>
    </row>
    <row r="377" spans="1:12" customHeight="1" ht="105" outlineLevel="5">
      <c r="A377" s="1"/>
      <c r="B377" s="1">
        <v>827220</v>
      </c>
      <c r="C377" s="1" t="s">
        <v>1287</v>
      </c>
      <c r="D377" s="1" t="s">
        <v>1288</v>
      </c>
      <c r="E377" s="2" t="s">
        <v>1289</v>
      </c>
      <c r="F377" s="2" t="s">
        <v>1286</v>
      </c>
      <c r="G377" s="2">
        <v>0</v>
      </c>
      <c r="H377" s="2">
        <v>0</v>
      </c>
      <c r="I377" s="1">
        <v>0</v>
      </c>
      <c r="J377" s="3" t="s">
        <v>17</v>
      </c>
      <c r="K377" s="2" t="str">
        <f>J377*2886.27</f>
        <v>0</v>
      </c>
      <c r="L377" s="5"/>
    </row>
    <row r="378" spans="1:12" customHeight="1" ht="105" outlineLevel="5">
      <c r="A378" s="1"/>
      <c r="B378" s="1">
        <v>827222</v>
      </c>
      <c r="C378" s="1" t="s">
        <v>1290</v>
      </c>
      <c r="D378" s="1" t="s">
        <v>1291</v>
      </c>
      <c r="E378" s="2" t="s">
        <v>1292</v>
      </c>
      <c r="F378" s="2" t="s">
        <v>1293</v>
      </c>
      <c r="G378" s="2" t="s">
        <v>159</v>
      </c>
      <c r="H378" s="2">
        <v>0</v>
      </c>
      <c r="I378" s="1">
        <v>0</v>
      </c>
      <c r="J378" s="3" t="s">
        <v>17</v>
      </c>
      <c r="K378" s="2" t="str">
        <f>J378*3067.89</f>
        <v>0</v>
      </c>
      <c r="L378" s="5"/>
    </row>
    <row r="379" spans="1:12" customHeight="1" ht="105" outlineLevel="5">
      <c r="A379" s="1"/>
      <c r="B379" s="1">
        <v>827224</v>
      </c>
      <c r="C379" s="1" t="s">
        <v>1294</v>
      </c>
      <c r="D379" s="1" t="s">
        <v>1295</v>
      </c>
      <c r="E379" s="2" t="s">
        <v>1296</v>
      </c>
      <c r="F379" s="2" t="s">
        <v>1297</v>
      </c>
      <c r="G379" s="2" t="s">
        <v>159</v>
      </c>
      <c r="H379" s="2">
        <v>0</v>
      </c>
      <c r="I379" s="1">
        <v>10</v>
      </c>
      <c r="J379" s="3" t="s">
        <v>17</v>
      </c>
      <c r="K379" s="2" t="str">
        <f>J379*3497.73</f>
        <v>0</v>
      </c>
      <c r="L379" s="5"/>
    </row>
    <row r="380" spans="1:12" customHeight="1" ht="105" outlineLevel="5">
      <c r="A380" s="1"/>
      <c r="B380" s="1">
        <v>827225</v>
      </c>
      <c r="C380" s="1" t="s">
        <v>1298</v>
      </c>
      <c r="D380" s="1" t="s">
        <v>1299</v>
      </c>
      <c r="E380" s="2" t="s">
        <v>1300</v>
      </c>
      <c r="F380" s="2" t="s">
        <v>1297</v>
      </c>
      <c r="G380" s="2" t="s">
        <v>38</v>
      </c>
      <c r="H380" s="2">
        <v>0</v>
      </c>
      <c r="I380" s="1">
        <v>10</v>
      </c>
      <c r="J380" s="3" t="s">
        <v>17</v>
      </c>
      <c r="K380" s="2" t="str">
        <f>J380*3497.73</f>
        <v>0</v>
      </c>
      <c r="L380" s="5"/>
    </row>
    <row r="381" spans="1:12" customHeight="1" ht="105" outlineLevel="5">
      <c r="A381" s="1"/>
      <c r="B381" s="1">
        <v>827226</v>
      </c>
      <c r="C381" s="1" t="s">
        <v>1301</v>
      </c>
      <c r="D381" s="1" t="s">
        <v>1302</v>
      </c>
      <c r="E381" s="2" t="s">
        <v>1303</v>
      </c>
      <c r="F381" s="2" t="s">
        <v>1297</v>
      </c>
      <c r="G381" s="2" t="s">
        <v>38</v>
      </c>
      <c r="H381" s="2">
        <v>0</v>
      </c>
      <c r="I381" s="1">
        <v>0</v>
      </c>
      <c r="J381" s="3" t="s">
        <v>17</v>
      </c>
      <c r="K381" s="2" t="str">
        <f>J381*3497.73</f>
        <v>0</v>
      </c>
      <c r="L381" s="5"/>
    </row>
    <row r="382" spans="1:12" customHeight="1" ht="105" outlineLevel="5">
      <c r="A382" s="1"/>
      <c r="B382" s="1">
        <v>827286</v>
      </c>
      <c r="C382" s="1" t="s">
        <v>1304</v>
      </c>
      <c r="D382" s="1" t="s">
        <v>1305</v>
      </c>
      <c r="E382" s="2" t="s">
        <v>1306</v>
      </c>
      <c r="F382" s="2" t="s">
        <v>1307</v>
      </c>
      <c r="G382" s="2">
        <v>4</v>
      </c>
      <c r="H382" s="2">
        <v>0</v>
      </c>
      <c r="I382" s="1">
        <v>0</v>
      </c>
      <c r="J382" s="3" t="s">
        <v>17</v>
      </c>
      <c r="K382" s="2" t="str">
        <f>J382*4089.51</f>
        <v>0</v>
      </c>
      <c r="L382" s="5"/>
    </row>
    <row r="383" spans="1:12" customHeight="1" ht="105" outlineLevel="5">
      <c r="A383" s="1"/>
      <c r="B383" s="1">
        <v>827287</v>
      </c>
      <c r="C383" s="1" t="s">
        <v>1308</v>
      </c>
      <c r="D383" s="1" t="s">
        <v>1309</v>
      </c>
      <c r="E383" s="2" t="s">
        <v>1310</v>
      </c>
      <c r="F383" s="2" t="s">
        <v>1311</v>
      </c>
      <c r="G383" s="2" t="s">
        <v>38</v>
      </c>
      <c r="H383" s="2">
        <v>0</v>
      </c>
      <c r="I383" s="1">
        <v>10</v>
      </c>
      <c r="J383" s="3" t="s">
        <v>17</v>
      </c>
      <c r="K383" s="2" t="str">
        <f>J383*1999.35</f>
        <v>0</v>
      </c>
      <c r="L383" s="5"/>
    </row>
    <row r="384" spans="1:12" customHeight="1" ht="105" outlineLevel="5">
      <c r="A384" s="1"/>
      <c r="B384" s="1">
        <v>827288</v>
      </c>
      <c r="C384" s="1" t="s">
        <v>1312</v>
      </c>
      <c r="D384" s="1" t="s">
        <v>1313</v>
      </c>
      <c r="E384" s="2" t="s">
        <v>1314</v>
      </c>
      <c r="F384" s="2" t="s">
        <v>1315</v>
      </c>
      <c r="G384" s="2">
        <v>-1</v>
      </c>
      <c r="H384" s="2">
        <v>0</v>
      </c>
      <c r="I384" s="1">
        <v>10</v>
      </c>
      <c r="J384" s="3" t="s">
        <v>17</v>
      </c>
      <c r="K384" s="2" t="str">
        <f>J384*3257.08</f>
        <v>0</v>
      </c>
      <c r="L384" s="5"/>
    </row>
    <row r="385" spans="1:12" customHeight="1" ht="105" outlineLevel="5">
      <c r="A385" s="1"/>
      <c r="B385" s="1">
        <v>827292</v>
      </c>
      <c r="C385" s="1" t="s">
        <v>1316</v>
      </c>
      <c r="D385" s="1" t="s">
        <v>1317</v>
      </c>
      <c r="E385" s="2" t="s">
        <v>1318</v>
      </c>
      <c r="F385" s="2" t="s">
        <v>1319</v>
      </c>
      <c r="G385" s="2">
        <v>7</v>
      </c>
      <c r="H385" s="2">
        <v>0</v>
      </c>
      <c r="I385" s="1">
        <v>0</v>
      </c>
      <c r="J385" s="3" t="s">
        <v>17</v>
      </c>
      <c r="K385" s="2" t="str">
        <f>J385*2787.89</f>
        <v>0</v>
      </c>
      <c r="L385" s="5"/>
    </row>
    <row r="386" spans="1:12" customHeight="1" ht="105" outlineLevel="5">
      <c r="A386" s="1"/>
      <c r="B386" s="1">
        <v>827293</v>
      </c>
      <c r="C386" s="1" t="s">
        <v>1320</v>
      </c>
      <c r="D386" s="1" t="s">
        <v>1321</v>
      </c>
      <c r="E386" s="2" t="s">
        <v>1322</v>
      </c>
      <c r="F386" s="2" t="s">
        <v>1319</v>
      </c>
      <c r="G386" s="2" t="s">
        <v>159</v>
      </c>
      <c r="H386" s="2">
        <v>0</v>
      </c>
      <c r="I386" s="1" t="s">
        <v>38</v>
      </c>
      <c r="J386" s="3" t="s">
        <v>17</v>
      </c>
      <c r="K386" s="2" t="str">
        <f>J386*2787.89</f>
        <v>0</v>
      </c>
      <c r="L386" s="5"/>
    </row>
    <row r="387" spans="1:12" customHeight="1" ht="105" outlineLevel="5">
      <c r="A387" s="1"/>
      <c r="B387" s="1">
        <v>827294</v>
      </c>
      <c r="C387" s="1" t="s">
        <v>1323</v>
      </c>
      <c r="D387" s="1" t="s">
        <v>1324</v>
      </c>
      <c r="E387" s="2" t="s">
        <v>1325</v>
      </c>
      <c r="F387" s="2" t="s">
        <v>1319</v>
      </c>
      <c r="G387" s="2">
        <v>0</v>
      </c>
      <c r="H387" s="2">
        <v>0</v>
      </c>
      <c r="I387" s="1" t="s">
        <v>221</v>
      </c>
      <c r="J387" s="3" t="s">
        <v>17</v>
      </c>
      <c r="K387" s="2" t="str">
        <f>J387*2787.89</f>
        <v>0</v>
      </c>
      <c r="L387" s="5"/>
    </row>
    <row r="388" spans="1:12" customHeight="1" ht="105" outlineLevel="5">
      <c r="A388" s="1"/>
      <c r="B388" s="1">
        <v>827297</v>
      </c>
      <c r="C388" s="1" t="s">
        <v>1326</v>
      </c>
      <c r="D388" s="1" t="s">
        <v>1327</v>
      </c>
      <c r="E388" s="2" t="s">
        <v>1328</v>
      </c>
      <c r="F388" s="2" t="s">
        <v>1329</v>
      </c>
      <c r="G388" s="2" t="s">
        <v>38</v>
      </c>
      <c r="H388" s="2">
        <v>0</v>
      </c>
      <c r="I388" s="1">
        <v>10</v>
      </c>
      <c r="J388" s="3" t="s">
        <v>17</v>
      </c>
      <c r="K388" s="2" t="str">
        <f>J388*2635.02</f>
        <v>0</v>
      </c>
      <c r="L388" s="5"/>
    </row>
    <row r="389" spans="1:12" customHeight="1" ht="105" outlineLevel="5">
      <c r="A389" s="1"/>
      <c r="B389" s="1">
        <v>827298</v>
      </c>
      <c r="C389" s="1" t="s">
        <v>1330</v>
      </c>
      <c r="D389" s="1" t="s">
        <v>1331</v>
      </c>
      <c r="E389" s="2" t="s">
        <v>1332</v>
      </c>
      <c r="F389" s="2" t="s">
        <v>1329</v>
      </c>
      <c r="G389" s="2" t="s">
        <v>38</v>
      </c>
      <c r="H389" s="2">
        <v>0</v>
      </c>
      <c r="I389" s="1">
        <v>10</v>
      </c>
      <c r="J389" s="3" t="s">
        <v>17</v>
      </c>
      <c r="K389" s="2" t="str">
        <f>J389*2635.02</f>
        <v>0</v>
      </c>
      <c r="L389" s="5"/>
    </row>
    <row r="390" spans="1:12" customHeight="1" ht="105" outlineLevel="5">
      <c r="A390" s="1"/>
      <c r="B390" s="1">
        <v>827299</v>
      </c>
      <c r="C390" s="1" t="s">
        <v>1333</v>
      </c>
      <c r="D390" s="1" t="s">
        <v>1334</v>
      </c>
      <c r="E390" s="2" t="s">
        <v>1335</v>
      </c>
      <c r="F390" s="2" t="s">
        <v>1336</v>
      </c>
      <c r="G390" s="2">
        <v>6</v>
      </c>
      <c r="H390" s="2">
        <v>0</v>
      </c>
      <c r="I390" s="1" t="s">
        <v>38</v>
      </c>
      <c r="J390" s="3" t="s">
        <v>17</v>
      </c>
      <c r="K390" s="2" t="str">
        <f>J390*2753.08</f>
        <v>0</v>
      </c>
      <c r="L390" s="5"/>
    </row>
    <row r="391" spans="1:12" customHeight="1" ht="105" outlineLevel="5">
      <c r="A391" s="1"/>
      <c r="B391" s="1">
        <v>827300</v>
      </c>
      <c r="C391" s="1" t="s">
        <v>1337</v>
      </c>
      <c r="D391" s="1" t="s">
        <v>1338</v>
      </c>
      <c r="E391" s="2" t="s">
        <v>1339</v>
      </c>
      <c r="F391" s="2" t="s">
        <v>1336</v>
      </c>
      <c r="G391" s="2" t="s">
        <v>38</v>
      </c>
      <c r="H391" s="2">
        <v>0</v>
      </c>
      <c r="I391" s="1">
        <v>0</v>
      </c>
      <c r="J391" s="3" t="s">
        <v>17</v>
      </c>
      <c r="K391" s="2" t="str">
        <f>J391*2753.08</f>
        <v>0</v>
      </c>
      <c r="L391" s="5"/>
    </row>
    <row r="392" spans="1:12" customHeight="1" ht="105" outlineLevel="5">
      <c r="A392" s="1"/>
      <c r="B392" s="1">
        <v>827315</v>
      </c>
      <c r="C392" s="1" t="s">
        <v>1340</v>
      </c>
      <c r="D392" s="1" t="s">
        <v>1341</v>
      </c>
      <c r="E392" s="2" t="s">
        <v>1342</v>
      </c>
      <c r="F392" s="2" t="s">
        <v>1343</v>
      </c>
      <c r="G392" s="2">
        <v>2</v>
      </c>
      <c r="H392" s="2">
        <v>0</v>
      </c>
      <c r="I392" s="1">
        <v>10</v>
      </c>
      <c r="J392" s="3" t="s">
        <v>17</v>
      </c>
      <c r="K392" s="2" t="str">
        <f>J392*2539.67</f>
        <v>0</v>
      </c>
      <c r="L392" s="5"/>
    </row>
    <row r="393" spans="1:12" customHeight="1" ht="105" outlineLevel="5">
      <c r="A393" s="1"/>
      <c r="B393" s="1">
        <v>827316</v>
      </c>
      <c r="C393" s="1" t="s">
        <v>1344</v>
      </c>
      <c r="D393" s="1" t="s">
        <v>1345</v>
      </c>
      <c r="E393" s="2" t="s">
        <v>1346</v>
      </c>
      <c r="F393" s="2" t="s">
        <v>1347</v>
      </c>
      <c r="G393" s="2">
        <v>4</v>
      </c>
      <c r="H393" s="2">
        <v>0</v>
      </c>
      <c r="I393" s="1">
        <v>0</v>
      </c>
      <c r="J393" s="3" t="s">
        <v>17</v>
      </c>
      <c r="K393" s="2" t="str">
        <f>J393*4024.43</f>
        <v>0</v>
      </c>
      <c r="L393" s="5"/>
    </row>
    <row r="394" spans="1:12" customHeight="1" ht="105" outlineLevel="5">
      <c r="A394" s="1"/>
      <c r="B394" s="1">
        <v>827317</v>
      </c>
      <c r="C394" s="1" t="s">
        <v>1348</v>
      </c>
      <c r="D394" s="1" t="s">
        <v>1349</v>
      </c>
      <c r="E394" s="2" t="s">
        <v>1350</v>
      </c>
      <c r="F394" s="2" t="s">
        <v>1347</v>
      </c>
      <c r="G394" s="2">
        <v>7</v>
      </c>
      <c r="H394" s="2">
        <v>0</v>
      </c>
      <c r="I394" s="1">
        <v>0</v>
      </c>
      <c r="J394" s="3" t="s">
        <v>17</v>
      </c>
      <c r="K394" s="2" t="str">
        <f>J394*4024.43</f>
        <v>0</v>
      </c>
      <c r="L394" s="5"/>
    </row>
    <row r="395" spans="1:12" customHeight="1" ht="105" outlineLevel="5">
      <c r="A395" s="1"/>
      <c r="B395" s="1">
        <v>827318</v>
      </c>
      <c r="C395" s="1" t="s">
        <v>1351</v>
      </c>
      <c r="D395" s="1" t="s">
        <v>1352</v>
      </c>
      <c r="E395" s="2" t="s">
        <v>1353</v>
      </c>
      <c r="F395" s="2" t="s">
        <v>1354</v>
      </c>
      <c r="G395" s="2" t="s">
        <v>38</v>
      </c>
      <c r="H395" s="2">
        <v>0</v>
      </c>
      <c r="I395" s="1">
        <v>0</v>
      </c>
      <c r="J395" s="3" t="s">
        <v>17</v>
      </c>
      <c r="K395" s="2" t="str">
        <f>J395*3417.51</f>
        <v>0</v>
      </c>
      <c r="L395" s="5"/>
    </row>
    <row r="396" spans="1:12" customHeight="1" ht="105" outlineLevel="5">
      <c r="A396" s="1"/>
      <c r="B396" s="1">
        <v>827319</v>
      </c>
      <c r="C396" s="1" t="s">
        <v>1355</v>
      </c>
      <c r="D396" s="1" t="s">
        <v>1356</v>
      </c>
      <c r="E396" s="2" t="s">
        <v>1357</v>
      </c>
      <c r="F396" s="2" t="s">
        <v>1354</v>
      </c>
      <c r="G396" s="2">
        <v>6</v>
      </c>
      <c r="H396" s="2">
        <v>0</v>
      </c>
      <c r="I396" s="1">
        <v>0</v>
      </c>
      <c r="J396" s="3" t="s">
        <v>17</v>
      </c>
      <c r="K396" s="2" t="str">
        <f>J396*3417.51</f>
        <v>0</v>
      </c>
      <c r="L396" s="5"/>
    </row>
    <row r="397" spans="1:12" customHeight="1" ht="105" outlineLevel="5">
      <c r="A397" s="1"/>
      <c r="B397" s="1">
        <v>827322</v>
      </c>
      <c r="C397" s="1" t="s">
        <v>1358</v>
      </c>
      <c r="D397" s="1" t="s">
        <v>1359</v>
      </c>
      <c r="E397" s="2" t="s">
        <v>1360</v>
      </c>
      <c r="F397" s="2" t="s">
        <v>1361</v>
      </c>
      <c r="G397" s="2">
        <v>3</v>
      </c>
      <c r="H397" s="2">
        <v>0</v>
      </c>
      <c r="I397" s="1">
        <v>0</v>
      </c>
      <c r="J397" s="3" t="s">
        <v>17</v>
      </c>
      <c r="K397" s="2" t="str">
        <f>J397*3458.37</f>
        <v>0</v>
      </c>
      <c r="L397" s="5"/>
    </row>
    <row r="398" spans="1:12" customHeight="1" ht="105" outlineLevel="5">
      <c r="A398" s="1"/>
      <c r="B398" s="1">
        <v>827324</v>
      </c>
      <c r="C398" s="1" t="s">
        <v>1362</v>
      </c>
      <c r="D398" s="1" t="s">
        <v>1363</v>
      </c>
      <c r="E398" s="2" t="s">
        <v>1364</v>
      </c>
      <c r="F398" s="2" t="s">
        <v>1365</v>
      </c>
      <c r="G398" s="2">
        <v>0</v>
      </c>
      <c r="H398" s="2">
        <v>0</v>
      </c>
      <c r="I398" s="1">
        <v>9</v>
      </c>
      <c r="J398" s="3" t="s">
        <v>17</v>
      </c>
      <c r="K398" s="2" t="str">
        <f>J398*4124.32</f>
        <v>0</v>
      </c>
      <c r="L398" s="5"/>
    </row>
    <row r="399" spans="1:12" customHeight="1" ht="105" outlineLevel="5">
      <c r="A399" s="1"/>
      <c r="B399" s="1">
        <v>827328</v>
      </c>
      <c r="C399" s="1" t="s">
        <v>1366</v>
      </c>
      <c r="D399" s="1" t="s">
        <v>1367</v>
      </c>
      <c r="E399" s="2" t="s">
        <v>1368</v>
      </c>
      <c r="F399" s="2" t="s">
        <v>1369</v>
      </c>
      <c r="G399" s="2">
        <v>-4</v>
      </c>
      <c r="H399" s="2">
        <v>0</v>
      </c>
      <c r="I399" s="1">
        <v>5</v>
      </c>
      <c r="J399" s="3" t="s">
        <v>17</v>
      </c>
      <c r="K399" s="2" t="str">
        <f>J399*3588.54</f>
        <v>0</v>
      </c>
      <c r="L399" s="5"/>
    </row>
    <row r="400" spans="1:12" customHeight="1" ht="105" outlineLevel="5">
      <c r="A400" s="1"/>
      <c r="B400" s="1">
        <v>827332</v>
      </c>
      <c r="C400" s="1" t="s">
        <v>1370</v>
      </c>
      <c r="D400" s="1" t="s">
        <v>1371</v>
      </c>
      <c r="E400" s="2" t="s">
        <v>1372</v>
      </c>
      <c r="F400" s="2" t="s">
        <v>476</v>
      </c>
      <c r="G400" s="2">
        <v>0</v>
      </c>
      <c r="H400" s="2">
        <v>0</v>
      </c>
      <c r="I400" s="1">
        <v>0</v>
      </c>
      <c r="J400" s="3" t="s">
        <v>17</v>
      </c>
      <c r="K400" s="2" t="str">
        <f>J400*0.00</f>
        <v>0</v>
      </c>
      <c r="L400" s="5"/>
    </row>
    <row r="401" spans="1:12" customHeight="1" ht="105" outlineLevel="5">
      <c r="A401" s="1"/>
      <c r="B401" s="1">
        <v>827338</v>
      </c>
      <c r="C401" s="1" t="s">
        <v>1373</v>
      </c>
      <c r="D401" s="1" t="s">
        <v>1374</v>
      </c>
      <c r="E401" s="2" t="s">
        <v>1375</v>
      </c>
      <c r="F401" s="2" t="s">
        <v>1376</v>
      </c>
      <c r="G401" s="2" t="s">
        <v>38</v>
      </c>
      <c r="H401" s="2">
        <v>0</v>
      </c>
      <c r="I401" s="1" t="s">
        <v>38</v>
      </c>
      <c r="J401" s="3" t="s">
        <v>17</v>
      </c>
      <c r="K401" s="2" t="str">
        <f>J401*2400.43</f>
        <v>0</v>
      </c>
      <c r="L401" s="5"/>
    </row>
    <row r="402" spans="1:12" customHeight="1" ht="105" outlineLevel="5">
      <c r="A402" s="1"/>
      <c r="B402" s="1">
        <v>827340</v>
      </c>
      <c r="C402" s="1" t="s">
        <v>1377</v>
      </c>
      <c r="D402" s="1" t="s">
        <v>1378</v>
      </c>
      <c r="E402" s="2" t="s">
        <v>1379</v>
      </c>
      <c r="F402" s="2" t="s">
        <v>1380</v>
      </c>
      <c r="G402" s="2" t="s">
        <v>159</v>
      </c>
      <c r="H402" s="2">
        <v>0</v>
      </c>
      <c r="I402" s="1">
        <v>0</v>
      </c>
      <c r="J402" s="3" t="s">
        <v>17</v>
      </c>
      <c r="K402" s="2" t="str">
        <f>J402*2398.92</f>
        <v>0</v>
      </c>
      <c r="L402" s="5"/>
    </row>
    <row r="403" spans="1:12" customHeight="1" ht="105" outlineLevel="5">
      <c r="A403" s="1"/>
      <c r="B403" s="1">
        <v>828485</v>
      </c>
      <c r="C403" s="1" t="s">
        <v>1381</v>
      </c>
      <c r="D403" s="1" t="s">
        <v>1382</v>
      </c>
      <c r="E403" s="2" t="s">
        <v>1383</v>
      </c>
      <c r="F403" s="2" t="s">
        <v>1384</v>
      </c>
      <c r="G403" s="2" t="s">
        <v>38</v>
      </c>
      <c r="H403" s="2">
        <v>0</v>
      </c>
      <c r="I403" s="1">
        <v>10</v>
      </c>
      <c r="J403" s="3" t="s">
        <v>17</v>
      </c>
      <c r="K403" s="2" t="str">
        <f>J403*2694.05</f>
        <v>0</v>
      </c>
      <c r="L403" s="5"/>
    </row>
    <row r="404" spans="1:12" customHeight="1" ht="105" outlineLevel="5">
      <c r="A404" s="1"/>
      <c r="B404" s="1">
        <v>829366</v>
      </c>
      <c r="C404" s="1" t="s">
        <v>1385</v>
      </c>
      <c r="D404" s="1" t="s">
        <v>1386</v>
      </c>
      <c r="E404" s="2" t="s">
        <v>1387</v>
      </c>
      <c r="F404" s="2" t="s">
        <v>1388</v>
      </c>
      <c r="G404" s="2">
        <v>4</v>
      </c>
      <c r="H404" s="2">
        <v>0</v>
      </c>
      <c r="I404" s="1">
        <v>0</v>
      </c>
      <c r="J404" s="3" t="s">
        <v>17</v>
      </c>
      <c r="K404" s="2" t="str">
        <f>J404*3658.16</f>
        <v>0</v>
      </c>
      <c r="L404" s="5"/>
    </row>
    <row r="405" spans="1:12" customHeight="1" ht="105" outlineLevel="5">
      <c r="A405" s="1"/>
      <c r="B405" s="1">
        <v>831662</v>
      </c>
      <c r="C405" s="1" t="s">
        <v>1389</v>
      </c>
      <c r="D405" s="1" t="s">
        <v>1390</v>
      </c>
      <c r="E405" s="2" t="s">
        <v>1391</v>
      </c>
      <c r="F405" s="2" t="s">
        <v>476</v>
      </c>
      <c r="G405" s="2">
        <v>7</v>
      </c>
      <c r="H405" s="2">
        <v>0</v>
      </c>
      <c r="I405" s="1">
        <v>0</v>
      </c>
      <c r="J405" s="3" t="s">
        <v>17</v>
      </c>
      <c r="K405" s="2" t="str">
        <f>J405*0.00</f>
        <v>0</v>
      </c>
      <c r="L405" s="5"/>
    </row>
    <row r="406" spans="1:12" customHeight="1" ht="105" outlineLevel="5">
      <c r="A406" s="1"/>
      <c r="B406" s="1">
        <v>831661</v>
      </c>
      <c r="C406" s="1" t="s">
        <v>1392</v>
      </c>
      <c r="D406" s="1" t="s">
        <v>1393</v>
      </c>
      <c r="E406" s="2" t="s">
        <v>1394</v>
      </c>
      <c r="F406" s="2" t="s">
        <v>1395</v>
      </c>
      <c r="G406" s="2">
        <v>1</v>
      </c>
      <c r="H406" s="2">
        <v>0</v>
      </c>
      <c r="I406" s="1">
        <v>0</v>
      </c>
      <c r="J406" s="3" t="s">
        <v>17</v>
      </c>
      <c r="K406" s="2" t="str">
        <f>J406*4519.35</f>
        <v>0</v>
      </c>
      <c r="L406" s="5"/>
    </row>
    <row r="407" spans="1:12" customHeight="1" ht="105" outlineLevel="5">
      <c r="A407" s="1"/>
      <c r="B407" s="1">
        <v>834697</v>
      </c>
      <c r="C407" s="1" t="s">
        <v>1396</v>
      </c>
      <c r="D407" s="1" t="s">
        <v>1397</v>
      </c>
      <c r="E407" s="2" t="s">
        <v>1398</v>
      </c>
      <c r="F407" s="2" t="s">
        <v>1399</v>
      </c>
      <c r="G407" s="2">
        <v>3</v>
      </c>
      <c r="H407" s="2">
        <v>0</v>
      </c>
      <c r="I407" s="1">
        <v>0</v>
      </c>
      <c r="J407" s="3" t="s">
        <v>17</v>
      </c>
      <c r="K407" s="2" t="str">
        <f>J407*4537.51</f>
        <v>0</v>
      </c>
      <c r="L407" s="5"/>
    </row>
    <row r="408" spans="1:12" customHeight="1" ht="105" outlineLevel="5">
      <c r="A408" s="1"/>
      <c r="B408" s="1">
        <v>835559</v>
      </c>
      <c r="C408" s="1" t="s">
        <v>1400</v>
      </c>
      <c r="D408" s="1" t="s">
        <v>1401</v>
      </c>
      <c r="E408" s="2" t="s">
        <v>1402</v>
      </c>
      <c r="F408" s="2" t="s">
        <v>1403</v>
      </c>
      <c r="G408" s="2">
        <v>0</v>
      </c>
      <c r="H408" s="2">
        <v>0</v>
      </c>
      <c r="I408" s="1">
        <v>0</v>
      </c>
      <c r="J408" s="3" t="s">
        <v>17</v>
      </c>
      <c r="K408" s="2" t="str">
        <f>J408*4189.40</f>
        <v>0</v>
      </c>
      <c r="L408" s="5"/>
    </row>
    <row r="409" spans="1:12" customHeight="1" ht="105" outlineLevel="5">
      <c r="A409" s="1"/>
      <c r="B409" s="1">
        <v>868615</v>
      </c>
      <c r="C409" s="1" t="s">
        <v>1404</v>
      </c>
      <c r="D409" s="1" t="s">
        <v>1405</v>
      </c>
      <c r="E409" s="2" t="s">
        <v>1406</v>
      </c>
      <c r="F409" s="2" t="s">
        <v>1407</v>
      </c>
      <c r="G409" s="2" t="s">
        <v>38</v>
      </c>
      <c r="H409" s="2">
        <v>0</v>
      </c>
      <c r="I409" s="1">
        <v>0</v>
      </c>
      <c r="J409" s="3" t="s">
        <v>17</v>
      </c>
      <c r="K409" s="2" t="str">
        <f>J409*5077.83</f>
        <v>0</v>
      </c>
      <c r="L409" s="5"/>
    </row>
    <row r="410" spans="1:12" customHeight="1" ht="105" outlineLevel="5">
      <c r="A410" s="1"/>
      <c r="B410" s="1">
        <v>871587</v>
      </c>
      <c r="C410" s="1" t="s">
        <v>1408</v>
      </c>
      <c r="D410" s="1" t="s">
        <v>1409</v>
      </c>
      <c r="E410" s="2" t="s">
        <v>1410</v>
      </c>
      <c r="F410" s="2" t="s">
        <v>1411</v>
      </c>
      <c r="G410" s="2" t="s">
        <v>38</v>
      </c>
      <c r="H410" s="2">
        <v>0</v>
      </c>
      <c r="I410" s="1">
        <v>0</v>
      </c>
      <c r="J410" s="3" t="s">
        <v>17</v>
      </c>
      <c r="K410" s="2" t="str">
        <f>J410*4331.67</f>
        <v>0</v>
      </c>
      <c r="L410" s="5"/>
    </row>
    <row r="411" spans="1:12" customHeight="1" ht="105" outlineLevel="5">
      <c r="A411" s="1"/>
      <c r="B411" s="1">
        <v>880091</v>
      </c>
      <c r="C411" s="1" t="s">
        <v>1412</v>
      </c>
      <c r="D411" s="1" t="s">
        <v>1413</v>
      </c>
      <c r="E411" s="2" t="s">
        <v>1414</v>
      </c>
      <c r="F411" s="2" t="s">
        <v>1203</v>
      </c>
      <c r="G411" s="2">
        <v>0</v>
      </c>
      <c r="H411" s="2">
        <v>0</v>
      </c>
      <c r="I411" s="1">
        <v>0</v>
      </c>
      <c r="J411" s="3" t="s">
        <v>17</v>
      </c>
      <c r="K411" s="2" t="str">
        <f>J411*2342.92</f>
        <v>0</v>
      </c>
      <c r="L411" s="5"/>
    </row>
    <row r="412" spans="1:12" outlineLevel="2">
      <c r="A412" s="8" t="s">
        <v>1415</v>
      </c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5"/>
    </row>
    <row r="413" spans="1:12" outlineLevel="3">
      <c r="A413" s="9" t="s">
        <v>1416</v>
      </c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5"/>
    </row>
    <row r="414" spans="1:12" customHeight="1" ht="105" outlineLevel="5">
      <c r="A414" s="1"/>
      <c r="B414" s="1">
        <v>827868</v>
      </c>
      <c r="C414" s="1" t="s">
        <v>1417</v>
      </c>
      <c r="D414" s="1" t="s">
        <v>1418</v>
      </c>
      <c r="E414" s="2" t="s">
        <v>1419</v>
      </c>
      <c r="F414" s="2" t="s">
        <v>1420</v>
      </c>
      <c r="G414" s="2">
        <v>0</v>
      </c>
      <c r="H414" s="2">
        <v>0</v>
      </c>
      <c r="I414" s="1">
        <v>0</v>
      </c>
      <c r="J414" s="3" t="s">
        <v>17</v>
      </c>
      <c r="K414" s="2" t="str">
        <f>J414*1949.40</f>
        <v>0</v>
      </c>
      <c r="L414" s="5"/>
    </row>
    <row r="415" spans="1:12" customHeight="1" ht="105" outlineLevel="5">
      <c r="A415" s="1"/>
      <c r="B415" s="1">
        <v>827869</v>
      </c>
      <c r="C415" s="1" t="s">
        <v>1421</v>
      </c>
      <c r="D415" s="1" t="s">
        <v>1422</v>
      </c>
      <c r="E415" s="2" t="s">
        <v>1423</v>
      </c>
      <c r="F415" s="2" t="s">
        <v>1424</v>
      </c>
      <c r="G415" s="2" t="s">
        <v>38</v>
      </c>
      <c r="H415" s="2">
        <v>0</v>
      </c>
      <c r="I415" s="1">
        <v>0</v>
      </c>
      <c r="J415" s="3" t="s">
        <v>17</v>
      </c>
      <c r="K415" s="2" t="str">
        <f>J415*2409.51</f>
        <v>0</v>
      </c>
      <c r="L415" s="5"/>
    </row>
    <row r="416" spans="1:12" customHeight="1" ht="105" outlineLevel="5">
      <c r="A416" s="1"/>
      <c r="B416" s="1">
        <v>827871</v>
      </c>
      <c r="C416" s="1" t="s">
        <v>1425</v>
      </c>
      <c r="D416" s="1" t="s">
        <v>1426</v>
      </c>
      <c r="E416" s="2" t="s">
        <v>1427</v>
      </c>
      <c r="F416" s="2" t="s">
        <v>1428</v>
      </c>
      <c r="G416" s="2">
        <v>6</v>
      </c>
      <c r="H416" s="2">
        <v>0</v>
      </c>
      <c r="I416" s="1">
        <v>0</v>
      </c>
      <c r="J416" s="3" t="s">
        <v>17</v>
      </c>
      <c r="K416" s="2" t="str">
        <f>J416*2323.24</f>
        <v>0</v>
      </c>
      <c r="L416" s="5"/>
    </row>
    <row r="417" spans="1:12" customHeight="1" ht="105" outlineLevel="5">
      <c r="A417" s="1"/>
      <c r="B417" s="1">
        <v>827872</v>
      </c>
      <c r="C417" s="1" t="s">
        <v>1429</v>
      </c>
      <c r="D417" s="1" t="s">
        <v>1430</v>
      </c>
      <c r="E417" s="2" t="s">
        <v>1431</v>
      </c>
      <c r="F417" s="2" t="s">
        <v>1432</v>
      </c>
      <c r="G417" s="2">
        <v>3</v>
      </c>
      <c r="H417" s="2">
        <v>0</v>
      </c>
      <c r="I417" s="1">
        <v>0</v>
      </c>
      <c r="J417" s="3" t="s">
        <v>17</v>
      </c>
      <c r="K417" s="2" t="str">
        <f>J417*2607.78</f>
        <v>0</v>
      </c>
      <c r="L417" s="5"/>
    </row>
    <row r="418" spans="1:12" customHeight="1" ht="105" outlineLevel="5">
      <c r="A418" s="1"/>
      <c r="B418" s="1">
        <v>827873</v>
      </c>
      <c r="C418" s="1" t="s">
        <v>1433</v>
      </c>
      <c r="D418" s="1" t="s">
        <v>1434</v>
      </c>
      <c r="E418" s="2" t="s">
        <v>1435</v>
      </c>
      <c r="F418" s="2" t="s">
        <v>1436</v>
      </c>
      <c r="G418" s="2">
        <v>8</v>
      </c>
      <c r="H418" s="2">
        <v>0</v>
      </c>
      <c r="I418" s="1">
        <v>0</v>
      </c>
      <c r="J418" s="3" t="s">
        <v>17</v>
      </c>
      <c r="K418" s="2" t="str">
        <f>J418*4302.91</f>
        <v>0</v>
      </c>
      <c r="L418" s="5"/>
    </row>
    <row r="419" spans="1:12" customHeight="1" ht="105" outlineLevel="5">
      <c r="A419" s="1"/>
      <c r="B419" s="1">
        <v>827874</v>
      </c>
      <c r="C419" s="1" t="s">
        <v>1437</v>
      </c>
      <c r="D419" s="1" t="s">
        <v>1438</v>
      </c>
      <c r="E419" s="2" t="s">
        <v>1439</v>
      </c>
      <c r="F419" s="2" t="s">
        <v>1440</v>
      </c>
      <c r="G419" s="2">
        <v>8</v>
      </c>
      <c r="H419" s="2">
        <v>0</v>
      </c>
      <c r="I419" s="1">
        <v>0</v>
      </c>
      <c r="J419" s="3" t="s">
        <v>17</v>
      </c>
      <c r="K419" s="2" t="str">
        <f>J419*5583.35</f>
        <v>0</v>
      </c>
      <c r="L419" s="5"/>
    </row>
    <row r="420" spans="1:12" customHeight="1" ht="105" outlineLevel="5">
      <c r="A420" s="1"/>
      <c r="B420" s="1">
        <v>877765</v>
      </c>
      <c r="C420" s="1" t="s">
        <v>1441</v>
      </c>
      <c r="D420" s="1" t="s">
        <v>1442</v>
      </c>
      <c r="E420" s="2" t="s">
        <v>1443</v>
      </c>
      <c r="F420" s="2" t="s">
        <v>1444</v>
      </c>
      <c r="G420" s="2">
        <v>0</v>
      </c>
      <c r="H420" s="2">
        <v>0</v>
      </c>
      <c r="I420" s="1">
        <v>0</v>
      </c>
      <c r="J420" s="3" t="s">
        <v>17</v>
      </c>
      <c r="K420" s="2" t="str">
        <f>J420*3437.19</f>
        <v>0</v>
      </c>
      <c r="L420" s="5"/>
    </row>
    <row r="421" spans="1:12" outlineLevel="3">
      <c r="A421" s="9" t="s">
        <v>1445</v>
      </c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5"/>
    </row>
    <row r="422" spans="1:12" customHeight="1" ht="105" outlineLevel="5">
      <c r="A422" s="1"/>
      <c r="B422" s="1">
        <v>827849</v>
      </c>
      <c r="C422" s="1" t="s">
        <v>1446</v>
      </c>
      <c r="D422" s="1" t="s">
        <v>1447</v>
      </c>
      <c r="E422" s="2" t="s">
        <v>1448</v>
      </c>
      <c r="F422" s="2" t="s">
        <v>1449</v>
      </c>
      <c r="G422" s="2" t="s">
        <v>159</v>
      </c>
      <c r="H422" s="2">
        <v>0</v>
      </c>
      <c r="I422" s="1">
        <v>0</v>
      </c>
      <c r="J422" s="3" t="s">
        <v>17</v>
      </c>
      <c r="K422" s="2" t="str">
        <f>J422*1505.94</f>
        <v>0</v>
      </c>
      <c r="L422" s="5"/>
    </row>
    <row r="423" spans="1:12" customHeight="1" ht="105" outlineLevel="5">
      <c r="A423" s="1"/>
      <c r="B423" s="1">
        <v>827850</v>
      </c>
      <c r="C423" s="1" t="s">
        <v>1450</v>
      </c>
      <c r="D423" s="1" t="s">
        <v>1451</v>
      </c>
      <c r="E423" s="2" t="s">
        <v>1452</v>
      </c>
      <c r="F423" s="2" t="s">
        <v>1420</v>
      </c>
      <c r="G423" s="2">
        <v>0</v>
      </c>
      <c r="H423" s="2">
        <v>0</v>
      </c>
      <c r="I423" s="1">
        <v>0</v>
      </c>
      <c r="J423" s="3" t="s">
        <v>17</v>
      </c>
      <c r="K423" s="2" t="str">
        <f>J423*1949.40</f>
        <v>0</v>
      </c>
      <c r="L423" s="5"/>
    </row>
    <row r="424" spans="1:12" customHeight="1" ht="105" outlineLevel="5">
      <c r="A424" s="1"/>
      <c r="B424" s="1">
        <v>827851</v>
      </c>
      <c r="C424" s="1" t="s">
        <v>1453</v>
      </c>
      <c r="D424" s="1" t="s">
        <v>1454</v>
      </c>
      <c r="E424" s="2" t="s">
        <v>1455</v>
      </c>
      <c r="F424" s="2" t="s">
        <v>1456</v>
      </c>
      <c r="G424" s="2" t="s">
        <v>38</v>
      </c>
      <c r="H424" s="2">
        <v>0</v>
      </c>
      <c r="I424" s="1">
        <v>0</v>
      </c>
      <c r="J424" s="3" t="s">
        <v>17</v>
      </c>
      <c r="K424" s="2" t="str">
        <f>J424*2577.51</f>
        <v>0</v>
      </c>
      <c r="L424" s="5"/>
    </row>
    <row r="425" spans="1:12" customHeight="1" ht="105" outlineLevel="5">
      <c r="A425" s="1"/>
      <c r="B425" s="1">
        <v>827852</v>
      </c>
      <c r="C425" s="1" t="s">
        <v>1457</v>
      </c>
      <c r="D425" s="1" t="s">
        <v>1458</v>
      </c>
      <c r="E425" s="2" t="s">
        <v>1459</v>
      </c>
      <c r="F425" s="2" t="s">
        <v>1460</v>
      </c>
      <c r="G425" s="2" t="s">
        <v>159</v>
      </c>
      <c r="H425" s="2">
        <v>0</v>
      </c>
      <c r="I425" s="1">
        <v>0</v>
      </c>
      <c r="J425" s="3" t="s">
        <v>17</v>
      </c>
      <c r="K425" s="2" t="str">
        <f>J425*2589.62</f>
        <v>0</v>
      </c>
      <c r="L425" s="5"/>
    </row>
    <row r="426" spans="1:12" customHeight="1" ht="105" outlineLevel="5">
      <c r="A426" s="1"/>
      <c r="B426" s="1">
        <v>827853</v>
      </c>
      <c r="C426" s="1" t="s">
        <v>1461</v>
      </c>
      <c r="D426" s="1" t="s">
        <v>1462</v>
      </c>
      <c r="E426" s="2" t="s">
        <v>1463</v>
      </c>
      <c r="F426" s="2" t="s">
        <v>1464</v>
      </c>
      <c r="G426" s="2" t="s">
        <v>159</v>
      </c>
      <c r="H426" s="2">
        <v>0</v>
      </c>
      <c r="I426" s="1">
        <v>0</v>
      </c>
      <c r="J426" s="3" t="s">
        <v>17</v>
      </c>
      <c r="K426" s="2" t="str">
        <f>J426*2176.43</f>
        <v>0</v>
      </c>
      <c r="L426" s="5"/>
    </row>
    <row r="427" spans="1:12" customHeight="1" ht="105" outlineLevel="5">
      <c r="A427" s="1"/>
      <c r="B427" s="1">
        <v>827855</v>
      </c>
      <c r="C427" s="1" t="s">
        <v>1465</v>
      </c>
      <c r="D427" s="1" t="s">
        <v>1466</v>
      </c>
      <c r="E427" s="2" t="s">
        <v>1467</v>
      </c>
      <c r="F427" s="2" t="s">
        <v>1468</v>
      </c>
      <c r="G427" s="2">
        <v>8</v>
      </c>
      <c r="H427" s="2">
        <v>0</v>
      </c>
      <c r="I427" s="1">
        <v>0</v>
      </c>
      <c r="J427" s="3" t="s">
        <v>17</v>
      </c>
      <c r="K427" s="2" t="str">
        <f>J427*2420.11</f>
        <v>0</v>
      </c>
      <c r="L427" s="5"/>
    </row>
    <row r="428" spans="1:12" customHeight="1" ht="105" outlineLevel="5">
      <c r="A428" s="1"/>
      <c r="B428" s="1">
        <v>827856</v>
      </c>
      <c r="C428" s="1" t="s">
        <v>1469</v>
      </c>
      <c r="D428" s="1" t="s">
        <v>1470</v>
      </c>
      <c r="E428" s="2" t="s">
        <v>1471</v>
      </c>
      <c r="F428" s="2" t="s">
        <v>1472</v>
      </c>
      <c r="G428" s="2" t="s">
        <v>38</v>
      </c>
      <c r="H428" s="2">
        <v>0</v>
      </c>
      <c r="I428" s="1">
        <v>0</v>
      </c>
      <c r="J428" s="3" t="s">
        <v>17</v>
      </c>
      <c r="K428" s="2" t="str">
        <f>J428*3909.40</f>
        <v>0</v>
      </c>
      <c r="L428" s="5"/>
    </row>
    <row r="429" spans="1:12" customHeight="1" ht="105" outlineLevel="5">
      <c r="A429" s="1"/>
      <c r="B429" s="1">
        <v>827857</v>
      </c>
      <c r="C429" s="1" t="s">
        <v>1473</v>
      </c>
      <c r="D429" s="1" t="s">
        <v>1474</v>
      </c>
      <c r="E429" s="2" t="s">
        <v>1475</v>
      </c>
      <c r="F429" s="2" t="s">
        <v>476</v>
      </c>
      <c r="G429" s="2">
        <v>0</v>
      </c>
      <c r="H429" s="2">
        <v>0</v>
      </c>
      <c r="I429" s="1">
        <v>0</v>
      </c>
      <c r="J429" s="3" t="s">
        <v>17</v>
      </c>
      <c r="K429" s="2" t="str">
        <f>J429*0.00</f>
        <v>0</v>
      </c>
      <c r="L429" s="5"/>
    </row>
    <row r="430" spans="1:12" customHeight="1" ht="105" outlineLevel="5">
      <c r="A430" s="1"/>
      <c r="B430" s="1">
        <v>827862</v>
      </c>
      <c r="C430" s="1" t="s">
        <v>1476</v>
      </c>
      <c r="D430" s="1" t="s">
        <v>1477</v>
      </c>
      <c r="E430" s="2" t="s">
        <v>1478</v>
      </c>
      <c r="F430" s="2" t="s">
        <v>1479</v>
      </c>
      <c r="G430" s="2" t="s">
        <v>159</v>
      </c>
      <c r="H430" s="2">
        <v>0</v>
      </c>
      <c r="I430" s="1">
        <v>0</v>
      </c>
      <c r="J430" s="3" t="s">
        <v>17</v>
      </c>
      <c r="K430" s="2" t="str">
        <f>J430*1590.70</f>
        <v>0</v>
      </c>
      <c r="L430" s="5"/>
    </row>
    <row r="431" spans="1:12" customHeight="1" ht="105" outlineLevel="5">
      <c r="A431" s="1"/>
      <c r="B431" s="1">
        <v>827863</v>
      </c>
      <c r="C431" s="1" t="s">
        <v>1480</v>
      </c>
      <c r="D431" s="1" t="s">
        <v>1481</v>
      </c>
      <c r="E431" s="2" t="s">
        <v>1482</v>
      </c>
      <c r="F431" s="2" t="s">
        <v>1483</v>
      </c>
      <c r="G431" s="2" t="s">
        <v>38</v>
      </c>
      <c r="H431" s="2">
        <v>0</v>
      </c>
      <c r="I431" s="1">
        <v>0</v>
      </c>
      <c r="J431" s="3" t="s">
        <v>17</v>
      </c>
      <c r="K431" s="2" t="str">
        <f>J431*2713.73</f>
        <v>0</v>
      </c>
      <c r="L431" s="5"/>
    </row>
    <row r="432" spans="1:12" customHeight="1" ht="105" outlineLevel="5">
      <c r="A432" s="1"/>
      <c r="B432" s="1">
        <v>827864</v>
      </c>
      <c r="C432" s="1" t="s">
        <v>1484</v>
      </c>
      <c r="D432" s="1" t="s">
        <v>1485</v>
      </c>
      <c r="E432" s="2" t="s">
        <v>1486</v>
      </c>
      <c r="F432" s="2" t="s">
        <v>1487</v>
      </c>
      <c r="G432" s="2">
        <v>3</v>
      </c>
      <c r="H432" s="2">
        <v>0</v>
      </c>
      <c r="I432" s="1">
        <v>0</v>
      </c>
      <c r="J432" s="3" t="s">
        <v>17</v>
      </c>
      <c r="K432" s="2" t="str">
        <f>J432*1896.43</f>
        <v>0</v>
      </c>
      <c r="L432" s="5"/>
    </row>
    <row r="433" spans="1:12" customHeight="1" ht="105" outlineLevel="5">
      <c r="A433" s="1"/>
      <c r="B433" s="1">
        <v>827865</v>
      </c>
      <c r="C433" s="1" t="s">
        <v>1488</v>
      </c>
      <c r="D433" s="1" t="s">
        <v>1489</v>
      </c>
      <c r="E433" s="2" t="s">
        <v>1490</v>
      </c>
      <c r="F433" s="2" t="s">
        <v>1491</v>
      </c>
      <c r="G433" s="2" t="s">
        <v>38</v>
      </c>
      <c r="H433" s="2">
        <v>0</v>
      </c>
      <c r="I433" s="1">
        <v>0</v>
      </c>
      <c r="J433" s="3" t="s">
        <v>17</v>
      </c>
      <c r="K433" s="2" t="str">
        <f>J433*2898.38</f>
        <v>0</v>
      </c>
      <c r="L433" s="5"/>
    </row>
    <row r="434" spans="1:12" customHeight="1" ht="105" outlineLevel="5">
      <c r="A434" s="1"/>
      <c r="B434" s="1">
        <v>827866</v>
      </c>
      <c r="C434" s="1" t="s">
        <v>1492</v>
      </c>
      <c r="D434" s="1" t="s">
        <v>1493</v>
      </c>
      <c r="E434" s="2" t="s">
        <v>1494</v>
      </c>
      <c r="F434" s="2" t="s">
        <v>1495</v>
      </c>
      <c r="G434" s="2" t="s">
        <v>159</v>
      </c>
      <c r="H434" s="2">
        <v>0</v>
      </c>
      <c r="I434" s="1">
        <v>0</v>
      </c>
      <c r="J434" s="3" t="s">
        <v>17</v>
      </c>
      <c r="K434" s="2" t="str">
        <f>J434*3008.86</f>
        <v>0</v>
      </c>
      <c r="L434" s="5"/>
    </row>
    <row r="435" spans="1:12" customHeight="1" ht="105" outlineLevel="5">
      <c r="A435" s="1"/>
      <c r="B435" s="1">
        <v>827867</v>
      </c>
      <c r="C435" s="1" t="s">
        <v>1496</v>
      </c>
      <c r="D435" s="1" t="s">
        <v>1497</v>
      </c>
      <c r="E435" s="2" t="s">
        <v>1498</v>
      </c>
      <c r="F435" s="2" t="s">
        <v>1499</v>
      </c>
      <c r="G435" s="2">
        <v>1</v>
      </c>
      <c r="H435" s="2">
        <v>0</v>
      </c>
      <c r="I435" s="1">
        <v>0</v>
      </c>
      <c r="J435" s="3" t="s">
        <v>17</v>
      </c>
      <c r="K435" s="2" t="str">
        <f>J435*1272.86</f>
        <v>0</v>
      </c>
      <c r="L435" s="5"/>
    </row>
    <row r="436" spans="1:12" customHeight="1" ht="105" outlineLevel="5">
      <c r="A436" s="1"/>
      <c r="B436" s="1">
        <v>827882</v>
      </c>
      <c r="C436" s="1" t="s">
        <v>1500</v>
      </c>
      <c r="D436" s="1" t="s">
        <v>1501</v>
      </c>
      <c r="E436" s="2" t="s">
        <v>1502</v>
      </c>
      <c r="F436" s="2" t="s">
        <v>1503</v>
      </c>
      <c r="G436" s="2" t="s">
        <v>38</v>
      </c>
      <c r="H436" s="2">
        <v>0</v>
      </c>
      <c r="I436" s="1">
        <v>0</v>
      </c>
      <c r="J436" s="3" t="s">
        <v>17</v>
      </c>
      <c r="K436" s="2" t="str">
        <f>J436*1996.32</f>
        <v>0</v>
      </c>
      <c r="L436" s="5"/>
    </row>
    <row r="437" spans="1:12" customHeight="1" ht="105" outlineLevel="5">
      <c r="A437" s="1"/>
      <c r="B437" s="1">
        <v>827883</v>
      </c>
      <c r="C437" s="1" t="s">
        <v>1504</v>
      </c>
      <c r="D437" s="1" t="s">
        <v>1505</v>
      </c>
      <c r="E437" s="2" t="s">
        <v>1506</v>
      </c>
      <c r="F437" s="2" t="s">
        <v>1507</v>
      </c>
      <c r="G437" s="2" t="s">
        <v>38</v>
      </c>
      <c r="H437" s="2">
        <v>0</v>
      </c>
      <c r="I437" s="1">
        <v>0</v>
      </c>
      <c r="J437" s="3" t="s">
        <v>17</v>
      </c>
      <c r="K437" s="2" t="str">
        <f>J437*1589.19</f>
        <v>0</v>
      </c>
      <c r="L437" s="5"/>
    </row>
    <row r="438" spans="1:12" customHeight="1" ht="105" outlineLevel="5">
      <c r="A438" s="1"/>
      <c r="B438" s="1">
        <v>827884</v>
      </c>
      <c r="C438" s="1" t="s">
        <v>1508</v>
      </c>
      <c r="D438" s="1" t="s">
        <v>1509</v>
      </c>
      <c r="E438" s="2" t="s">
        <v>1510</v>
      </c>
      <c r="F438" s="2" t="s">
        <v>1511</v>
      </c>
      <c r="G438" s="2" t="s">
        <v>159</v>
      </c>
      <c r="H438" s="2">
        <v>0</v>
      </c>
      <c r="I438" s="1">
        <v>0</v>
      </c>
      <c r="J438" s="3" t="s">
        <v>17</v>
      </c>
      <c r="K438" s="2" t="str">
        <f>J438*1879.78</f>
        <v>0</v>
      </c>
      <c r="L438" s="5"/>
    </row>
    <row r="439" spans="1:12" customHeight="1" ht="105" outlineLevel="5">
      <c r="A439" s="1"/>
      <c r="B439" s="1">
        <v>834699</v>
      </c>
      <c r="C439" s="1" t="s">
        <v>1512</v>
      </c>
      <c r="D439" s="1" t="s">
        <v>1513</v>
      </c>
      <c r="E439" s="2" t="s">
        <v>1514</v>
      </c>
      <c r="F439" s="2" t="s">
        <v>1515</v>
      </c>
      <c r="G439" s="2" t="s">
        <v>159</v>
      </c>
      <c r="H439" s="2">
        <v>0</v>
      </c>
      <c r="I439" s="1">
        <v>0</v>
      </c>
      <c r="J439" s="3" t="s">
        <v>17</v>
      </c>
      <c r="K439" s="2" t="str">
        <f>J439*3976.00</f>
        <v>0</v>
      </c>
      <c r="L439" s="5"/>
    </row>
    <row r="440" spans="1:12" outlineLevel="2">
      <c r="A440" s="8" t="s">
        <v>1516</v>
      </c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5"/>
    </row>
    <row r="441" spans="1:12" outlineLevel="3">
      <c r="A441" s="9" t="s">
        <v>1517</v>
      </c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5"/>
    </row>
    <row r="442" spans="1:12" customHeight="1" ht="105" outlineLevel="5">
      <c r="A442" s="1"/>
      <c r="B442" s="1">
        <v>825926</v>
      </c>
      <c r="C442" s="1" t="s">
        <v>1518</v>
      </c>
      <c r="D442" s="1" t="s">
        <v>1519</v>
      </c>
      <c r="E442" s="2" t="s">
        <v>1520</v>
      </c>
      <c r="F442" s="2" t="s">
        <v>1521</v>
      </c>
      <c r="G442" s="2">
        <v>1</v>
      </c>
      <c r="H442" s="2">
        <v>0</v>
      </c>
      <c r="I442" s="1">
        <v>0</v>
      </c>
      <c r="J442" s="3" t="s">
        <v>17</v>
      </c>
      <c r="K442" s="2" t="str">
        <f>J442*7211.74</f>
        <v>0</v>
      </c>
      <c r="L442" s="5"/>
    </row>
    <row r="443" spans="1:12" customHeight="1" ht="105" outlineLevel="5">
      <c r="A443" s="1"/>
      <c r="B443" s="1">
        <v>825927</v>
      </c>
      <c r="C443" s="1" t="s">
        <v>1522</v>
      </c>
      <c r="D443" s="1" t="s">
        <v>1523</v>
      </c>
      <c r="E443" s="2" t="s">
        <v>1524</v>
      </c>
      <c r="F443" s="2" t="s">
        <v>1525</v>
      </c>
      <c r="G443" s="2">
        <v>0</v>
      </c>
      <c r="H443" s="2">
        <v>0</v>
      </c>
      <c r="I443" s="1">
        <v>0</v>
      </c>
      <c r="J443" s="3" t="s">
        <v>17</v>
      </c>
      <c r="K443" s="2" t="str">
        <f>J443*4554.32</f>
        <v>0</v>
      </c>
      <c r="L443" s="5"/>
    </row>
    <row r="444" spans="1:12" customHeight="1" ht="105" outlineLevel="5">
      <c r="A444" s="1"/>
      <c r="B444" s="1">
        <v>825928</v>
      </c>
      <c r="C444" s="1" t="s">
        <v>1526</v>
      </c>
      <c r="D444" s="1" t="s">
        <v>1527</v>
      </c>
      <c r="E444" s="2" t="s">
        <v>1528</v>
      </c>
      <c r="F444" s="2" t="s">
        <v>1529</v>
      </c>
      <c r="G444" s="2">
        <v>0</v>
      </c>
      <c r="H444" s="2">
        <v>0</v>
      </c>
      <c r="I444" s="1">
        <v>0</v>
      </c>
      <c r="J444" s="3" t="s">
        <v>17</v>
      </c>
      <c r="K444" s="2" t="str">
        <f>J444*4488.81</f>
        <v>0</v>
      </c>
      <c r="L444" s="5"/>
    </row>
    <row r="445" spans="1:12" customHeight="1" ht="105" outlineLevel="5">
      <c r="A445" s="1"/>
      <c r="B445" s="1">
        <v>825929</v>
      </c>
      <c r="C445" s="1" t="s">
        <v>1530</v>
      </c>
      <c r="D445" s="1" t="s">
        <v>1531</v>
      </c>
      <c r="E445" s="2" t="s">
        <v>1532</v>
      </c>
      <c r="F445" s="2" t="s">
        <v>1533</v>
      </c>
      <c r="G445" s="2">
        <v>0</v>
      </c>
      <c r="H445" s="2">
        <v>0</v>
      </c>
      <c r="I445" s="1">
        <v>0</v>
      </c>
      <c r="J445" s="3" t="s">
        <v>17</v>
      </c>
      <c r="K445" s="2" t="str">
        <f>J445*5785.06</f>
        <v>0</v>
      </c>
      <c r="L445" s="5"/>
    </row>
    <row r="446" spans="1:12" customHeight="1" ht="105" outlineLevel="5">
      <c r="A446" s="1"/>
      <c r="B446" s="1">
        <v>825930</v>
      </c>
      <c r="C446" s="1" t="s">
        <v>1534</v>
      </c>
      <c r="D446" s="1" t="s">
        <v>1535</v>
      </c>
      <c r="E446" s="2" t="s">
        <v>1528</v>
      </c>
      <c r="F446" s="2" t="s">
        <v>1536</v>
      </c>
      <c r="G446" s="2">
        <v>0</v>
      </c>
      <c r="H446" s="2">
        <v>0</v>
      </c>
      <c r="I446" s="1">
        <v>0</v>
      </c>
      <c r="J446" s="3" t="s">
        <v>17</v>
      </c>
      <c r="K446" s="2" t="str">
        <f>J446*5209.52</f>
        <v>0</v>
      </c>
      <c r="L446" s="5"/>
    </row>
    <row r="447" spans="1:12" customHeight="1" ht="105" outlineLevel="5">
      <c r="A447" s="1"/>
      <c r="B447" s="1">
        <v>825931</v>
      </c>
      <c r="C447" s="1" t="s">
        <v>1537</v>
      </c>
      <c r="D447" s="1" t="s">
        <v>1538</v>
      </c>
      <c r="E447" s="2" t="s">
        <v>1528</v>
      </c>
      <c r="F447" s="2" t="s">
        <v>1539</v>
      </c>
      <c r="G447" s="2">
        <v>0</v>
      </c>
      <c r="H447" s="2">
        <v>0</v>
      </c>
      <c r="I447" s="1">
        <v>0</v>
      </c>
      <c r="J447" s="3" t="s">
        <v>17</v>
      </c>
      <c r="K447" s="2" t="str">
        <f>J447*5282.90</f>
        <v>0</v>
      </c>
      <c r="L447" s="5"/>
    </row>
    <row r="448" spans="1:12" customHeight="1" ht="105" outlineLevel="5">
      <c r="A448" s="1"/>
      <c r="B448" s="1">
        <v>825932</v>
      </c>
      <c r="C448" s="1" t="s">
        <v>1540</v>
      </c>
      <c r="D448" s="1" t="s">
        <v>1541</v>
      </c>
      <c r="E448" s="2" t="s">
        <v>1528</v>
      </c>
      <c r="F448" s="2" t="s">
        <v>1542</v>
      </c>
      <c r="G448" s="2">
        <v>0</v>
      </c>
      <c r="H448" s="2">
        <v>0</v>
      </c>
      <c r="I448" s="1">
        <v>0</v>
      </c>
      <c r="J448" s="3" t="s">
        <v>17</v>
      </c>
      <c r="K448" s="2" t="str">
        <f>J448*5604.87</f>
        <v>0</v>
      </c>
      <c r="L448" s="5"/>
    </row>
    <row r="449" spans="1:12" customHeight="1" ht="105" outlineLevel="5">
      <c r="A449" s="1"/>
      <c r="B449" s="1">
        <v>825933</v>
      </c>
      <c r="C449" s="1" t="s">
        <v>1543</v>
      </c>
      <c r="D449" s="1" t="s">
        <v>1544</v>
      </c>
      <c r="E449" s="2" t="s">
        <v>1528</v>
      </c>
      <c r="F449" s="2" t="s">
        <v>1545</v>
      </c>
      <c r="G449" s="2">
        <v>0</v>
      </c>
      <c r="H449" s="2">
        <v>0</v>
      </c>
      <c r="I449" s="1">
        <v>0</v>
      </c>
      <c r="J449" s="3" t="s">
        <v>17</v>
      </c>
      <c r="K449" s="2" t="str">
        <f>J449*5198.72</f>
        <v>0</v>
      </c>
      <c r="L449" s="5"/>
    </row>
    <row r="450" spans="1:12" customHeight="1" ht="105" outlineLevel="5">
      <c r="A450" s="1"/>
      <c r="B450" s="1">
        <v>825934</v>
      </c>
      <c r="C450" s="1" t="s">
        <v>1546</v>
      </c>
      <c r="D450" s="1" t="s">
        <v>1547</v>
      </c>
      <c r="E450" s="2" t="s">
        <v>1548</v>
      </c>
      <c r="F450" s="2" t="s">
        <v>1549</v>
      </c>
      <c r="G450" s="2">
        <v>0</v>
      </c>
      <c r="H450" s="2">
        <v>0</v>
      </c>
      <c r="I450" s="1">
        <v>0</v>
      </c>
      <c r="J450" s="3" t="s">
        <v>17</v>
      </c>
      <c r="K450" s="2" t="str">
        <f>J450*2327.96</f>
        <v>0</v>
      </c>
      <c r="L450" s="5"/>
    </row>
    <row r="451" spans="1:12" customHeight="1" ht="105" outlineLevel="5">
      <c r="A451" s="1"/>
      <c r="B451" s="1">
        <v>825935</v>
      </c>
      <c r="C451" s="1" t="s">
        <v>1550</v>
      </c>
      <c r="D451" s="1" t="s">
        <v>1551</v>
      </c>
      <c r="E451" s="2" t="s">
        <v>1548</v>
      </c>
      <c r="F451" s="2" t="s">
        <v>1552</v>
      </c>
      <c r="G451" s="2">
        <v>0</v>
      </c>
      <c r="H451" s="2">
        <v>0</v>
      </c>
      <c r="I451" s="1">
        <v>0</v>
      </c>
      <c r="J451" s="3" t="s">
        <v>17</v>
      </c>
      <c r="K451" s="2" t="str">
        <f>J451*2515.85</f>
        <v>0</v>
      </c>
      <c r="L451" s="5"/>
    </row>
    <row r="452" spans="1:12" customHeight="1" ht="105" outlineLevel="5">
      <c r="A452" s="1"/>
      <c r="B452" s="1">
        <v>825936</v>
      </c>
      <c r="C452" s="1" t="s">
        <v>1553</v>
      </c>
      <c r="D452" s="1" t="s">
        <v>1554</v>
      </c>
      <c r="E452" s="2" t="s">
        <v>1548</v>
      </c>
      <c r="F452" s="2" t="s">
        <v>1555</v>
      </c>
      <c r="G452" s="2">
        <v>0</v>
      </c>
      <c r="H452" s="2">
        <v>0</v>
      </c>
      <c r="I452" s="1">
        <v>0</v>
      </c>
      <c r="J452" s="3" t="s">
        <v>17</v>
      </c>
      <c r="K452" s="2" t="str">
        <f>J452*2737.24</f>
        <v>0</v>
      </c>
      <c r="L452" s="5"/>
    </row>
    <row r="453" spans="1:12" customHeight="1" ht="105" outlineLevel="5">
      <c r="A453" s="1"/>
      <c r="B453" s="1">
        <v>825937</v>
      </c>
      <c r="C453" s="1" t="s">
        <v>1556</v>
      </c>
      <c r="D453" s="1" t="s">
        <v>1557</v>
      </c>
      <c r="E453" s="2" t="s">
        <v>1548</v>
      </c>
      <c r="F453" s="2" t="s">
        <v>1558</v>
      </c>
      <c r="G453" s="2">
        <v>0</v>
      </c>
      <c r="H453" s="2">
        <v>0</v>
      </c>
      <c r="I453" s="1">
        <v>0</v>
      </c>
      <c r="J453" s="3" t="s">
        <v>17</v>
      </c>
      <c r="K453" s="2" t="str">
        <f>J453*2313.45</f>
        <v>0</v>
      </c>
      <c r="L453" s="5"/>
    </row>
    <row r="454" spans="1:12" customHeight="1" ht="105" outlineLevel="5">
      <c r="A454" s="1"/>
      <c r="B454" s="1">
        <v>825938</v>
      </c>
      <c r="C454" s="1" t="s">
        <v>1559</v>
      </c>
      <c r="D454" s="1" t="s">
        <v>1560</v>
      </c>
      <c r="E454" s="2" t="s">
        <v>1548</v>
      </c>
      <c r="F454" s="2" t="s">
        <v>1561</v>
      </c>
      <c r="G454" s="2">
        <v>0</v>
      </c>
      <c r="H454" s="2">
        <v>0</v>
      </c>
      <c r="I454" s="1">
        <v>0</v>
      </c>
      <c r="J454" s="3" t="s">
        <v>17</v>
      </c>
      <c r="K454" s="2" t="str">
        <f>J454*2341.83</f>
        <v>0</v>
      </c>
      <c r="L454" s="5"/>
    </row>
    <row r="455" spans="1:12" customHeight="1" ht="105" outlineLevel="5">
      <c r="A455" s="1"/>
      <c r="B455" s="1">
        <v>825939</v>
      </c>
      <c r="C455" s="1" t="s">
        <v>1562</v>
      </c>
      <c r="D455" s="1" t="s">
        <v>1563</v>
      </c>
      <c r="E455" s="2" t="s">
        <v>1548</v>
      </c>
      <c r="F455" s="2" t="s">
        <v>1564</v>
      </c>
      <c r="G455" s="2">
        <v>0</v>
      </c>
      <c r="H455" s="2">
        <v>0</v>
      </c>
      <c r="I455" s="1">
        <v>0</v>
      </c>
      <c r="J455" s="3" t="s">
        <v>17</v>
      </c>
      <c r="K455" s="2" t="str">
        <f>J455*2512.28</f>
        <v>0</v>
      </c>
      <c r="L455" s="5"/>
    </row>
    <row r="456" spans="1:12" customHeight="1" ht="105" outlineLevel="5">
      <c r="A456" s="1"/>
      <c r="B456" s="1">
        <v>825940</v>
      </c>
      <c r="C456" s="1" t="s">
        <v>1565</v>
      </c>
      <c r="D456" s="1" t="s">
        <v>1566</v>
      </c>
      <c r="E456" s="2" t="s">
        <v>1528</v>
      </c>
      <c r="F456" s="2" t="s">
        <v>1567</v>
      </c>
      <c r="G456" s="2">
        <v>0</v>
      </c>
      <c r="H456" s="2">
        <v>0</v>
      </c>
      <c r="I456" s="1">
        <v>0</v>
      </c>
      <c r="J456" s="3" t="s">
        <v>17</v>
      </c>
      <c r="K456" s="2" t="str">
        <f>J456*5854.73</f>
        <v>0</v>
      </c>
      <c r="L456" s="5"/>
    </row>
    <row r="457" spans="1:12" customHeight="1" ht="105" outlineLevel="5">
      <c r="A457" s="1"/>
      <c r="B457" s="1">
        <v>825941</v>
      </c>
      <c r="C457" s="1" t="s">
        <v>1568</v>
      </c>
      <c r="D457" s="1" t="s">
        <v>1569</v>
      </c>
      <c r="E457" s="2" t="s">
        <v>1520</v>
      </c>
      <c r="F457" s="2" t="s">
        <v>1570</v>
      </c>
      <c r="G457" s="2">
        <v>0</v>
      </c>
      <c r="H457" s="2">
        <v>0</v>
      </c>
      <c r="I457" s="1">
        <v>0</v>
      </c>
      <c r="J457" s="3" t="s">
        <v>17</v>
      </c>
      <c r="K457" s="2" t="str">
        <f>J457*5754.59</f>
        <v>0</v>
      </c>
      <c r="L457" s="5"/>
    </row>
    <row r="458" spans="1:12" customHeight="1" ht="105" outlineLevel="5">
      <c r="A458" s="1"/>
      <c r="B458" s="1">
        <v>825942</v>
      </c>
      <c r="C458" s="1" t="s">
        <v>1571</v>
      </c>
      <c r="D458" s="1" t="s">
        <v>1572</v>
      </c>
      <c r="E458" s="2" t="s">
        <v>1528</v>
      </c>
      <c r="F458" s="2" t="s">
        <v>1573</v>
      </c>
      <c r="G458" s="2">
        <v>0</v>
      </c>
      <c r="H458" s="2">
        <v>0</v>
      </c>
      <c r="I458" s="1">
        <v>0</v>
      </c>
      <c r="J458" s="3" t="s">
        <v>17</v>
      </c>
      <c r="K458" s="2" t="str">
        <f>J458*5613.81</f>
        <v>0</v>
      </c>
      <c r="L458" s="5"/>
    </row>
    <row r="459" spans="1:12" customHeight="1" ht="105" outlineLevel="5">
      <c r="A459" s="1"/>
      <c r="B459" s="1">
        <v>825943</v>
      </c>
      <c r="C459" s="1" t="s">
        <v>1574</v>
      </c>
      <c r="D459" s="1" t="s">
        <v>1575</v>
      </c>
      <c r="E459" s="2" t="s">
        <v>1520</v>
      </c>
      <c r="F459" s="2" t="s">
        <v>1576</v>
      </c>
      <c r="G459" s="2">
        <v>0</v>
      </c>
      <c r="H459" s="2">
        <v>0</v>
      </c>
      <c r="I459" s="1">
        <v>0</v>
      </c>
      <c r="J459" s="3" t="s">
        <v>17</v>
      </c>
      <c r="K459" s="2" t="str">
        <f>J459*5455.61</f>
        <v>0</v>
      </c>
      <c r="L459" s="5"/>
    </row>
    <row r="460" spans="1:12" customHeight="1" ht="105" outlineLevel="5">
      <c r="A460" s="1"/>
      <c r="B460" s="1">
        <v>825944</v>
      </c>
      <c r="C460" s="1" t="s">
        <v>1577</v>
      </c>
      <c r="D460" s="1" t="s">
        <v>1578</v>
      </c>
      <c r="E460" s="2" t="s">
        <v>1528</v>
      </c>
      <c r="F460" s="2" t="s">
        <v>1579</v>
      </c>
      <c r="G460" s="2">
        <v>0</v>
      </c>
      <c r="H460" s="2">
        <v>0</v>
      </c>
      <c r="I460" s="1">
        <v>0</v>
      </c>
      <c r="J460" s="3" t="s">
        <v>17</v>
      </c>
      <c r="K460" s="2" t="str">
        <f>J460*5850.37</f>
        <v>0</v>
      </c>
      <c r="L460" s="5"/>
    </row>
    <row r="461" spans="1:12" customHeight="1" ht="105" outlineLevel="5">
      <c r="A461" s="1"/>
      <c r="B461" s="1">
        <v>825945</v>
      </c>
      <c r="C461" s="1" t="s">
        <v>1580</v>
      </c>
      <c r="D461" s="1" t="s">
        <v>1581</v>
      </c>
      <c r="E461" s="2" t="s">
        <v>1520</v>
      </c>
      <c r="F461" s="2" t="s">
        <v>1582</v>
      </c>
      <c r="G461" s="2">
        <v>0</v>
      </c>
      <c r="H461" s="2">
        <v>0</v>
      </c>
      <c r="I461" s="1">
        <v>0</v>
      </c>
      <c r="J461" s="3" t="s">
        <v>17</v>
      </c>
      <c r="K461" s="2" t="str">
        <f>J461*5270.05</f>
        <v>0</v>
      </c>
      <c r="L461" s="5"/>
    </row>
    <row r="462" spans="1:12" customHeight="1" ht="105" outlineLevel="5">
      <c r="A462" s="1"/>
      <c r="B462" s="1">
        <v>825946</v>
      </c>
      <c r="C462" s="1" t="s">
        <v>1583</v>
      </c>
      <c r="D462" s="1" t="s">
        <v>1584</v>
      </c>
      <c r="E462" s="2" t="s">
        <v>1528</v>
      </c>
      <c r="F462" s="2" t="s">
        <v>1585</v>
      </c>
      <c r="G462" s="2">
        <v>0</v>
      </c>
      <c r="H462" s="2">
        <v>0</v>
      </c>
      <c r="I462" s="1">
        <v>0</v>
      </c>
      <c r="J462" s="3" t="s">
        <v>17</v>
      </c>
      <c r="K462" s="2" t="str">
        <f>J462*5213.30</f>
        <v>0</v>
      </c>
      <c r="L462" s="5"/>
    </row>
    <row r="463" spans="1:12" customHeight="1" ht="105" outlineLevel="5">
      <c r="A463" s="1"/>
      <c r="B463" s="1">
        <v>825947</v>
      </c>
      <c r="C463" s="1" t="s">
        <v>1586</v>
      </c>
      <c r="D463" s="1" t="s">
        <v>1587</v>
      </c>
      <c r="E463" s="2" t="s">
        <v>1520</v>
      </c>
      <c r="F463" s="2" t="s">
        <v>1588</v>
      </c>
      <c r="G463" s="2">
        <v>0</v>
      </c>
      <c r="H463" s="2">
        <v>0</v>
      </c>
      <c r="I463" s="1">
        <v>0</v>
      </c>
      <c r="J463" s="3" t="s">
        <v>17</v>
      </c>
      <c r="K463" s="2" t="str">
        <f>J463*9724.82</f>
        <v>0</v>
      </c>
      <c r="L463" s="5"/>
    </row>
    <row r="464" spans="1:12" customHeight="1" ht="105" outlineLevel="5">
      <c r="A464" s="1"/>
      <c r="B464" s="1">
        <v>825948</v>
      </c>
      <c r="C464" s="1" t="s">
        <v>1589</v>
      </c>
      <c r="D464" s="1" t="s">
        <v>1590</v>
      </c>
      <c r="E464" s="2" t="s">
        <v>1520</v>
      </c>
      <c r="F464" s="2" t="s">
        <v>1591</v>
      </c>
      <c r="G464" s="2">
        <v>0</v>
      </c>
      <c r="H464" s="2">
        <v>0</v>
      </c>
      <c r="I464" s="1">
        <v>0</v>
      </c>
      <c r="J464" s="3" t="s">
        <v>17</v>
      </c>
      <c r="K464" s="2" t="str">
        <f>J464*5590.58</f>
        <v>0</v>
      </c>
      <c r="L464" s="5"/>
    </row>
    <row r="465" spans="1:12" customHeight="1" ht="105" outlineLevel="5">
      <c r="A465" s="1"/>
      <c r="B465" s="1">
        <v>825949</v>
      </c>
      <c r="C465" s="1" t="s">
        <v>1592</v>
      </c>
      <c r="D465" s="1" t="s">
        <v>1593</v>
      </c>
      <c r="E465" s="2" t="s">
        <v>1528</v>
      </c>
      <c r="F465" s="2" t="s">
        <v>1594</v>
      </c>
      <c r="G465" s="2">
        <v>0</v>
      </c>
      <c r="H465" s="2">
        <v>0</v>
      </c>
      <c r="I465" s="1">
        <v>0</v>
      </c>
      <c r="J465" s="3" t="s">
        <v>17</v>
      </c>
      <c r="K465" s="2" t="str">
        <f>J465*6652.83</f>
        <v>0</v>
      </c>
      <c r="L465" s="5"/>
    </row>
    <row r="466" spans="1:12" customHeight="1" ht="105" outlineLevel="5">
      <c r="A466" s="1"/>
      <c r="B466" s="1">
        <v>825950</v>
      </c>
      <c r="C466" s="1" t="s">
        <v>1595</v>
      </c>
      <c r="D466" s="1" t="s">
        <v>1596</v>
      </c>
      <c r="E466" s="2" t="s">
        <v>1597</v>
      </c>
      <c r="F466" s="2" t="s">
        <v>1598</v>
      </c>
      <c r="G466" s="2">
        <v>0</v>
      </c>
      <c r="H466" s="2">
        <v>0</v>
      </c>
      <c r="I466" s="1">
        <v>0</v>
      </c>
      <c r="J466" s="3" t="s">
        <v>17</v>
      </c>
      <c r="K466" s="2" t="str">
        <f>J466*5291.61</f>
        <v>0</v>
      </c>
      <c r="L466" s="5"/>
    </row>
    <row r="467" spans="1:12" customHeight="1" ht="105" outlineLevel="5">
      <c r="A467" s="1"/>
      <c r="B467" s="1">
        <v>825951</v>
      </c>
      <c r="C467" s="1" t="s">
        <v>1599</v>
      </c>
      <c r="D467" s="1" t="s">
        <v>1600</v>
      </c>
      <c r="E467" s="2" t="s">
        <v>1601</v>
      </c>
      <c r="F467" s="2" t="s">
        <v>1602</v>
      </c>
      <c r="G467" s="2">
        <v>0</v>
      </c>
      <c r="H467" s="2">
        <v>0</v>
      </c>
      <c r="I467" s="1">
        <v>0</v>
      </c>
      <c r="J467" s="3" t="s">
        <v>17</v>
      </c>
      <c r="K467" s="2" t="str">
        <f>J467*5351.11</f>
        <v>0</v>
      </c>
      <c r="L467" s="5"/>
    </row>
    <row r="468" spans="1:12" customHeight="1" ht="105" outlineLevel="5">
      <c r="A468" s="1"/>
      <c r="B468" s="1">
        <v>825952</v>
      </c>
      <c r="C468" s="1" t="s">
        <v>1603</v>
      </c>
      <c r="D468" s="1" t="s">
        <v>1604</v>
      </c>
      <c r="E468" s="2" t="s">
        <v>1605</v>
      </c>
      <c r="F468" s="2" t="s">
        <v>1606</v>
      </c>
      <c r="G468" s="2">
        <v>0</v>
      </c>
      <c r="H468" s="2">
        <v>0</v>
      </c>
      <c r="I468" s="1">
        <v>0</v>
      </c>
      <c r="J468" s="3" t="s">
        <v>17</v>
      </c>
      <c r="K468" s="2" t="str">
        <f>J468*4653.01</f>
        <v>0</v>
      </c>
      <c r="L468" s="5"/>
    </row>
    <row r="469" spans="1:12" customHeight="1" ht="105" outlineLevel="5">
      <c r="A469" s="1"/>
      <c r="B469" s="1">
        <v>825953</v>
      </c>
      <c r="C469" s="1" t="s">
        <v>1607</v>
      </c>
      <c r="D469" s="1" t="s">
        <v>1608</v>
      </c>
      <c r="E469" s="2" t="s">
        <v>1520</v>
      </c>
      <c r="F469" s="2" t="s">
        <v>1609</v>
      </c>
      <c r="G469" s="2">
        <v>2</v>
      </c>
      <c r="H469" s="2">
        <v>0</v>
      </c>
      <c r="I469" s="1">
        <v>0</v>
      </c>
      <c r="J469" s="3" t="s">
        <v>17</v>
      </c>
      <c r="K469" s="2" t="str">
        <f>J469*5981.00</f>
        <v>0</v>
      </c>
      <c r="L469" s="5"/>
    </row>
    <row r="470" spans="1:12" customHeight="1" ht="105" outlineLevel="5">
      <c r="A470" s="1"/>
      <c r="B470" s="1">
        <v>825954</v>
      </c>
      <c r="C470" s="1" t="s">
        <v>1610</v>
      </c>
      <c r="D470" s="1" t="s">
        <v>1611</v>
      </c>
      <c r="E470" s="2" t="s">
        <v>1528</v>
      </c>
      <c r="F470" s="2" t="s">
        <v>1612</v>
      </c>
      <c r="G470" s="2">
        <v>0</v>
      </c>
      <c r="H470" s="2">
        <v>0</v>
      </c>
      <c r="I470" s="1">
        <v>0</v>
      </c>
      <c r="J470" s="3" t="s">
        <v>17</v>
      </c>
      <c r="K470" s="2" t="str">
        <f>J470*5580.42</f>
        <v>0</v>
      </c>
      <c r="L470" s="5"/>
    </row>
    <row r="471" spans="1:12" customHeight="1" ht="105" outlineLevel="5">
      <c r="A471" s="1"/>
      <c r="B471" s="1">
        <v>825955</v>
      </c>
      <c r="C471" s="1" t="s">
        <v>1613</v>
      </c>
      <c r="D471" s="1" t="s">
        <v>1614</v>
      </c>
      <c r="E471" s="2" t="s">
        <v>1520</v>
      </c>
      <c r="F471" s="2" t="s">
        <v>1615</v>
      </c>
      <c r="G471" s="2">
        <v>2</v>
      </c>
      <c r="H471" s="2">
        <v>0</v>
      </c>
      <c r="I471" s="1">
        <v>0</v>
      </c>
      <c r="J471" s="3" t="s">
        <v>17</v>
      </c>
      <c r="K471" s="2" t="str">
        <f>J471*5917.14</f>
        <v>0</v>
      </c>
      <c r="L471" s="5"/>
    </row>
    <row r="472" spans="1:12" customHeight="1" ht="105" outlineLevel="5">
      <c r="A472" s="1"/>
      <c r="B472" s="1">
        <v>825956</v>
      </c>
      <c r="C472" s="1" t="s">
        <v>1616</v>
      </c>
      <c r="D472" s="1" t="s">
        <v>1617</v>
      </c>
      <c r="E472" s="2" t="s">
        <v>1528</v>
      </c>
      <c r="F472" s="2" t="s">
        <v>1618</v>
      </c>
      <c r="G472" s="2">
        <v>0</v>
      </c>
      <c r="H472" s="2">
        <v>0</v>
      </c>
      <c r="I472" s="1">
        <v>0</v>
      </c>
      <c r="J472" s="3" t="s">
        <v>17</v>
      </c>
      <c r="K472" s="2" t="str">
        <f>J472*5773.45</f>
        <v>0</v>
      </c>
      <c r="L472" s="5"/>
    </row>
    <row r="473" spans="1:12" customHeight="1" ht="105" outlineLevel="5">
      <c r="A473" s="1"/>
      <c r="B473" s="1">
        <v>825957</v>
      </c>
      <c r="C473" s="1" t="s">
        <v>1619</v>
      </c>
      <c r="D473" s="1" t="s">
        <v>1620</v>
      </c>
      <c r="E473" s="2" t="s">
        <v>1528</v>
      </c>
      <c r="F473" s="2" t="s">
        <v>1621</v>
      </c>
      <c r="G473" s="2">
        <v>0</v>
      </c>
      <c r="H473" s="2">
        <v>0</v>
      </c>
      <c r="I473" s="1">
        <v>0</v>
      </c>
      <c r="J473" s="3" t="s">
        <v>17</v>
      </c>
      <c r="K473" s="2" t="str">
        <f>J473*4622.54</f>
        <v>0</v>
      </c>
      <c r="L473" s="5"/>
    </row>
    <row r="474" spans="1:12" customHeight="1" ht="105" outlineLevel="5">
      <c r="A474" s="1"/>
      <c r="B474" s="1">
        <v>825958</v>
      </c>
      <c r="C474" s="1" t="s">
        <v>1622</v>
      </c>
      <c r="D474" s="1" t="s">
        <v>1623</v>
      </c>
      <c r="E474" s="2" t="s">
        <v>1624</v>
      </c>
      <c r="F474" s="2" t="s">
        <v>1625</v>
      </c>
      <c r="G474" s="2">
        <v>0</v>
      </c>
      <c r="H474" s="2">
        <v>0</v>
      </c>
      <c r="I474" s="1">
        <v>0</v>
      </c>
      <c r="J474" s="3" t="s">
        <v>17</v>
      </c>
      <c r="K474" s="2" t="str">
        <f>J474*4708.24</f>
        <v>0</v>
      </c>
      <c r="L474" s="5"/>
    </row>
    <row r="475" spans="1:12" customHeight="1" ht="105" outlineLevel="5">
      <c r="A475" s="1"/>
      <c r="B475" s="1">
        <v>825959</v>
      </c>
      <c r="C475" s="1" t="s">
        <v>1626</v>
      </c>
      <c r="D475" s="1" t="s">
        <v>1627</v>
      </c>
      <c r="E475" s="2" t="s">
        <v>1528</v>
      </c>
      <c r="F475" s="2" t="s">
        <v>1628</v>
      </c>
      <c r="G475" s="2">
        <v>0</v>
      </c>
      <c r="H475" s="2">
        <v>0</v>
      </c>
      <c r="I475" s="1">
        <v>0</v>
      </c>
      <c r="J475" s="3" t="s">
        <v>17</v>
      </c>
      <c r="K475" s="2" t="str">
        <f>J475*4780.12</f>
        <v>0</v>
      </c>
      <c r="L475" s="5"/>
    </row>
    <row r="476" spans="1:12" customHeight="1" ht="105" outlineLevel="5">
      <c r="A476" s="1"/>
      <c r="B476" s="1">
        <v>825960</v>
      </c>
      <c r="C476" s="1" t="s">
        <v>1629</v>
      </c>
      <c r="D476" s="1" t="s">
        <v>1630</v>
      </c>
      <c r="E476" s="2" t="s">
        <v>1631</v>
      </c>
      <c r="F476" s="2" t="s">
        <v>1632</v>
      </c>
      <c r="G476" s="2">
        <v>0</v>
      </c>
      <c r="H476" s="2">
        <v>0</v>
      </c>
      <c r="I476" s="1">
        <v>0</v>
      </c>
      <c r="J476" s="3" t="s">
        <v>17</v>
      </c>
      <c r="K476" s="2" t="str">
        <f>J476*4866.36</f>
        <v>0</v>
      </c>
      <c r="L476" s="5"/>
    </row>
    <row r="477" spans="1:12" customHeight="1" ht="105" outlineLevel="5">
      <c r="A477" s="1"/>
      <c r="B477" s="1">
        <v>825961</v>
      </c>
      <c r="C477" s="1" t="s">
        <v>1633</v>
      </c>
      <c r="D477" s="1" t="s">
        <v>1634</v>
      </c>
      <c r="E477" s="2" t="s">
        <v>1635</v>
      </c>
      <c r="F477" s="2" t="s">
        <v>1636</v>
      </c>
      <c r="G477" s="2">
        <v>0</v>
      </c>
      <c r="H477" s="2">
        <v>0</v>
      </c>
      <c r="I477" s="1">
        <v>0</v>
      </c>
      <c r="J477" s="3" t="s">
        <v>17</v>
      </c>
      <c r="K477" s="2" t="str">
        <f>J477*4806.86</f>
        <v>0</v>
      </c>
      <c r="L477" s="5"/>
    </row>
    <row r="478" spans="1:12" customHeight="1" ht="105" outlineLevel="5">
      <c r="A478" s="1"/>
      <c r="B478" s="1">
        <v>825962</v>
      </c>
      <c r="C478" s="1" t="s">
        <v>1637</v>
      </c>
      <c r="D478" s="1" t="s">
        <v>1638</v>
      </c>
      <c r="E478" s="2" t="s">
        <v>1639</v>
      </c>
      <c r="F478" s="2" t="s">
        <v>1640</v>
      </c>
      <c r="G478" s="2">
        <v>0</v>
      </c>
      <c r="H478" s="2">
        <v>0</v>
      </c>
      <c r="I478" s="1">
        <v>0</v>
      </c>
      <c r="J478" s="3" t="s">
        <v>17</v>
      </c>
      <c r="K478" s="2" t="str">
        <f>J478*4838.79</f>
        <v>0</v>
      </c>
      <c r="L478" s="5"/>
    </row>
    <row r="479" spans="1:12" customHeight="1" ht="105" outlineLevel="5">
      <c r="A479" s="1"/>
      <c r="B479" s="1">
        <v>825963</v>
      </c>
      <c r="C479" s="1" t="s">
        <v>1641</v>
      </c>
      <c r="D479" s="1" t="s">
        <v>1642</v>
      </c>
      <c r="E479" s="2" t="s">
        <v>1643</v>
      </c>
      <c r="F479" s="2" t="s">
        <v>1644</v>
      </c>
      <c r="G479" s="2">
        <v>1</v>
      </c>
      <c r="H479" s="2">
        <v>0</v>
      </c>
      <c r="I479" s="1">
        <v>0</v>
      </c>
      <c r="J479" s="3" t="s">
        <v>17</v>
      </c>
      <c r="K479" s="2" t="str">
        <f>J479*12426.42</f>
        <v>0</v>
      </c>
      <c r="L479" s="5"/>
    </row>
    <row r="480" spans="1:12" customHeight="1" ht="105" outlineLevel="5">
      <c r="A480" s="1"/>
      <c r="B480" s="1">
        <v>825964</v>
      </c>
      <c r="C480" s="1" t="s">
        <v>1645</v>
      </c>
      <c r="D480" s="1" t="s">
        <v>1646</v>
      </c>
      <c r="E480" s="2" t="s">
        <v>1639</v>
      </c>
      <c r="F480" s="2" t="s">
        <v>1647</v>
      </c>
      <c r="G480" s="2">
        <v>0</v>
      </c>
      <c r="H480" s="2">
        <v>0</v>
      </c>
      <c r="I480" s="1">
        <v>0</v>
      </c>
      <c r="J480" s="3" t="s">
        <v>17</v>
      </c>
      <c r="K480" s="2" t="str">
        <f>J480*4698.01</f>
        <v>0</v>
      </c>
      <c r="L480" s="5"/>
    </row>
    <row r="481" spans="1:12" customHeight="1" ht="105" outlineLevel="5">
      <c r="A481" s="1"/>
      <c r="B481" s="1">
        <v>825965</v>
      </c>
      <c r="C481" s="1" t="s">
        <v>1648</v>
      </c>
      <c r="D481" s="1" t="s">
        <v>1649</v>
      </c>
      <c r="E481" s="2" t="s">
        <v>1650</v>
      </c>
      <c r="F481" s="2" t="s">
        <v>1651</v>
      </c>
      <c r="G481" s="2">
        <v>0</v>
      </c>
      <c r="H481" s="2">
        <v>0</v>
      </c>
      <c r="I481" s="1">
        <v>0</v>
      </c>
      <c r="J481" s="3" t="s">
        <v>17</v>
      </c>
      <c r="K481" s="2" t="str">
        <f>J481*5576.07</f>
        <v>0</v>
      </c>
      <c r="L481" s="5"/>
    </row>
    <row r="482" spans="1:12" customHeight="1" ht="105" outlineLevel="5">
      <c r="A482" s="1"/>
      <c r="B482" s="1">
        <v>825966</v>
      </c>
      <c r="C482" s="1" t="s">
        <v>1652</v>
      </c>
      <c r="D482" s="1" t="s">
        <v>1653</v>
      </c>
      <c r="E482" s="2" t="s">
        <v>1639</v>
      </c>
      <c r="F482" s="2" t="s">
        <v>1654</v>
      </c>
      <c r="G482" s="2">
        <v>0</v>
      </c>
      <c r="H482" s="2">
        <v>0</v>
      </c>
      <c r="I482" s="1">
        <v>0</v>
      </c>
      <c r="J482" s="3" t="s">
        <v>17</v>
      </c>
      <c r="K482" s="2" t="str">
        <f>J482*5422.23</f>
        <v>0</v>
      </c>
      <c r="L482" s="5"/>
    </row>
    <row r="483" spans="1:12" customHeight="1" ht="105" outlineLevel="5">
      <c r="A483" s="1"/>
      <c r="B483" s="1">
        <v>825967</v>
      </c>
      <c r="C483" s="1" t="s">
        <v>1655</v>
      </c>
      <c r="D483" s="1" t="s">
        <v>1656</v>
      </c>
      <c r="E483" s="2" t="s">
        <v>1657</v>
      </c>
      <c r="F483" s="2" t="s">
        <v>1658</v>
      </c>
      <c r="G483" s="2">
        <v>0</v>
      </c>
      <c r="H483" s="2">
        <v>0</v>
      </c>
      <c r="I483" s="1">
        <v>0</v>
      </c>
      <c r="J483" s="3" t="s">
        <v>17</v>
      </c>
      <c r="K483" s="2" t="str">
        <f>J483*4862.01</f>
        <v>0</v>
      </c>
      <c r="L483" s="5"/>
    </row>
    <row r="484" spans="1:12" customHeight="1" ht="105" outlineLevel="5">
      <c r="A484" s="1"/>
      <c r="B484" s="1">
        <v>825968</v>
      </c>
      <c r="C484" s="1" t="s">
        <v>1659</v>
      </c>
      <c r="D484" s="1" t="s">
        <v>1660</v>
      </c>
      <c r="E484" s="2" t="s">
        <v>1661</v>
      </c>
      <c r="F484" s="2" t="s">
        <v>1662</v>
      </c>
      <c r="G484" s="2">
        <v>0</v>
      </c>
      <c r="H484" s="2">
        <v>0</v>
      </c>
      <c r="I484" s="1">
        <v>0</v>
      </c>
      <c r="J484" s="3" t="s">
        <v>17</v>
      </c>
      <c r="K484" s="2" t="str">
        <f>J484*4835.88</f>
        <v>0</v>
      </c>
      <c r="L484" s="5"/>
    </row>
    <row r="485" spans="1:12" customHeight="1" ht="105" outlineLevel="5">
      <c r="A485" s="1"/>
      <c r="B485" s="1">
        <v>825969</v>
      </c>
      <c r="C485" s="1" t="s">
        <v>1663</v>
      </c>
      <c r="D485" s="1" t="s">
        <v>1664</v>
      </c>
      <c r="E485" s="2" t="s">
        <v>1665</v>
      </c>
      <c r="F485" s="2" t="s">
        <v>1666</v>
      </c>
      <c r="G485" s="2">
        <v>0</v>
      </c>
      <c r="H485" s="2">
        <v>0</v>
      </c>
      <c r="I485" s="1">
        <v>0</v>
      </c>
      <c r="J485" s="3" t="s">
        <v>17</v>
      </c>
      <c r="K485" s="2" t="str">
        <f>J485*4425.15</f>
        <v>0</v>
      </c>
      <c r="L485" s="5"/>
    </row>
    <row r="486" spans="1:12" customHeight="1" ht="105" outlineLevel="5">
      <c r="A486" s="1"/>
      <c r="B486" s="1">
        <v>825970</v>
      </c>
      <c r="C486" s="1" t="s">
        <v>1667</v>
      </c>
      <c r="D486" s="1" t="s">
        <v>1668</v>
      </c>
      <c r="E486" s="2" t="s">
        <v>1669</v>
      </c>
      <c r="F486" s="2" t="s">
        <v>1670</v>
      </c>
      <c r="G486" s="2">
        <v>0</v>
      </c>
      <c r="H486" s="2">
        <v>0</v>
      </c>
      <c r="I486" s="1">
        <v>0</v>
      </c>
      <c r="J486" s="3" t="s">
        <v>17</v>
      </c>
      <c r="K486" s="2" t="str">
        <f>J486*4821.37</f>
        <v>0</v>
      </c>
      <c r="L486" s="5"/>
    </row>
    <row r="487" spans="1:12" customHeight="1" ht="105" outlineLevel="5">
      <c r="A487" s="1"/>
      <c r="B487" s="1">
        <v>825971</v>
      </c>
      <c r="C487" s="1" t="s">
        <v>1671</v>
      </c>
      <c r="D487" s="1" t="s">
        <v>1672</v>
      </c>
      <c r="E487" s="2" t="s">
        <v>1665</v>
      </c>
      <c r="F487" s="2" t="s">
        <v>1673</v>
      </c>
      <c r="G487" s="2">
        <v>0</v>
      </c>
      <c r="H487" s="2">
        <v>0</v>
      </c>
      <c r="I487" s="1">
        <v>0</v>
      </c>
      <c r="J487" s="3" t="s">
        <v>17</v>
      </c>
      <c r="K487" s="2" t="str">
        <f>J487*4404.83</f>
        <v>0</v>
      </c>
      <c r="L487" s="5"/>
    </row>
    <row r="488" spans="1:12" customHeight="1" ht="105" outlineLevel="5">
      <c r="A488" s="1"/>
      <c r="B488" s="1">
        <v>825972</v>
      </c>
      <c r="C488" s="1" t="s">
        <v>1674</v>
      </c>
      <c r="D488" s="1" t="s">
        <v>1675</v>
      </c>
      <c r="E488" s="2" t="s">
        <v>1676</v>
      </c>
      <c r="F488" s="2" t="s">
        <v>1677</v>
      </c>
      <c r="G488" s="2">
        <v>0</v>
      </c>
      <c r="H488" s="2">
        <v>0</v>
      </c>
      <c r="I488" s="1">
        <v>0</v>
      </c>
      <c r="J488" s="3" t="s">
        <v>17</v>
      </c>
      <c r="K488" s="2" t="str">
        <f>J488*6130.74</f>
        <v>0</v>
      </c>
      <c r="L488" s="5"/>
    </row>
    <row r="489" spans="1:12" customHeight="1" ht="105" outlineLevel="5">
      <c r="A489" s="1"/>
      <c r="B489" s="1">
        <v>825973</v>
      </c>
      <c r="C489" s="1" t="s">
        <v>1678</v>
      </c>
      <c r="D489" s="1" t="s">
        <v>1679</v>
      </c>
      <c r="E489" s="2" t="s">
        <v>1665</v>
      </c>
      <c r="F489" s="2" t="s">
        <v>1680</v>
      </c>
      <c r="G489" s="2">
        <v>0</v>
      </c>
      <c r="H489" s="2">
        <v>0</v>
      </c>
      <c r="I489" s="1">
        <v>0</v>
      </c>
      <c r="J489" s="3" t="s">
        <v>17</v>
      </c>
      <c r="K489" s="2" t="str">
        <f>J489*4204.55</f>
        <v>0</v>
      </c>
      <c r="L489" s="5"/>
    </row>
    <row r="490" spans="1:12" customHeight="1" ht="105" outlineLevel="5">
      <c r="A490" s="1"/>
      <c r="B490" s="1">
        <v>825974</v>
      </c>
      <c r="C490" s="1" t="s">
        <v>1681</v>
      </c>
      <c r="D490" s="1" t="s">
        <v>1682</v>
      </c>
      <c r="E490" s="2" t="s">
        <v>1683</v>
      </c>
      <c r="F490" s="2" t="s">
        <v>1684</v>
      </c>
      <c r="G490" s="2">
        <v>0</v>
      </c>
      <c r="H490" s="2">
        <v>0</v>
      </c>
      <c r="I490" s="1">
        <v>0</v>
      </c>
      <c r="J490" s="3" t="s">
        <v>17</v>
      </c>
      <c r="K490" s="2" t="str">
        <f>J490*8885.14</f>
        <v>0</v>
      </c>
      <c r="L490" s="5"/>
    </row>
    <row r="491" spans="1:12" customHeight="1" ht="105" outlineLevel="5">
      <c r="A491" s="1"/>
      <c r="B491" s="1">
        <v>825975</v>
      </c>
      <c r="C491" s="1" t="s">
        <v>1685</v>
      </c>
      <c r="D491" s="1" t="s">
        <v>1686</v>
      </c>
      <c r="E491" s="2" t="s">
        <v>1665</v>
      </c>
      <c r="F491" s="2" t="s">
        <v>1687</v>
      </c>
      <c r="G491" s="2">
        <v>1</v>
      </c>
      <c r="H491" s="2">
        <v>0</v>
      </c>
      <c r="I491" s="1">
        <v>0</v>
      </c>
      <c r="J491" s="3" t="s">
        <v>17</v>
      </c>
      <c r="K491" s="2" t="str">
        <f>J491*3579.02</f>
        <v>0</v>
      </c>
      <c r="L491" s="5"/>
    </row>
    <row r="492" spans="1:12" customHeight="1" ht="105" outlineLevel="5">
      <c r="A492" s="1"/>
      <c r="B492" s="1">
        <v>825976</v>
      </c>
      <c r="C492" s="1" t="s">
        <v>1688</v>
      </c>
      <c r="D492" s="1" t="s">
        <v>1689</v>
      </c>
      <c r="E492" s="2" t="s">
        <v>1548</v>
      </c>
      <c r="F492" s="2" t="s">
        <v>1690</v>
      </c>
      <c r="G492" s="2">
        <v>0</v>
      </c>
      <c r="H492" s="2">
        <v>0</v>
      </c>
      <c r="I492" s="1">
        <v>0</v>
      </c>
      <c r="J492" s="3" t="s">
        <v>17</v>
      </c>
      <c r="K492" s="2" t="str">
        <f>J492*3597.89</f>
        <v>0</v>
      </c>
      <c r="L492" s="5"/>
    </row>
    <row r="493" spans="1:12" customHeight="1" ht="105" outlineLevel="5">
      <c r="A493" s="1"/>
      <c r="B493" s="1">
        <v>825977</v>
      </c>
      <c r="C493" s="1" t="s">
        <v>1691</v>
      </c>
      <c r="D493" s="1" t="s">
        <v>1692</v>
      </c>
      <c r="E493" s="2" t="s">
        <v>1693</v>
      </c>
      <c r="F493" s="2" t="s">
        <v>1694</v>
      </c>
      <c r="G493" s="2">
        <v>0</v>
      </c>
      <c r="H493" s="2">
        <v>0</v>
      </c>
      <c r="I493" s="1">
        <v>0</v>
      </c>
      <c r="J493" s="3" t="s">
        <v>17</v>
      </c>
      <c r="K493" s="2" t="str">
        <f>J493*2507.93</f>
        <v>0</v>
      </c>
      <c r="L493" s="5"/>
    </row>
    <row r="494" spans="1:12" customHeight="1" ht="105" outlineLevel="5">
      <c r="A494" s="1"/>
      <c r="B494" s="1">
        <v>825978</v>
      </c>
      <c r="C494" s="1" t="s">
        <v>1695</v>
      </c>
      <c r="D494" s="1" t="s">
        <v>1696</v>
      </c>
      <c r="E494" s="2" t="s">
        <v>1548</v>
      </c>
      <c r="F494" s="2" t="s">
        <v>1697</v>
      </c>
      <c r="G494" s="2">
        <v>0</v>
      </c>
      <c r="H494" s="2">
        <v>0</v>
      </c>
      <c r="I494" s="1">
        <v>0</v>
      </c>
      <c r="J494" s="3" t="s">
        <v>17</v>
      </c>
      <c r="K494" s="2" t="str">
        <f>J494*3840.26</f>
        <v>0</v>
      </c>
      <c r="L494" s="5"/>
    </row>
    <row r="495" spans="1:12" customHeight="1" ht="105" outlineLevel="5">
      <c r="A495" s="1"/>
      <c r="B495" s="1">
        <v>825979</v>
      </c>
      <c r="C495" s="1" t="s">
        <v>1698</v>
      </c>
      <c r="D495" s="1" t="s">
        <v>1699</v>
      </c>
      <c r="E495" s="2" t="s">
        <v>1548</v>
      </c>
      <c r="F495" s="2" t="s">
        <v>1700</v>
      </c>
      <c r="G495" s="2">
        <v>0</v>
      </c>
      <c r="H495" s="2">
        <v>0</v>
      </c>
      <c r="I495" s="1">
        <v>0</v>
      </c>
      <c r="J495" s="3" t="s">
        <v>17</v>
      </c>
      <c r="K495" s="2" t="str">
        <f>J495*3625.46</f>
        <v>0</v>
      </c>
      <c r="L495" s="5"/>
    </row>
    <row r="496" spans="1:12" customHeight="1" ht="105" outlineLevel="5">
      <c r="A496" s="1"/>
      <c r="B496" s="1">
        <v>825980</v>
      </c>
      <c r="C496" s="1" t="s">
        <v>1701</v>
      </c>
      <c r="D496" s="1" t="s">
        <v>1702</v>
      </c>
      <c r="E496" s="2" t="s">
        <v>1548</v>
      </c>
      <c r="F496" s="2" t="s">
        <v>1703</v>
      </c>
      <c r="G496" s="2">
        <v>0</v>
      </c>
      <c r="H496" s="2">
        <v>0</v>
      </c>
      <c r="I496" s="1">
        <v>0</v>
      </c>
      <c r="J496" s="3" t="s">
        <v>17</v>
      </c>
      <c r="K496" s="2" t="str">
        <f>J496*2535.50</f>
        <v>0</v>
      </c>
      <c r="L496" s="5"/>
    </row>
    <row r="497" spans="1:12" customHeight="1" ht="105" outlineLevel="5">
      <c r="A497" s="1"/>
      <c r="B497" s="1">
        <v>825981</v>
      </c>
      <c r="C497" s="1" t="s">
        <v>1704</v>
      </c>
      <c r="D497" s="1" t="s">
        <v>1705</v>
      </c>
      <c r="E497" s="2" t="s">
        <v>1548</v>
      </c>
      <c r="F497" s="2" t="s">
        <v>1706</v>
      </c>
      <c r="G497" s="2">
        <v>0</v>
      </c>
      <c r="H497" s="2">
        <v>0</v>
      </c>
      <c r="I497" s="1">
        <v>0</v>
      </c>
      <c r="J497" s="3" t="s">
        <v>17</v>
      </c>
      <c r="K497" s="2" t="str">
        <f>J497*3136.31</f>
        <v>0</v>
      </c>
      <c r="L497" s="5"/>
    </row>
    <row r="498" spans="1:12" customHeight="1" ht="105" outlineLevel="5">
      <c r="A498" s="1"/>
      <c r="B498" s="1">
        <v>825982</v>
      </c>
      <c r="C498" s="1" t="s">
        <v>1707</v>
      </c>
      <c r="D498" s="1" t="s">
        <v>1708</v>
      </c>
      <c r="E498" s="2" t="s">
        <v>1693</v>
      </c>
      <c r="F498" s="2" t="s">
        <v>1709</v>
      </c>
      <c r="G498" s="2">
        <v>0</v>
      </c>
      <c r="H498" s="2">
        <v>0</v>
      </c>
      <c r="I498" s="1">
        <v>0</v>
      </c>
      <c r="J498" s="3" t="s">
        <v>17</v>
      </c>
      <c r="K498" s="2" t="str">
        <f>J498*2627.46</f>
        <v>0</v>
      </c>
      <c r="L498" s="5"/>
    </row>
    <row r="499" spans="1:12" customHeight="1" ht="105" outlineLevel="5">
      <c r="A499" s="1"/>
      <c r="B499" s="1">
        <v>825983</v>
      </c>
      <c r="C499" s="1" t="s">
        <v>1710</v>
      </c>
      <c r="D499" s="1" t="s">
        <v>1711</v>
      </c>
      <c r="E499" s="2" t="s">
        <v>1548</v>
      </c>
      <c r="F499" s="2" t="s">
        <v>1712</v>
      </c>
      <c r="G499" s="2">
        <v>0</v>
      </c>
      <c r="H499" s="2">
        <v>0</v>
      </c>
      <c r="I499" s="1">
        <v>0</v>
      </c>
      <c r="J499" s="3" t="s">
        <v>17</v>
      </c>
      <c r="K499" s="2" t="str">
        <f>J499*4068.87</f>
        <v>0</v>
      </c>
      <c r="L499" s="5"/>
    </row>
    <row r="500" spans="1:12" customHeight="1" ht="105" outlineLevel="5">
      <c r="A500" s="1"/>
      <c r="B500" s="1">
        <v>825984</v>
      </c>
      <c r="C500" s="1" t="s">
        <v>1713</v>
      </c>
      <c r="D500" s="1" t="s">
        <v>1714</v>
      </c>
      <c r="E500" s="2" t="s">
        <v>1715</v>
      </c>
      <c r="F500" s="2" t="s">
        <v>1716</v>
      </c>
      <c r="G500" s="2">
        <v>0</v>
      </c>
      <c r="H500" s="2">
        <v>0</v>
      </c>
      <c r="I500" s="1">
        <v>0</v>
      </c>
      <c r="J500" s="3" t="s">
        <v>17</v>
      </c>
      <c r="K500" s="2" t="str">
        <f>J500*2397.62</f>
        <v>0</v>
      </c>
      <c r="L500" s="5"/>
    </row>
    <row r="501" spans="1:12" customHeight="1" ht="105" outlineLevel="5">
      <c r="A501" s="1"/>
      <c r="B501" s="1">
        <v>825985</v>
      </c>
      <c r="C501" s="1" t="s">
        <v>1717</v>
      </c>
      <c r="D501" s="1" t="s">
        <v>1718</v>
      </c>
      <c r="E501" s="2" t="s">
        <v>1548</v>
      </c>
      <c r="F501" s="2" t="s">
        <v>1719</v>
      </c>
      <c r="G501" s="2">
        <v>0</v>
      </c>
      <c r="H501" s="2">
        <v>0</v>
      </c>
      <c r="I501" s="1">
        <v>0</v>
      </c>
      <c r="J501" s="3" t="s">
        <v>17</v>
      </c>
      <c r="K501" s="2" t="str">
        <f>J501*4134.88</f>
        <v>0</v>
      </c>
      <c r="L501" s="5"/>
    </row>
    <row r="502" spans="1:12" customHeight="1" ht="105" outlineLevel="5">
      <c r="A502" s="1"/>
      <c r="B502" s="1">
        <v>825986</v>
      </c>
      <c r="C502" s="1" t="s">
        <v>1720</v>
      </c>
      <c r="D502" s="1" t="s">
        <v>1721</v>
      </c>
      <c r="E502" s="2" t="s">
        <v>1548</v>
      </c>
      <c r="F502" s="2" t="s">
        <v>1722</v>
      </c>
      <c r="G502" s="2">
        <v>0</v>
      </c>
      <c r="H502" s="2">
        <v>0</v>
      </c>
      <c r="I502" s="1">
        <v>0</v>
      </c>
      <c r="J502" s="3" t="s">
        <v>17</v>
      </c>
      <c r="K502" s="2" t="str">
        <f>J502*3428.08</f>
        <v>0</v>
      </c>
      <c r="L502" s="5"/>
    </row>
    <row r="503" spans="1:12" customHeight="1" ht="105" outlineLevel="5">
      <c r="A503" s="1"/>
      <c r="B503" s="1">
        <v>825987</v>
      </c>
      <c r="C503" s="1" t="s">
        <v>1723</v>
      </c>
      <c r="D503" s="1" t="s">
        <v>1724</v>
      </c>
      <c r="E503" s="2" t="s">
        <v>1548</v>
      </c>
      <c r="F503" s="2" t="s">
        <v>1725</v>
      </c>
      <c r="G503" s="2">
        <v>0</v>
      </c>
      <c r="H503" s="2">
        <v>0</v>
      </c>
      <c r="I503" s="1">
        <v>0</v>
      </c>
      <c r="J503" s="3" t="s">
        <v>17</v>
      </c>
      <c r="K503" s="2" t="str">
        <f>J503*3448.40</f>
        <v>0</v>
      </c>
      <c r="L503" s="5"/>
    </row>
    <row r="504" spans="1:12" customHeight="1" ht="105" outlineLevel="5">
      <c r="A504" s="1"/>
      <c r="B504" s="1">
        <v>825988</v>
      </c>
      <c r="C504" s="1" t="s">
        <v>1726</v>
      </c>
      <c r="D504" s="1" t="s">
        <v>1727</v>
      </c>
      <c r="E504" s="2" t="s">
        <v>1693</v>
      </c>
      <c r="F504" s="2" t="s">
        <v>1728</v>
      </c>
      <c r="G504" s="2">
        <v>0</v>
      </c>
      <c r="H504" s="2">
        <v>0</v>
      </c>
      <c r="I504" s="1">
        <v>0</v>
      </c>
      <c r="J504" s="3" t="s">
        <v>17</v>
      </c>
      <c r="K504" s="2" t="str">
        <f>J504*2088.49</f>
        <v>0</v>
      </c>
      <c r="L504" s="5"/>
    </row>
    <row r="505" spans="1:12" customHeight="1" ht="105" outlineLevel="5">
      <c r="A505" s="1"/>
      <c r="B505" s="1">
        <v>825989</v>
      </c>
      <c r="C505" s="1" t="s">
        <v>1729</v>
      </c>
      <c r="D505" s="1" t="s">
        <v>1730</v>
      </c>
      <c r="E505" s="2" t="s">
        <v>1731</v>
      </c>
      <c r="F505" s="2" t="s">
        <v>1732</v>
      </c>
      <c r="G505" s="2">
        <v>0</v>
      </c>
      <c r="H505" s="2">
        <v>0</v>
      </c>
      <c r="I505" s="1">
        <v>0</v>
      </c>
      <c r="J505" s="3" t="s">
        <v>17</v>
      </c>
      <c r="K505" s="2" t="str">
        <f>J505*3499.19</f>
        <v>0</v>
      </c>
      <c r="L505" s="5"/>
    </row>
    <row r="506" spans="1:12" customHeight="1" ht="105" outlineLevel="5">
      <c r="A506" s="1"/>
      <c r="B506" s="1">
        <v>825990</v>
      </c>
      <c r="C506" s="1" t="s">
        <v>1733</v>
      </c>
      <c r="D506" s="1" t="s">
        <v>1734</v>
      </c>
      <c r="E506" s="2" t="s">
        <v>1715</v>
      </c>
      <c r="F506" s="2" t="s">
        <v>1735</v>
      </c>
      <c r="G506" s="2">
        <v>0</v>
      </c>
      <c r="H506" s="2">
        <v>0</v>
      </c>
      <c r="I506" s="1">
        <v>0</v>
      </c>
      <c r="J506" s="3" t="s">
        <v>17</v>
      </c>
      <c r="K506" s="2" t="str">
        <f>J506*3692.22</f>
        <v>0</v>
      </c>
      <c r="L506" s="5"/>
    </row>
    <row r="507" spans="1:12" customHeight="1" ht="105" outlineLevel="5">
      <c r="A507" s="1"/>
      <c r="B507" s="1">
        <v>825991</v>
      </c>
      <c r="C507" s="1" t="s">
        <v>1736</v>
      </c>
      <c r="D507" s="1" t="s">
        <v>1737</v>
      </c>
      <c r="E507" s="2" t="s">
        <v>1738</v>
      </c>
      <c r="F507" s="2" t="s">
        <v>1739</v>
      </c>
      <c r="G507" s="2">
        <v>0</v>
      </c>
      <c r="H507" s="2">
        <v>0</v>
      </c>
      <c r="I507" s="1">
        <v>0</v>
      </c>
      <c r="J507" s="3" t="s">
        <v>17</v>
      </c>
      <c r="K507" s="2" t="str">
        <f>J507*3005.74</f>
        <v>0</v>
      </c>
      <c r="L507" s="5"/>
    </row>
    <row r="508" spans="1:12" customHeight="1" ht="105" outlineLevel="5">
      <c r="A508" s="1"/>
      <c r="B508" s="1">
        <v>825992</v>
      </c>
      <c r="C508" s="1" t="s">
        <v>1740</v>
      </c>
      <c r="D508" s="1" t="s">
        <v>1741</v>
      </c>
      <c r="E508" s="2" t="s">
        <v>1742</v>
      </c>
      <c r="F508" s="2" t="s">
        <v>1743</v>
      </c>
      <c r="G508" s="2">
        <v>0</v>
      </c>
      <c r="H508" s="2">
        <v>0</v>
      </c>
      <c r="I508" s="1">
        <v>0</v>
      </c>
      <c r="J508" s="3" t="s">
        <v>17</v>
      </c>
      <c r="K508" s="2" t="str">
        <f>J508*3166.84</f>
        <v>0</v>
      </c>
      <c r="L508" s="5"/>
    </row>
    <row r="509" spans="1:12" customHeight="1" ht="105" outlineLevel="5">
      <c r="A509" s="1"/>
      <c r="B509" s="1">
        <v>825993</v>
      </c>
      <c r="C509" s="1" t="s">
        <v>1744</v>
      </c>
      <c r="D509" s="1" t="s">
        <v>1745</v>
      </c>
      <c r="E509" s="2" t="s">
        <v>1738</v>
      </c>
      <c r="F509" s="2" t="s">
        <v>1746</v>
      </c>
      <c r="G509" s="2">
        <v>0</v>
      </c>
      <c r="H509" s="2">
        <v>0</v>
      </c>
      <c r="I509" s="1">
        <v>0</v>
      </c>
      <c r="J509" s="3" t="s">
        <v>17</v>
      </c>
      <c r="K509" s="2" t="str">
        <f>J509*3404.86</f>
        <v>0</v>
      </c>
      <c r="L509" s="5"/>
    </row>
    <row r="510" spans="1:12" customHeight="1" ht="105" outlineLevel="5">
      <c r="A510" s="1"/>
      <c r="B510" s="1">
        <v>825994</v>
      </c>
      <c r="C510" s="1" t="s">
        <v>1747</v>
      </c>
      <c r="D510" s="1" t="s">
        <v>1748</v>
      </c>
      <c r="E510" s="2" t="s">
        <v>1693</v>
      </c>
      <c r="F510" s="2" t="s">
        <v>1749</v>
      </c>
      <c r="G510" s="2">
        <v>0</v>
      </c>
      <c r="H510" s="2">
        <v>0</v>
      </c>
      <c r="I510" s="1">
        <v>0</v>
      </c>
      <c r="J510" s="3" t="s">
        <v>17</v>
      </c>
      <c r="K510" s="2" t="str">
        <f>J510*2689.88</f>
        <v>0</v>
      </c>
      <c r="L510" s="5"/>
    </row>
    <row r="511" spans="1:12" customHeight="1" ht="105" outlineLevel="5">
      <c r="A511" s="1"/>
      <c r="B511" s="1">
        <v>825995</v>
      </c>
      <c r="C511" s="1" t="s">
        <v>1750</v>
      </c>
      <c r="D511" s="1" t="s">
        <v>1751</v>
      </c>
      <c r="E511" s="2" t="s">
        <v>1738</v>
      </c>
      <c r="F511" s="2" t="s">
        <v>1752</v>
      </c>
      <c r="G511" s="2">
        <v>0</v>
      </c>
      <c r="H511" s="2">
        <v>0</v>
      </c>
      <c r="I511" s="1">
        <v>0</v>
      </c>
      <c r="J511" s="3" t="s">
        <v>17</v>
      </c>
      <c r="K511" s="2" t="str">
        <f>J511*3008.64</f>
        <v>0</v>
      </c>
      <c r="L511" s="5"/>
    </row>
    <row r="512" spans="1:12" customHeight="1" ht="105" outlineLevel="5">
      <c r="A512" s="1"/>
      <c r="B512" s="1">
        <v>831337</v>
      </c>
      <c r="C512" s="1" t="s">
        <v>1753</v>
      </c>
      <c r="D512" s="1" t="s">
        <v>1754</v>
      </c>
      <c r="E512" s="2" t="s">
        <v>1755</v>
      </c>
      <c r="F512" s="2" t="s">
        <v>1756</v>
      </c>
      <c r="G512" s="2">
        <v>0</v>
      </c>
      <c r="H512" s="2">
        <v>0</v>
      </c>
      <c r="I512" s="1">
        <v>0</v>
      </c>
      <c r="J512" s="3" t="s">
        <v>17</v>
      </c>
      <c r="K512" s="2" t="str">
        <f>J512*5219.04</f>
        <v>0</v>
      </c>
      <c r="L512" s="5"/>
    </row>
    <row r="513" spans="1:12" customHeight="1" ht="105" outlineLevel="5">
      <c r="A513" s="1"/>
      <c r="B513" s="1">
        <v>831351</v>
      </c>
      <c r="C513" s="1" t="s">
        <v>1757</v>
      </c>
      <c r="D513" s="1" t="s">
        <v>1758</v>
      </c>
      <c r="E513" s="2" t="s">
        <v>1759</v>
      </c>
      <c r="F513" s="2" t="s">
        <v>1760</v>
      </c>
      <c r="G513" s="2">
        <v>0</v>
      </c>
      <c r="H513" s="2">
        <v>0</v>
      </c>
      <c r="I513" s="1">
        <v>0</v>
      </c>
      <c r="J513" s="3" t="s">
        <v>17</v>
      </c>
      <c r="K513" s="2" t="str">
        <f>J513*5965.03</f>
        <v>0</v>
      </c>
      <c r="L513" s="5"/>
    </row>
    <row r="514" spans="1:12" customHeight="1" ht="105" outlineLevel="5">
      <c r="A514" s="1"/>
      <c r="B514" s="1">
        <v>831359</v>
      </c>
      <c r="C514" s="1" t="s">
        <v>1761</v>
      </c>
      <c r="D514" s="1" t="s">
        <v>1762</v>
      </c>
      <c r="E514" s="2" t="s">
        <v>1763</v>
      </c>
      <c r="F514" s="2" t="s">
        <v>1764</v>
      </c>
      <c r="G514" s="2">
        <v>0</v>
      </c>
      <c r="H514" s="2">
        <v>0</v>
      </c>
      <c r="I514" s="1">
        <v>0</v>
      </c>
      <c r="J514" s="3" t="s">
        <v>17</v>
      </c>
      <c r="K514" s="2" t="str">
        <f>J514*5390.30</f>
        <v>0</v>
      </c>
      <c r="L514" s="5"/>
    </row>
    <row r="515" spans="1:12" customHeight="1" ht="105" outlineLevel="5">
      <c r="A515" s="1"/>
      <c r="B515" s="1">
        <v>831363</v>
      </c>
      <c r="C515" s="1" t="s">
        <v>1765</v>
      </c>
      <c r="D515" s="1" t="s">
        <v>1766</v>
      </c>
      <c r="E515" s="2" t="s">
        <v>1767</v>
      </c>
      <c r="F515" s="2" t="s">
        <v>1654</v>
      </c>
      <c r="G515" s="2">
        <v>0</v>
      </c>
      <c r="H515" s="2">
        <v>0</v>
      </c>
      <c r="I515" s="1">
        <v>0</v>
      </c>
      <c r="J515" s="3" t="s">
        <v>17</v>
      </c>
      <c r="K515" s="2" t="str">
        <f>J515*5422.23</f>
        <v>0</v>
      </c>
      <c r="L515" s="5"/>
    </row>
    <row r="516" spans="1:12" customHeight="1" ht="105" outlineLevel="5">
      <c r="A516" s="1"/>
      <c r="B516" s="1">
        <v>831376</v>
      </c>
      <c r="C516" s="1" t="s">
        <v>1768</v>
      </c>
      <c r="D516" s="1" t="s">
        <v>1769</v>
      </c>
      <c r="E516" s="2" t="s">
        <v>1770</v>
      </c>
      <c r="F516" s="2" t="s">
        <v>1771</v>
      </c>
      <c r="G516" s="2">
        <v>0</v>
      </c>
      <c r="H516" s="2">
        <v>0</v>
      </c>
      <c r="I516" s="1">
        <v>0</v>
      </c>
      <c r="J516" s="3" t="s">
        <v>17</v>
      </c>
      <c r="K516" s="2" t="str">
        <f>J516*6432.36</f>
        <v>0</v>
      </c>
      <c r="L516" s="5"/>
    </row>
    <row r="517" spans="1:12" customHeight="1" ht="105" outlineLevel="5">
      <c r="A517" s="1"/>
      <c r="B517" s="1">
        <v>831449</v>
      </c>
      <c r="C517" s="1" t="s">
        <v>1772</v>
      </c>
      <c r="D517" s="1" t="s">
        <v>1773</v>
      </c>
      <c r="E517" s="2" t="s">
        <v>1774</v>
      </c>
      <c r="F517" s="2" t="s">
        <v>1775</v>
      </c>
      <c r="G517" s="2">
        <v>0</v>
      </c>
      <c r="H517" s="2">
        <v>0</v>
      </c>
      <c r="I517" s="1">
        <v>0</v>
      </c>
      <c r="J517" s="3" t="s">
        <v>17</v>
      </c>
      <c r="K517" s="2" t="str">
        <f>J517*3281.49</f>
        <v>0</v>
      </c>
      <c r="L517" s="5"/>
    </row>
    <row r="518" spans="1:12" customHeight="1" ht="105" outlineLevel="5">
      <c r="A518" s="1"/>
      <c r="B518" s="1">
        <v>831451</v>
      </c>
      <c r="C518" s="1" t="s">
        <v>1776</v>
      </c>
      <c r="D518" s="1" t="s">
        <v>1777</v>
      </c>
      <c r="E518" s="2" t="s">
        <v>1774</v>
      </c>
      <c r="F518" s="2" t="s">
        <v>1778</v>
      </c>
      <c r="G518" s="2">
        <v>0</v>
      </c>
      <c r="H518" s="2">
        <v>0</v>
      </c>
      <c r="I518" s="1">
        <v>0</v>
      </c>
      <c r="J518" s="3" t="s">
        <v>17</v>
      </c>
      <c r="K518" s="2" t="str">
        <f>J518*4872.17</f>
        <v>0</v>
      </c>
      <c r="L518" s="5"/>
    </row>
    <row r="519" spans="1:12" customHeight="1" ht="105" outlineLevel="5">
      <c r="A519" s="1"/>
      <c r="B519" s="1">
        <v>831461</v>
      </c>
      <c r="C519" s="1" t="s">
        <v>1779</v>
      </c>
      <c r="D519" s="1" t="s">
        <v>1780</v>
      </c>
      <c r="E519" s="2" t="s">
        <v>1774</v>
      </c>
      <c r="F519" s="2" t="s">
        <v>1781</v>
      </c>
      <c r="G519" s="2">
        <v>0</v>
      </c>
      <c r="H519" s="2">
        <v>0</v>
      </c>
      <c r="I519" s="1">
        <v>0</v>
      </c>
      <c r="J519" s="3" t="s">
        <v>17</v>
      </c>
      <c r="K519" s="2" t="str">
        <f>J519*4385.97</f>
        <v>0</v>
      </c>
      <c r="L519" s="5"/>
    </row>
    <row r="520" spans="1:12" customHeight="1" ht="105" outlineLevel="5">
      <c r="A520" s="1"/>
      <c r="B520" s="1">
        <v>831462</v>
      </c>
      <c r="C520" s="1" t="s">
        <v>1782</v>
      </c>
      <c r="D520" s="1" t="s">
        <v>1783</v>
      </c>
      <c r="E520" s="2" t="s">
        <v>1774</v>
      </c>
      <c r="F520" s="2" t="s">
        <v>1781</v>
      </c>
      <c r="G520" s="2">
        <v>0</v>
      </c>
      <c r="H520" s="2">
        <v>0</v>
      </c>
      <c r="I520" s="1">
        <v>0</v>
      </c>
      <c r="J520" s="3" t="s">
        <v>17</v>
      </c>
      <c r="K520" s="2" t="str">
        <f>J520*4385.97</f>
        <v>0</v>
      </c>
      <c r="L520" s="5"/>
    </row>
    <row r="521" spans="1:12" customHeight="1" ht="105" outlineLevel="5">
      <c r="A521" s="1"/>
      <c r="B521" s="1">
        <v>831465</v>
      </c>
      <c r="C521" s="1" t="s">
        <v>1784</v>
      </c>
      <c r="D521" s="1" t="s">
        <v>1785</v>
      </c>
      <c r="E521" s="2" t="s">
        <v>1774</v>
      </c>
      <c r="F521" s="2" t="s">
        <v>1786</v>
      </c>
      <c r="G521" s="2">
        <v>0</v>
      </c>
      <c r="H521" s="2">
        <v>0</v>
      </c>
      <c r="I521" s="1">
        <v>0</v>
      </c>
      <c r="J521" s="3" t="s">
        <v>17</v>
      </c>
      <c r="K521" s="2" t="str">
        <f>J521*3429.53</f>
        <v>0</v>
      </c>
      <c r="L521" s="5"/>
    </row>
    <row r="522" spans="1:12" customHeight="1" ht="105" outlineLevel="5">
      <c r="A522" s="1"/>
      <c r="B522" s="1">
        <v>826034</v>
      </c>
      <c r="C522" s="1" t="s">
        <v>1787</v>
      </c>
      <c r="D522" s="1" t="s">
        <v>1788</v>
      </c>
      <c r="E522" s="2" t="s">
        <v>1789</v>
      </c>
      <c r="F522" s="2" t="s">
        <v>1790</v>
      </c>
      <c r="G522" s="2">
        <v>1</v>
      </c>
      <c r="H522" s="2">
        <v>0</v>
      </c>
      <c r="I522" s="1">
        <v>0</v>
      </c>
      <c r="J522" s="3" t="s">
        <v>17</v>
      </c>
      <c r="K522" s="2" t="str">
        <f>J522*4089.68</f>
        <v>0</v>
      </c>
      <c r="L522" s="5"/>
    </row>
    <row r="523" spans="1:12" customHeight="1" ht="105" outlineLevel="5">
      <c r="A523" s="1"/>
      <c r="B523" s="1">
        <v>831446</v>
      </c>
      <c r="C523" s="1" t="s">
        <v>1791</v>
      </c>
      <c r="D523" s="1" t="s">
        <v>1792</v>
      </c>
      <c r="E523" s="2" t="s">
        <v>1793</v>
      </c>
      <c r="F523" s="2" t="s">
        <v>1794</v>
      </c>
      <c r="G523" s="2">
        <v>0</v>
      </c>
      <c r="H523" s="2">
        <v>0</v>
      </c>
      <c r="I523" s="1">
        <v>0</v>
      </c>
      <c r="J523" s="3" t="s">
        <v>17</v>
      </c>
      <c r="K523" s="2" t="str">
        <f>J523*6162.41</f>
        <v>0</v>
      </c>
      <c r="L523" s="5"/>
    </row>
    <row r="524" spans="1:12" outlineLevel="1">
      <c r="A524" s="7" t="s">
        <v>1795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5"/>
    </row>
    <row r="525" spans="1:12" outlineLevel="2">
      <c r="A525" s="8" t="s">
        <v>1796</v>
      </c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5"/>
    </row>
    <row r="526" spans="1:12" customHeight="1" ht="105" outlineLevel="4">
      <c r="A526" s="1"/>
      <c r="B526" s="1">
        <v>826017</v>
      </c>
      <c r="C526" s="1" t="s">
        <v>1797</v>
      </c>
      <c r="D526" s="1" t="s">
        <v>1798</v>
      </c>
      <c r="E526" s="2" t="s">
        <v>1799</v>
      </c>
      <c r="F526" s="2" t="s">
        <v>1800</v>
      </c>
      <c r="G526" s="2">
        <v>0</v>
      </c>
      <c r="H526" s="2">
        <v>0</v>
      </c>
      <c r="I526" s="1">
        <v>0</v>
      </c>
      <c r="J526" s="3" t="s">
        <v>17</v>
      </c>
      <c r="K526" s="2" t="str">
        <f>J526*2756.11</f>
        <v>0</v>
      </c>
      <c r="L526" s="5"/>
    </row>
    <row r="527" spans="1:12" customHeight="1" ht="105" outlineLevel="4">
      <c r="A527" s="1"/>
      <c r="B527" s="1">
        <v>826018</v>
      </c>
      <c r="C527" s="1" t="s">
        <v>1801</v>
      </c>
      <c r="D527" s="1" t="s">
        <v>1802</v>
      </c>
      <c r="E527" s="2" t="s">
        <v>1803</v>
      </c>
      <c r="F527" s="2" t="s">
        <v>1804</v>
      </c>
      <c r="G527" s="2">
        <v>0</v>
      </c>
      <c r="H527" s="2">
        <v>0</v>
      </c>
      <c r="I527" s="1">
        <v>0</v>
      </c>
      <c r="J527" s="3" t="s">
        <v>17</v>
      </c>
      <c r="K527" s="2" t="str">
        <f>J527*2661.77</f>
        <v>0</v>
      </c>
      <c r="L527" s="5"/>
    </row>
    <row r="528" spans="1:12" customHeight="1" ht="105" outlineLevel="4">
      <c r="A528" s="1"/>
      <c r="B528" s="1">
        <v>826019</v>
      </c>
      <c r="C528" s="1" t="s">
        <v>1805</v>
      </c>
      <c r="D528" s="1" t="s">
        <v>1806</v>
      </c>
      <c r="E528" s="2" t="s">
        <v>1803</v>
      </c>
      <c r="F528" s="2" t="s">
        <v>1807</v>
      </c>
      <c r="G528" s="2">
        <v>0</v>
      </c>
      <c r="H528" s="2">
        <v>0</v>
      </c>
      <c r="I528" s="1">
        <v>0</v>
      </c>
      <c r="J528" s="3" t="s">
        <v>17</v>
      </c>
      <c r="K528" s="2" t="str">
        <f>J528*2684.21</f>
        <v>0</v>
      </c>
      <c r="L528" s="5"/>
    </row>
    <row r="529" spans="1:12" customHeight="1" ht="105" outlineLevel="4">
      <c r="A529" s="1"/>
      <c r="B529" s="1">
        <v>826020</v>
      </c>
      <c r="C529" s="1" t="s">
        <v>1808</v>
      </c>
      <c r="D529" s="1" t="s">
        <v>1809</v>
      </c>
      <c r="E529" s="2" t="s">
        <v>1803</v>
      </c>
      <c r="F529" s="2" t="s">
        <v>1810</v>
      </c>
      <c r="G529" s="2">
        <v>0</v>
      </c>
      <c r="H529" s="2">
        <v>0</v>
      </c>
      <c r="I529" s="1">
        <v>0</v>
      </c>
      <c r="J529" s="3" t="s">
        <v>17</v>
      </c>
      <c r="K529" s="2" t="str">
        <f>J529*3403.02</f>
        <v>0</v>
      </c>
      <c r="L529" s="5"/>
    </row>
    <row r="530" spans="1:12" customHeight="1" ht="105" outlineLevel="4">
      <c r="A530" s="1"/>
      <c r="B530" s="1">
        <v>826021</v>
      </c>
      <c r="C530" s="1" t="s">
        <v>1811</v>
      </c>
      <c r="D530" s="1" t="s">
        <v>1812</v>
      </c>
      <c r="E530" s="2" t="s">
        <v>1799</v>
      </c>
      <c r="F530" s="2" t="s">
        <v>1813</v>
      </c>
      <c r="G530" s="2">
        <v>0</v>
      </c>
      <c r="H530" s="2">
        <v>0</v>
      </c>
      <c r="I530" s="1">
        <v>0</v>
      </c>
      <c r="J530" s="3" t="s">
        <v>17</v>
      </c>
      <c r="K530" s="2" t="str">
        <f>J530*2353.18</f>
        <v>0</v>
      </c>
      <c r="L530" s="5"/>
    </row>
    <row r="531" spans="1:12" customHeight="1" ht="105" outlineLevel="4">
      <c r="A531" s="1"/>
      <c r="B531" s="1">
        <v>826022</v>
      </c>
      <c r="C531" s="1" t="s">
        <v>1814</v>
      </c>
      <c r="D531" s="1" t="s">
        <v>1815</v>
      </c>
      <c r="E531" s="2" t="s">
        <v>1803</v>
      </c>
      <c r="F531" s="2" t="s">
        <v>1816</v>
      </c>
      <c r="G531" s="2">
        <v>0</v>
      </c>
      <c r="H531" s="2">
        <v>0</v>
      </c>
      <c r="I531" s="1">
        <v>0</v>
      </c>
      <c r="J531" s="3" t="s">
        <v>17</v>
      </c>
      <c r="K531" s="2" t="str">
        <f>J531*3592.08</f>
        <v>0</v>
      </c>
      <c r="L531" s="5"/>
    </row>
    <row r="532" spans="1:12" customHeight="1" ht="105" outlineLevel="4">
      <c r="A532" s="1"/>
      <c r="B532" s="1">
        <v>826023</v>
      </c>
      <c r="C532" s="1" t="s">
        <v>1817</v>
      </c>
      <c r="D532" s="1" t="s">
        <v>1818</v>
      </c>
      <c r="E532" s="2" t="s">
        <v>1799</v>
      </c>
      <c r="F532" s="2" t="s">
        <v>1819</v>
      </c>
      <c r="G532" s="2">
        <v>0</v>
      </c>
      <c r="H532" s="2">
        <v>0</v>
      </c>
      <c r="I532" s="1">
        <v>0</v>
      </c>
      <c r="J532" s="3" t="s">
        <v>17</v>
      </c>
      <c r="K532" s="2" t="str">
        <f>J532*2465.84</f>
        <v>0</v>
      </c>
      <c r="L532" s="5"/>
    </row>
    <row r="533" spans="1:12" customHeight="1" ht="105" outlineLevel="4">
      <c r="A533" s="1"/>
      <c r="B533" s="1">
        <v>826024</v>
      </c>
      <c r="C533" s="1" t="s">
        <v>1820</v>
      </c>
      <c r="D533" s="1" t="s">
        <v>1821</v>
      </c>
      <c r="E533" s="2" t="s">
        <v>1803</v>
      </c>
      <c r="F533" s="2" t="s">
        <v>1822</v>
      </c>
      <c r="G533" s="2">
        <v>0</v>
      </c>
      <c r="H533" s="2">
        <v>0</v>
      </c>
      <c r="I533" s="1">
        <v>0</v>
      </c>
      <c r="J533" s="3" t="s">
        <v>17</v>
      </c>
      <c r="K533" s="2" t="str">
        <f>J533*2967.95</f>
        <v>0</v>
      </c>
      <c r="L533" s="5"/>
    </row>
    <row r="534" spans="1:12" customHeight="1" ht="105" outlineLevel="4">
      <c r="A534" s="1"/>
      <c r="B534" s="1">
        <v>826025</v>
      </c>
      <c r="C534" s="1" t="s">
        <v>1823</v>
      </c>
      <c r="D534" s="1" t="s">
        <v>1824</v>
      </c>
      <c r="E534" s="2" t="s">
        <v>1799</v>
      </c>
      <c r="F534" s="2" t="s">
        <v>1825</v>
      </c>
      <c r="G534" s="2">
        <v>0</v>
      </c>
      <c r="H534" s="2">
        <v>0</v>
      </c>
      <c r="I534" s="1">
        <v>0</v>
      </c>
      <c r="J534" s="3" t="s">
        <v>17</v>
      </c>
      <c r="K534" s="2" t="str">
        <f>J534*2097.19</f>
        <v>0</v>
      </c>
      <c r="L534" s="5"/>
    </row>
    <row r="535" spans="1:12" customHeight="1" ht="105" outlineLevel="4">
      <c r="A535" s="1"/>
      <c r="B535" s="1">
        <v>826026</v>
      </c>
      <c r="C535" s="1" t="s">
        <v>1826</v>
      </c>
      <c r="D535" s="1" t="s">
        <v>1827</v>
      </c>
      <c r="E535" s="2" t="s">
        <v>1803</v>
      </c>
      <c r="F535" s="2" t="s">
        <v>1828</v>
      </c>
      <c r="G535" s="2">
        <v>0</v>
      </c>
      <c r="H535" s="2">
        <v>0</v>
      </c>
      <c r="I535" s="1">
        <v>0</v>
      </c>
      <c r="J535" s="3" t="s">
        <v>17</v>
      </c>
      <c r="K535" s="2" t="str">
        <f>J535*2709.66</f>
        <v>0</v>
      </c>
      <c r="L535" s="5"/>
    </row>
    <row r="536" spans="1:12" customHeight="1" ht="105" outlineLevel="4">
      <c r="A536" s="1"/>
      <c r="B536" s="1">
        <v>826027</v>
      </c>
      <c r="C536" s="1" t="s">
        <v>1829</v>
      </c>
      <c r="D536" s="1" t="s">
        <v>1830</v>
      </c>
      <c r="E536" s="2" t="s">
        <v>1803</v>
      </c>
      <c r="F536" s="2" t="s">
        <v>1831</v>
      </c>
      <c r="G536" s="2">
        <v>0</v>
      </c>
      <c r="H536" s="2">
        <v>0</v>
      </c>
      <c r="I536" s="1">
        <v>0</v>
      </c>
      <c r="J536" s="3" t="s">
        <v>17</v>
      </c>
      <c r="K536" s="2" t="str">
        <f>J536*3028.96</f>
        <v>0</v>
      </c>
      <c r="L536" s="5"/>
    </row>
    <row r="537" spans="1:12" customHeight="1" ht="105" outlineLevel="4">
      <c r="A537" s="1"/>
      <c r="B537" s="1">
        <v>826028</v>
      </c>
      <c r="C537" s="1" t="s">
        <v>1832</v>
      </c>
      <c r="D537" s="1" t="s">
        <v>1833</v>
      </c>
      <c r="E537" s="2" t="s">
        <v>1799</v>
      </c>
      <c r="F537" s="2" t="s">
        <v>1834</v>
      </c>
      <c r="G537" s="2">
        <v>0</v>
      </c>
      <c r="H537" s="2">
        <v>0</v>
      </c>
      <c r="I537" s="1">
        <v>0</v>
      </c>
      <c r="J537" s="3" t="s">
        <v>17</v>
      </c>
      <c r="K537" s="2" t="str">
        <f>J537*2567.43</f>
        <v>0</v>
      </c>
      <c r="L537" s="5"/>
    </row>
    <row r="538" spans="1:12" customHeight="1" ht="105" outlineLevel="4">
      <c r="A538" s="1"/>
      <c r="B538" s="1">
        <v>826029</v>
      </c>
      <c r="C538" s="1" t="s">
        <v>1835</v>
      </c>
      <c r="D538" s="1" t="s">
        <v>1836</v>
      </c>
      <c r="E538" s="2" t="s">
        <v>1837</v>
      </c>
      <c r="F538" s="2" t="s">
        <v>1838</v>
      </c>
      <c r="G538" s="2">
        <v>0</v>
      </c>
      <c r="H538" s="2">
        <v>0</v>
      </c>
      <c r="I538" s="1">
        <v>0</v>
      </c>
      <c r="J538" s="3" t="s">
        <v>17</v>
      </c>
      <c r="K538" s="2" t="str">
        <f>J538*3089.91</f>
        <v>0</v>
      </c>
      <c r="L538" s="5"/>
    </row>
    <row r="539" spans="1:12" customHeight="1" ht="105" outlineLevel="4">
      <c r="A539" s="1"/>
      <c r="B539" s="1">
        <v>826030</v>
      </c>
      <c r="C539" s="1" t="s">
        <v>1839</v>
      </c>
      <c r="D539" s="1" t="s">
        <v>1840</v>
      </c>
      <c r="E539" s="2" t="s">
        <v>1803</v>
      </c>
      <c r="F539" s="2" t="s">
        <v>1841</v>
      </c>
      <c r="G539" s="2">
        <v>0</v>
      </c>
      <c r="H539" s="2">
        <v>0</v>
      </c>
      <c r="I539" s="1">
        <v>0</v>
      </c>
      <c r="J539" s="3" t="s">
        <v>17</v>
      </c>
      <c r="K539" s="2" t="str">
        <f>J539*2684.99</f>
        <v>0</v>
      </c>
      <c r="L539" s="5"/>
    </row>
    <row r="540" spans="1:12" customHeight="1" ht="105" outlineLevel="4">
      <c r="A540" s="1"/>
      <c r="B540" s="1">
        <v>826031</v>
      </c>
      <c r="C540" s="1" t="s">
        <v>1842</v>
      </c>
      <c r="D540" s="1" t="s">
        <v>1843</v>
      </c>
      <c r="E540" s="2" t="s">
        <v>1799</v>
      </c>
      <c r="F540" s="2" t="s">
        <v>1728</v>
      </c>
      <c r="G540" s="2">
        <v>0</v>
      </c>
      <c r="H540" s="2">
        <v>0</v>
      </c>
      <c r="I540" s="1">
        <v>0</v>
      </c>
      <c r="J540" s="3" t="s">
        <v>17</v>
      </c>
      <c r="K540" s="2" t="str">
        <f>J540*2088.49</f>
        <v>0</v>
      </c>
      <c r="L540" s="5"/>
    </row>
    <row r="541" spans="1:12" customHeight="1" ht="105" outlineLevel="4">
      <c r="A541" s="1"/>
      <c r="B541" s="1">
        <v>826032</v>
      </c>
      <c r="C541" s="1" t="s">
        <v>1844</v>
      </c>
      <c r="D541" s="1" t="s">
        <v>1845</v>
      </c>
      <c r="E541" s="2" t="s">
        <v>1803</v>
      </c>
      <c r="F541" s="2" t="s">
        <v>1846</v>
      </c>
      <c r="G541" s="2">
        <v>0</v>
      </c>
      <c r="H541" s="2">
        <v>0</v>
      </c>
      <c r="I541" s="1">
        <v>0</v>
      </c>
      <c r="J541" s="3" t="s">
        <v>17</v>
      </c>
      <c r="K541" s="2" t="str">
        <f>J541*3217.65</f>
        <v>0</v>
      </c>
      <c r="L541" s="5"/>
    </row>
    <row r="542" spans="1:12" customHeight="1" ht="105" outlineLevel="4">
      <c r="A542" s="1"/>
      <c r="B542" s="1">
        <v>826033</v>
      </c>
      <c r="C542" s="1" t="s">
        <v>1847</v>
      </c>
      <c r="D542" s="1" t="s">
        <v>1848</v>
      </c>
      <c r="E542" s="2" t="s">
        <v>1799</v>
      </c>
      <c r="F542" s="2" t="s">
        <v>1849</v>
      </c>
      <c r="G542" s="2">
        <v>0</v>
      </c>
      <c r="H542" s="2">
        <v>0</v>
      </c>
      <c r="I542" s="1">
        <v>0</v>
      </c>
      <c r="J542" s="3" t="s">
        <v>17</v>
      </c>
      <c r="K542" s="2" t="str">
        <f>J542*2682.32</f>
        <v>0</v>
      </c>
      <c r="L542" s="5"/>
    </row>
    <row r="543" spans="1:12" customHeight="1" ht="105" outlineLevel="4">
      <c r="A543" s="1"/>
      <c r="B543" s="1">
        <v>826035</v>
      </c>
      <c r="C543" s="1" t="s">
        <v>1850</v>
      </c>
      <c r="D543" s="1" t="s">
        <v>1851</v>
      </c>
      <c r="E543" s="2" t="s">
        <v>1803</v>
      </c>
      <c r="F543" s="2" t="s">
        <v>1852</v>
      </c>
      <c r="G543" s="2">
        <v>0</v>
      </c>
      <c r="H543" s="2">
        <v>0</v>
      </c>
      <c r="I543" s="1">
        <v>0</v>
      </c>
      <c r="J543" s="3" t="s">
        <v>17</v>
      </c>
      <c r="K543" s="2" t="str">
        <f>J543*3194.95</f>
        <v>0</v>
      </c>
      <c r="L543" s="5"/>
    </row>
    <row r="544" spans="1:12" customHeight="1" ht="105" outlineLevel="4">
      <c r="A544" s="1"/>
      <c r="B544" s="1">
        <v>826036</v>
      </c>
      <c r="C544" s="1" t="s">
        <v>1853</v>
      </c>
      <c r="D544" s="1" t="s">
        <v>1854</v>
      </c>
      <c r="E544" s="2" t="s">
        <v>1803</v>
      </c>
      <c r="F544" s="2" t="s">
        <v>1855</v>
      </c>
      <c r="G544" s="2">
        <v>0</v>
      </c>
      <c r="H544" s="2">
        <v>0</v>
      </c>
      <c r="I544" s="1">
        <v>0</v>
      </c>
      <c r="J544" s="3" t="s">
        <v>17</v>
      </c>
      <c r="K544" s="2" t="str">
        <f>J544*3052.18</f>
        <v>0</v>
      </c>
      <c r="L544" s="5"/>
    </row>
    <row r="545" spans="1:12" customHeight="1" ht="105" outlineLevel="4">
      <c r="A545" s="1"/>
      <c r="B545" s="1">
        <v>826037</v>
      </c>
      <c r="C545" s="1" t="s">
        <v>1856</v>
      </c>
      <c r="D545" s="1" t="s">
        <v>1857</v>
      </c>
      <c r="E545" s="2" t="s">
        <v>1799</v>
      </c>
      <c r="F545" s="2" t="s">
        <v>1858</v>
      </c>
      <c r="G545" s="2">
        <v>0</v>
      </c>
      <c r="H545" s="2">
        <v>0</v>
      </c>
      <c r="I545" s="1">
        <v>0</v>
      </c>
      <c r="J545" s="3" t="s">
        <v>17</v>
      </c>
      <c r="K545" s="2" t="str">
        <f>J545*3838.81</f>
        <v>0</v>
      </c>
      <c r="L545" s="5"/>
    </row>
    <row r="546" spans="1:12" customHeight="1" ht="105" outlineLevel="4">
      <c r="A546" s="1"/>
      <c r="B546" s="1">
        <v>826038</v>
      </c>
      <c r="C546" s="1" t="s">
        <v>1859</v>
      </c>
      <c r="D546" s="1" t="s">
        <v>1860</v>
      </c>
      <c r="E546" s="2" t="s">
        <v>1837</v>
      </c>
      <c r="F546" s="2" t="s">
        <v>1838</v>
      </c>
      <c r="G546" s="2">
        <v>0</v>
      </c>
      <c r="H546" s="2">
        <v>0</v>
      </c>
      <c r="I546" s="1">
        <v>0</v>
      </c>
      <c r="J546" s="3" t="s">
        <v>17</v>
      </c>
      <c r="K546" s="2" t="str">
        <f>J546*3089.91</f>
        <v>0</v>
      </c>
      <c r="L546" s="5"/>
    </row>
    <row r="547" spans="1:12" customHeight="1" ht="105" outlineLevel="4">
      <c r="A547" s="1"/>
      <c r="B547" s="1">
        <v>826039</v>
      </c>
      <c r="C547" s="1" t="s">
        <v>1861</v>
      </c>
      <c r="D547" s="1" t="s">
        <v>1862</v>
      </c>
      <c r="E547" s="2" t="s">
        <v>1799</v>
      </c>
      <c r="F547" s="2" t="s">
        <v>1863</v>
      </c>
      <c r="G547" s="2">
        <v>0</v>
      </c>
      <c r="H547" s="2">
        <v>0</v>
      </c>
      <c r="I547" s="1">
        <v>0</v>
      </c>
      <c r="J547" s="3" t="s">
        <v>17</v>
      </c>
      <c r="K547" s="2" t="str">
        <f>J547*3556.25</f>
        <v>0</v>
      </c>
      <c r="L547" s="5"/>
    </row>
    <row r="548" spans="1:12" customHeight="1" ht="105" outlineLevel="4">
      <c r="A548" s="1"/>
      <c r="B548" s="1">
        <v>826040</v>
      </c>
      <c r="C548" s="1" t="s">
        <v>1864</v>
      </c>
      <c r="D548" s="1" t="s">
        <v>1865</v>
      </c>
      <c r="E548" s="2" t="s">
        <v>1837</v>
      </c>
      <c r="F548" s="2" t="s">
        <v>1866</v>
      </c>
      <c r="G548" s="2">
        <v>0</v>
      </c>
      <c r="H548" s="2">
        <v>0</v>
      </c>
      <c r="I548" s="1">
        <v>0</v>
      </c>
      <c r="J548" s="3" t="s">
        <v>17</v>
      </c>
      <c r="K548" s="2" t="str">
        <f>J548*2769.33</f>
        <v>0</v>
      </c>
      <c r="L548" s="5"/>
    </row>
    <row r="549" spans="1:12" customHeight="1" ht="105" outlineLevel="4">
      <c r="A549" s="1"/>
      <c r="B549" s="1">
        <v>826041</v>
      </c>
      <c r="C549" s="1" t="s">
        <v>1867</v>
      </c>
      <c r="D549" s="1" t="s">
        <v>1868</v>
      </c>
      <c r="E549" s="2" t="s">
        <v>1869</v>
      </c>
      <c r="F549" s="2" t="s">
        <v>1870</v>
      </c>
      <c r="G549" s="2">
        <v>2</v>
      </c>
      <c r="H549" s="2">
        <v>0</v>
      </c>
      <c r="I549" s="1">
        <v>0</v>
      </c>
      <c r="J549" s="3" t="s">
        <v>17</v>
      </c>
      <c r="K549" s="2" t="str">
        <f>J549*3116.04</f>
        <v>0</v>
      </c>
      <c r="L549" s="5"/>
    </row>
    <row r="550" spans="1:12" customHeight="1" ht="105" outlineLevel="4">
      <c r="A550" s="1"/>
      <c r="B550" s="1">
        <v>826042</v>
      </c>
      <c r="C550" s="1" t="s">
        <v>1871</v>
      </c>
      <c r="D550" s="1" t="s">
        <v>1872</v>
      </c>
      <c r="E550" s="2" t="s">
        <v>1873</v>
      </c>
      <c r="F550" s="2" t="s">
        <v>1874</v>
      </c>
      <c r="G550" s="2">
        <v>0</v>
      </c>
      <c r="H550" s="2">
        <v>0</v>
      </c>
      <c r="I550" s="1">
        <v>0</v>
      </c>
      <c r="J550" s="3" t="s">
        <v>17</v>
      </c>
      <c r="K550" s="2" t="str">
        <f>J550*3483.23</f>
        <v>0</v>
      </c>
      <c r="L550" s="5"/>
    </row>
    <row r="551" spans="1:12" customHeight="1" ht="105" outlineLevel="4">
      <c r="A551" s="1"/>
      <c r="B551" s="1">
        <v>826043</v>
      </c>
      <c r="C551" s="1" t="s">
        <v>1875</v>
      </c>
      <c r="D551" s="1" t="s">
        <v>1876</v>
      </c>
      <c r="E551" s="2" t="s">
        <v>1869</v>
      </c>
      <c r="F551" s="2" t="s">
        <v>1877</v>
      </c>
      <c r="G551" s="2">
        <v>0</v>
      </c>
      <c r="H551" s="2">
        <v>0</v>
      </c>
      <c r="I551" s="1">
        <v>0</v>
      </c>
      <c r="J551" s="3" t="s">
        <v>17</v>
      </c>
      <c r="K551" s="2" t="str">
        <f>J551*3375.83</f>
        <v>0</v>
      </c>
      <c r="L551" s="5"/>
    </row>
    <row r="552" spans="1:12" customHeight="1" ht="105" outlineLevel="4">
      <c r="A552" s="1"/>
      <c r="B552" s="1">
        <v>826044</v>
      </c>
      <c r="C552" s="1" t="s">
        <v>1878</v>
      </c>
      <c r="D552" s="1" t="s">
        <v>1879</v>
      </c>
      <c r="E552" s="2" t="s">
        <v>1869</v>
      </c>
      <c r="F552" s="2" t="s">
        <v>1880</v>
      </c>
      <c r="G552" s="2">
        <v>0</v>
      </c>
      <c r="H552" s="2">
        <v>0</v>
      </c>
      <c r="I552" s="1">
        <v>0</v>
      </c>
      <c r="J552" s="3" t="s">
        <v>17</v>
      </c>
      <c r="K552" s="2" t="str">
        <f>J552*2976.71</f>
        <v>0</v>
      </c>
      <c r="L552" s="5"/>
    </row>
    <row r="553" spans="1:12" customHeight="1" ht="105" outlineLevel="4">
      <c r="A553" s="1"/>
      <c r="B553" s="1">
        <v>826045</v>
      </c>
      <c r="C553" s="1" t="s">
        <v>1881</v>
      </c>
      <c r="D553" s="1" t="s">
        <v>1882</v>
      </c>
      <c r="E553" s="2" t="s">
        <v>1869</v>
      </c>
      <c r="F553" s="2" t="s">
        <v>1883</v>
      </c>
      <c r="G553" s="2">
        <v>0</v>
      </c>
      <c r="H553" s="2">
        <v>0</v>
      </c>
      <c r="I553" s="1">
        <v>0</v>
      </c>
      <c r="J553" s="3" t="s">
        <v>17</v>
      </c>
      <c r="K553" s="2" t="str">
        <f>J553*3023.15</f>
        <v>0</v>
      </c>
      <c r="L553" s="5"/>
    </row>
    <row r="554" spans="1:12" customHeight="1" ht="105" outlineLevel="4">
      <c r="A554" s="1"/>
      <c r="B554" s="1">
        <v>826046</v>
      </c>
      <c r="C554" s="1" t="s">
        <v>1884</v>
      </c>
      <c r="D554" s="1" t="s">
        <v>1885</v>
      </c>
      <c r="E554" s="2" t="s">
        <v>1886</v>
      </c>
      <c r="F554" s="2" t="s">
        <v>1887</v>
      </c>
      <c r="G554" s="2">
        <v>0</v>
      </c>
      <c r="H554" s="2">
        <v>0</v>
      </c>
      <c r="I554" s="1">
        <v>0</v>
      </c>
      <c r="J554" s="3" t="s">
        <v>17</v>
      </c>
      <c r="K554" s="2" t="str">
        <f>J554*3491.94</f>
        <v>0</v>
      </c>
      <c r="L554" s="5"/>
    </row>
    <row r="555" spans="1:12" customHeight="1" ht="105" outlineLevel="4">
      <c r="A555" s="1"/>
      <c r="B555" s="1">
        <v>826047</v>
      </c>
      <c r="C555" s="1" t="s">
        <v>1888</v>
      </c>
      <c r="D555" s="1" t="s">
        <v>1889</v>
      </c>
      <c r="E555" s="2" t="s">
        <v>1886</v>
      </c>
      <c r="F555" s="2" t="s">
        <v>1890</v>
      </c>
      <c r="G555" s="2">
        <v>0</v>
      </c>
      <c r="H555" s="2">
        <v>0</v>
      </c>
      <c r="I555" s="1">
        <v>0</v>
      </c>
      <c r="J555" s="3" t="s">
        <v>17</v>
      </c>
      <c r="K555" s="2" t="str">
        <f>J555*3770.60</f>
        <v>0</v>
      </c>
      <c r="L555" s="5"/>
    </row>
    <row r="556" spans="1:12" customHeight="1" ht="105" outlineLevel="4">
      <c r="A556" s="1"/>
      <c r="B556" s="1">
        <v>826048</v>
      </c>
      <c r="C556" s="1" t="s">
        <v>1891</v>
      </c>
      <c r="D556" s="1" t="s">
        <v>1892</v>
      </c>
      <c r="E556" s="2" t="s">
        <v>1893</v>
      </c>
      <c r="F556" s="2" t="s">
        <v>1887</v>
      </c>
      <c r="G556" s="2">
        <v>0</v>
      </c>
      <c r="H556" s="2">
        <v>0</v>
      </c>
      <c r="I556" s="1">
        <v>0</v>
      </c>
      <c r="J556" s="3" t="s">
        <v>17</v>
      </c>
      <c r="K556" s="2" t="str">
        <f>J556*3491.94</f>
        <v>0</v>
      </c>
      <c r="L556" s="5"/>
    </row>
    <row r="557" spans="1:12" customHeight="1" ht="105" outlineLevel="4">
      <c r="A557" s="1"/>
      <c r="B557" s="1">
        <v>826049</v>
      </c>
      <c r="C557" s="1" t="s">
        <v>1894</v>
      </c>
      <c r="D557" s="1" t="s">
        <v>1895</v>
      </c>
      <c r="E557" s="2" t="s">
        <v>1893</v>
      </c>
      <c r="F557" s="2" t="s">
        <v>1896</v>
      </c>
      <c r="G557" s="2">
        <v>0</v>
      </c>
      <c r="H557" s="2">
        <v>0</v>
      </c>
      <c r="I557" s="1">
        <v>0</v>
      </c>
      <c r="J557" s="3" t="s">
        <v>17</v>
      </c>
      <c r="K557" s="2" t="str">
        <f>J557*4028.94</f>
        <v>0</v>
      </c>
      <c r="L557" s="5"/>
    </row>
    <row r="558" spans="1:12" customHeight="1" ht="105" outlineLevel="4">
      <c r="A558" s="1"/>
      <c r="B558" s="1">
        <v>826050</v>
      </c>
      <c r="C558" s="1" t="s">
        <v>1897</v>
      </c>
      <c r="D558" s="1" t="s">
        <v>1898</v>
      </c>
      <c r="E558" s="2" t="s">
        <v>1899</v>
      </c>
      <c r="F558" s="2" t="s">
        <v>1887</v>
      </c>
      <c r="G558" s="2">
        <v>0</v>
      </c>
      <c r="H558" s="2">
        <v>0</v>
      </c>
      <c r="I558" s="1">
        <v>0</v>
      </c>
      <c r="J558" s="3" t="s">
        <v>17</v>
      </c>
      <c r="K558" s="2" t="str">
        <f>J558*3491.94</f>
        <v>0</v>
      </c>
      <c r="L558" s="5"/>
    </row>
    <row r="559" spans="1:12" customHeight="1" ht="105" outlineLevel="4">
      <c r="A559" s="1"/>
      <c r="B559" s="1">
        <v>826051</v>
      </c>
      <c r="C559" s="1" t="s">
        <v>1900</v>
      </c>
      <c r="D559" s="1" t="s">
        <v>1901</v>
      </c>
      <c r="E559" s="2" t="s">
        <v>1899</v>
      </c>
      <c r="F559" s="2" t="s">
        <v>1902</v>
      </c>
      <c r="G559" s="2">
        <v>0</v>
      </c>
      <c r="H559" s="2">
        <v>0</v>
      </c>
      <c r="I559" s="1">
        <v>0</v>
      </c>
      <c r="J559" s="3" t="s">
        <v>17</v>
      </c>
      <c r="K559" s="2" t="str">
        <f>J559*3908.47</f>
        <v>0</v>
      </c>
      <c r="L559" s="5"/>
    </row>
    <row r="560" spans="1:12" customHeight="1" ht="105" outlineLevel="4">
      <c r="A560" s="1"/>
      <c r="B560" s="1">
        <v>826052</v>
      </c>
      <c r="C560" s="1" t="s">
        <v>1903</v>
      </c>
      <c r="D560" s="1" t="s">
        <v>1904</v>
      </c>
      <c r="E560" s="2" t="s">
        <v>1905</v>
      </c>
      <c r="F560" s="2" t="s">
        <v>1906</v>
      </c>
      <c r="G560" s="2">
        <v>0</v>
      </c>
      <c r="H560" s="2">
        <v>0</v>
      </c>
      <c r="I560" s="1">
        <v>0</v>
      </c>
      <c r="J560" s="3" t="s">
        <v>17</v>
      </c>
      <c r="K560" s="2" t="str">
        <f>J560*5998.41</f>
        <v>0</v>
      </c>
      <c r="L560" s="5"/>
    </row>
    <row r="561" spans="1:12" customHeight="1" ht="105" outlineLevel="4">
      <c r="A561" s="1"/>
      <c r="B561" s="1">
        <v>826053</v>
      </c>
      <c r="C561" s="1" t="s">
        <v>1907</v>
      </c>
      <c r="D561" s="1" t="s">
        <v>1908</v>
      </c>
      <c r="E561" s="2" t="s">
        <v>1909</v>
      </c>
      <c r="F561" s="2" t="s">
        <v>1906</v>
      </c>
      <c r="G561" s="2">
        <v>0</v>
      </c>
      <c r="H561" s="2">
        <v>0</v>
      </c>
      <c r="I561" s="1">
        <v>0</v>
      </c>
      <c r="J561" s="3" t="s">
        <v>17</v>
      </c>
      <c r="K561" s="2" t="str">
        <f>J561*5998.41</f>
        <v>0</v>
      </c>
      <c r="L561" s="5"/>
    </row>
    <row r="562" spans="1:12" customHeight="1" ht="105" outlineLevel="4">
      <c r="A562" s="1"/>
      <c r="B562" s="1">
        <v>826054</v>
      </c>
      <c r="C562" s="1" t="s">
        <v>1910</v>
      </c>
      <c r="D562" s="1" t="s">
        <v>1911</v>
      </c>
      <c r="E562" s="2" t="s">
        <v>1912</v>
      </c>
      <c r="F562" s="2" t="s">
        <v>1913</v>
      </c>
      <c r="G562" s="2">
        <v>0</v>
      </c>
      <c r="H562" s="2">
        <v>0</v>
      </c>
      <c r="I562" s="1">
        <v>0</v>
      </c>
      <c r="J562" s="3" t="s">
        <v>17</v>
      </c>
      <c r="K562" s="2" t="str">
        <f>J562*4741.55</f>
        <v>0</v>
      </c>
      <c r="L562" s="5"/>
    </row>
    <row r="563" spans="1:12" customHeight="1" ht="105" outlineLevel="4">
      <c r="A563" s="1"/>
      <c r="B563" s="1">
        <v>826055</v>
      </c>
      <c r="C563" s="1" t="s">
        <v>1914</v>
      </c>
      <c r="D563" s="1" t="s">
        <v>1915</v>
      </c>
      <c r="E563" s="2" t="s">
        <v>1916</v>
      </c>
      <c r="F563" s="2" t="s">
        <v>1913</v>
      </c>
      <c r="G563" s="2">
        <v>0</v>
      </c>
      <c r="H563" s="2">
        <v>0</v>
      </c>
      <c r="I563" s="1">
        <v>0</v>
      </c>
      <c r="J563" s="3" t="s">
        <v>17</v>
      </c>
      <c r="K563" s="2" t="str">
        <f>J563*4741.55</f>
        <v>0</v>
      </c>
      <c r="L563" s="5"/>
    </row>
    <row r="564" spans="1:12" customHeight="1" ht="105" outlineLevel="4">
      <c r="A564" s="1"/>
      <c r="B564" s="1">
        <v>826056</v>
      </c>
      <c r="C564" s="1" t="s">
        <v>1917</v>
      </c>
      <c r="D564" s="1" t="s">
        <v>1918</v>
      </c>
      <c r="E564" s="2" t="s">
        <v>1919</v>
      </c>
      <c r="F564" s="2" t="s">
        <v>1913</v>
      </c>
      <c r="G564" s="2">
        <v>0</v>
      </c>
      <c r="H564" s="2">
        <v>0</v>
      </c>
      <c r="I564" s="1">
        <v>0</v>
      </c>
      <c r="J564" s="3" t="s">
        <v>17</v>
      </c>
      <c r="K564" s="2" t="str">
        <f>J564*4741.55</f>
        <v>0</v>
      </c>
      <c r="L564" s="5"/>
    </row>
    <row r="565" spans="1:12" customHeight="1" ht="105" outlineLevel="4">
      <c r="A565" s="1"/>
      <c r="B565" s="1">
        <v>826057</v>
      </c>
      <c r="C565" s="1" t="s">
        <v>1920</v>
      </c>
      <c r="D565" s="1" t="s">
        <v>1921</v>
      </c>
      <c r="E565" s="2" t="s">
        <v>1922</v>
      </c>
      <c r="F565" s="2" t="s">
        <v>1923</v>
      </c>
      <c r="G565" s="2">
        <v>0</v>
      </c>
      <c r="H565" s="2">
        <v>0</v>
      </c>
      <c r="I565" s="1">
        <v>0</v>
      </c>
      <c r="J565" s="3" t="s">
        <v>17</v>
      </c>
      <c r="K565" s="2" t="str">
        <f>J565*5208.88</f>
        <v>0</v>
      </c>
      <c r="L565" s="5"/>
    </row>
    <row r="566" spans="1:12" customHeight="1" ht="105" outlineLevel="4">
      <c r="A566" s="1"/>
      <c r="B566" s="1">
        <v>826058</v>
      </c>
      <c r="C566" s="1" t="s">
        <v>1924</v>
      </c>
      <c r="D566" s="1" t="s">
        <v>1925</v>
      </c>
      <c r="E566" s="2" t="s">
        <v>1916</v>
      </c>
      <c r="F566" s="2" t="s">
        <v>1926</v>
      </c>
      <c r="G566" s="2">
        <v>0</v>
      </c>
      <c r="H566" s="2">
        <v>0</v>
      </c>
      <c r="I566" s="1">
        <v>0</v>
      </c>
      <c r="J566" s="3" t="s">
        <v>17</v>
      </c>
      <c r="K566" s="2" t="str">
        <f>J566*5329.34</f>
        <v>0</v>
      </c>
      <c r="L566" s="5"/>
    </row>
    <row r="567" spans="1:12" customHeight="1" ht="105" outlineLevel="4">
      <c r="A567" s="1"/>
      <c r="B567" s="1">
        <v>826059</v>
      </c>
      <c r="C567" s="1" t="s">
        <v>1927</v>
      </c>
      <c r="D567" s="1" t="s">
        <v>1928</v>
      </c>
      <c r="E567" s="2" t="s">
        <v>1912</v>
      </c>
      <c r="F567" s="2" t="s">
        <v>1929</v>
      </c>
      <c r="G567" s="2">
        <v>1</v>
      </c>
      <c r="H567" s="2">
        <v>0</v>
      </c>
      <c r="I567" s="1">
        <v>0</v>
      </c>
      <c r="J567" s="3" t="s">
        <v>17</v>
      </c>
      <c r="K567" s="2" t="str">
        <f>J567*5171.14</f>
        <v>0</v>
      </c>
      <c r="L567" s="5"/>
    </row>
    <row r="568" spans="1:12" customHeight="1" ht="105" outlineLevel="4">
      <c r="A568" s="1"/>
      <c r="B568" s="1">
        <v>826060</v>
      </c>
      <c r="C568" s="1" t="s">
        <v>1930</v>
      </c>
      <c r="D568" s="1" t="s">
        <v>1931</v>
      </c>
      <c r="E568" s="2" t="s">
        <v>1909</v>
      </c>
      <c r="F568" s="2" t="s">
        <v>1926</v>
      </c>
      <c r="G568" s="2">
        <v>0</v>
      </c>
      <c r="H568" s="2">
        <v>0</v>
      </c>
      <c r="I568" s="1">
        <v>0</v>
      </c>
      <c r="J568" s="3" t="s">
        <v>17</v>
      </c>
      <c r="K568" s="2" t="str">
        <f>J568*5329.34</f>
        <v>0</v>
      </c>
      <c r="L568" s="5"/>
    </row>
    <row r="569" spans="1:12" customHeight="1" ht="105" outlineLevel="4">
      <c r="A569" s="1"/>
      <c r="B569" s="1">
        <v>826061</v>
      </c>
      <c r="C569" s="1" t="s">
        <v>1932</v>
      </c>
      <c r="D569" s="1" t="s">
        <v>1933</v>
      </c>
      <c r="E569" s="2" t="s">
        <v>1934</v>
      </c>
      <c r="F569" s="2" t="s">
        <v>1935</v>
      </c>
      <c r="G569" s="2">
        <v>0</v>
      </c>
      <c r="H569" s="2">
        <v>0</v>
      </c>
      <c r="I569" s="1">
        <v>0</v>
      </c>
      <c r="J569" s="3" t="s">
        <v>17</v>
      </c>
      <c r="K569" s="2" t="str">
        <f>J569*5885.21</f>
        <v>0</v>
      </c>
      <c r="L569" s="5"/>
    </row>
    <row r="570" spans="1:12" customHeight="1" ht="105" outlineLevel="4">
      <c r="A570" s="1"/>
      <c r="B570" s="1">
        <v>826062</v>
      </c>
      <c r="C570" s="1" t="s">
        <v>1936</v>
      </c>
      <c r="D570" s="1" t="s">
        <v>1937</v>
      </c>
      <c r="E570" s="2" t="s">
        <v>1912</v>
      </c>
      <c r="F570" s="2" t="s">
        <v>1938</v>
      </c>
      <c r="G570" s="2">
        <v>0</v>
      </c>
      <c r="H570" s="2">
        <v>0</v>
      </c>
      <c r="I570" s="1">
        <v>0</v>
      </c>
      <c r="J570" s="3" t="s">
        <v>17</v>
      </c>
      <c r="K570" s="2" t="str">
        <f>J570*5197.27</f>
        <v>0</v>
      </c>
      <c r="L570" s="5"/>
    </row>
    <row r="571" spans="1:12" customHeight="1" ht="105" outlineLevel="4">
      <c r="A571" s="1"/>
      <c r="B571" s="1">
        <v>826063</v>
      </c>
      <c r="C571" s="1" t="s">
        <v>1939</v>
      </c>
      <c r="D571" s="1" t="s">
        <v>1940</v>
      </c>
      <c r="E571" s="2" t="s">
        <v>1941</v>
      </c>
      <c r="F571" s="2" t="s">
        <v>1942</v>
      </c>
      <c r="G571" s="2">
        <v>0</v>
      </c>
      <c r="H571" s="2">
        <v>0</v>
      </c>
      <c r="I571" s="1">
        <v>0</v>
      </c>
      <c r="J571" s="3" t="s">
        <v>17</v>
      </c>
      <c r="K571" s="2" t="str">
        <f>J571*10088.01</f>
        <v>0</v>
      </c>
      <c r="L571" s="5"/>
    </row>
    <row r="572" spans="1:12" customHeight="1" ht="105" outlineLevel="4">
      <c r="A572" s="1"/>
      <c r="B572" s="1">
        <v>826064</v>
      </c>
      <c r="C572" s="1" t="s">
        <v>1943</v>
      </c>
      <c r="D572" s="1" t="s">
        <v>1944</v>
      </c>
      <c r="E572" s="2" t="s">
        <v>1945</v>
      </c>
      <c r="F572" s="2" t="s">
        <v>1579</v>
      </c>
      <c r="G572" s="2">
        <v>0</v>
      </c>
      <c r="H572" s="2">
        <v>0</v>
      </c>
      <c r="I572" s="1">
        <v>0</v>
      </c>
      <c r="J572" s="3" t="s">
        <v>17</v>
      </c>
      <c r="K572" s="2" t="str">
        <f>J572*5850.37</f>
        <v>0</v>
      </c>
      <c r="L572" s="5"/>
    </row>
    <row r="573" spans="1:12" customHeight="1" ht="105" outlineLevel="4">
      <c r="A573" s="1"/>
      <c r="B573" s="1">
        <v>826065</v>
      </c>
      <c r="C573" s="1" t="s">
        <v>1946</v>
      </c>
      <c r="D573" s="1" t="s">
        <v>1947</v>
      </c>
      <c r="E573" s="2" t="s">
        <v>1945</v>
      </c>
      <c r="F573" s="2" t="s">
        <v>1948</v>
      </c>
      <c r="G573" s="2">
        <v>0</v>
      </c>
      <c r="H573" s="2">
        <v>0</v>
      </c>
      <c r="I573" s="1">
        <v>0</v>
      </c>
      <c r="J573" s="3" t="s">
        <v>17</v>
      </c>
      <c r="K573" s="2" t="str">
        <f>J573*5693.63</f>
        <v>0</v>
      </c>
      <c r="L573" s="5"/>
    </row>
    <row r="574" spans="1:12" customHeight="1" ht="105" outlineLevel="4">
      <c r="A574" s="1"/>
      <c r="B574" s="1">
        <v>826066</v>
      </c>
      <c r="C574" s="1" t="s">
        <v>1949</v>
      </c>
      <c r="D574" s="1" t="s">
        <v>1950</v>
      </c>
      <c r="E574" s="2" t="s">
        <v>1941</v>
      </c>
      <c r="F574" s="2" t="s">
        <v>1948</v>
      </c>
      <c r="G574" s="2">
        <v>0</v>
      </c>
      <c r="H574" s="2">
        <v>0</v>
      </c>
      <c r="I574" s="1">
        <v>0</v>
      </c>
      <c r="J574" s="3" t="s">
        <v>17</v>
      </c>
      <c r="K574" s="2" t="str">
        <f>J574*5693.63</f>
        <v>0</v>
      </c>
      <c r="L574" s="5"/>
    </row>
    <row r="575" spans="1:12" customHeight="1" ht="105" outlineLevel="4">
      <c r="A575" s="1"/>
      <c r="B575" s="1">
        <v>826067</v>
      </c>
      <c r="C575" s="1" t="s">
        <v>1951</v>
      </c>
      <c r="D575" s="1" t="s">
        <v>1952</v>
      </c>
      <c r="E575" s="2" t="s">
        <v>1945</v>
      </c>
      <c r="F575" s="2" t="s">
        <v>1953</v>
      </c>
      <c r="G575" s="2">
        <v>0</v>
      </c>
      <c r="H575" s="2">
        <v>0</v>
      </c>
      <c r="I575" s="1">
        <v>0</v>
      </c>
      <c r="J575" s="3" t="s">
        <v>17</v>
      </c>
      <c r="K575" s="2" t="str">
        <f>J575*8648.49</f>
        <v>0</v>
      </c>
      <c r="L575" s="5"/>
    </row>
    <row r="576" spans="1:12" customHeight="1" ht="105" outlineLevel="4">
      <c r="A576" s="1"/>
      <c r="B576" s="1">
        <v>826068</v>
      </c>
      <c r="C576" s="1" t="s">
        <v>1954</v>
      </c>
      <c r="D576" s="1" t="s">
        <v>1955</v>
      </c>
      <c r="E576" s="2" t="s">
        <v>1941</v>
      </c>
      <c r="F576" s="2" t="s">
        <v>1956</v>
      </c>
      <c r="G576" s="2">
        <v>0</v>
      </c>
      <c r="H576" s="2">
        <v>0</v>
      </c>
      <c r="I576" s="1">
        <v>0</v>
      </c>
      <c r="J576" s="3" t="s">
        <v>17</v>
      </c>
      <c r="K576" s="2" t="str">
        <f>J576*8650.38</f>
        <v>0</v>
      </c>
      <c r="L576" s="5"/>
    </row>
    <row r="577" spans="1:12" customHeight="1" ht="105" outlineLevel="4">
      <c r="A577" s="1"/>
      <c r="B577" s="1">
        <v>826069</v>
      </c>
      <c r="C577" s="1" t="s">
        <v>1957</v>
      </c>
      <c r="D577" s="1" t="s">
        <v>1958</v>
      </c>
      <c r="E577" s="2" t="s">
        <v>1959</v>
      </c>
      <c r="F577" s="2" t="s">
        <v>1960</v>
      </c>
      <c r="G577" s="2">
        <v>0</v>
      </c>
      <c r="H577" s="2">
        <v>0</v>
      </c>
      <c r="I577" s="1">
        <v>0</v>
      </c>
      <c r="J577" s="3" t="s">
        <v>17</v>
      </c>
      <c r="K577" s="2" t="str">
        <f>J577*6908.41</f>
        <v>0</v>
      </c>
      <c r="L577" s="5"/>
    </row>
    <row r="578" spans="1:12" customHeight="1" ht="105" outlineLevel="4">
      <c r="A578" s="1"/>
      <c r="B578" s="1">
        <v>826070</v>
      </c>
      <c r="C578" s="1" t="s">
        <v>1961</v>
      </c>
      <c r="D578" s="1" t="s">
        <v>1962</v>
      </c>
      <c r="E578" s="2" t="s">
        <v>1945</v>
      </c>
      <c r="F578" s="2" t="s">
        <v>1960</v>
      </c>
      <c r="G578" s="2">
        <v>1</v>
      </c>
      <c r="H578" s="2">
        <v>0</v>
      </c>
      <c r="I578" s="1">
        <v>0</v>
      </c>
      <c r="J578" s="3" t="s">
        <v>17</v>
      </c>
      <c r="K578" s="2" t="str">
        <f>J578*6908.41</f>
        <v>0</v>
      </c>
      <c r="L578" s="5"/>
    </row>
    <row r="579" spans="1:12" customHeight="1" ht="105" outlineLevel="4">
      <c r="A579" s="1"/>
      <c r="B579" s="1">
        <v>831429</v>
      </c>
      <c r="C579" s="1" t="s">
        <v>1963</v>
      </c>
      <c r="D579" s="1" t="s">
        <v>1964</v>
      </c>
      <c r="E579" s="2" t="s">
        <v>1965</v>
      </c>
      <c r="F579" s="2" t="s">
        <v>1966</v>
      </c>
      <c r="G579" s="2">
        <v>0</v>
      </c>
      <c r="H579" s="2">
        <v>0</v>
      </c>
      <c r="I579" s="1">
        <v>0</v>
      </c>
      <c r="J579" s="3" t="s">
        <v>17</v>
      </c>
      <c r="K579" s="2" t="str">
        <f>J579*5846.02</f>
        <v>0</v>
      </c>
      <c r="L579" s="5"/>
    </row>
    <row r="580" spans="1:12" customHeight="1" ht="105" outlineLevel="4">
      <c r="A580" s="1"/>
      <c r="B580" s="1">
        <v>831432</v>
      </c>
      <c r="C580" s="1" t="s">
        <v>1967</v>
      </c>
      <c r="D580" s="1" t="s">
        <v>1968</v>
      </c>
      <c r="E580" s="2" t="s">
        <v>1965</v>
      </c>
      <c r="F580" s="2" t="s">
        <v>1969</v>
      </c>
      <c r="G580" s="2">
        <v>0</v>
      </c>
      <c r="H580" s="2">
        <v>0</v>
      </c>
      <c r="I580" s="1">
        <v>0</v>
      </c>
      <c r="J580" s="3" t="s">
        <v>17</v>
      </c>
      <c r="K580" s="2" t="str">
        <f>J580*6217.56</f>
        <v>0</v>
      </c>
      <c r="L580" s="5"/>
    </row>
    <row r="581" spans="1:12" customHeight="1" ht="105" outlineLevel="4">
      <c r="A581" s="1"/>
      <c r="B581" s="1">
        <v>831503</v>
      </c>
      <c r="C581" s="1" t="s">
        <v>1970</v>
      </c>
      <c r="D581" s="1" t="s">
        <v>1971</v>
      </c>
      <c r="E581" s="2" t="s">
        <v>1972</v>
      </c>
      <c r="F581" s="2" t="s">
        <v>1973</v>
      </c>
      <c r="G581" s="2">
        <v>0</v>
      </c>
      <c r="H581" s="2">
        <v>0</v>
      </c>
      <c r="I581" s="1">
        <v>0</v>
      </c>
      <c r="J581" s="3" t="s">
        <v>17</v>
      </c>
      <c r="K581" s="2" t="str">
        <f>J581*2043.49</f>
        <v>0</v>
      </c>
      <c r="L581" s="5"/>
    </row>
    <row r="582" spans="1:12" customHeight="1" ht="105" outlineLevel="4">
      <c r="A582" s="1"/>
      <c r="B582" s="1">
        <v>831504</v>
      </c>
      <c r="C582" s="1" t="s">
        <v>1974</v>
      </c>
      <c r="D582" s="1" t="s">
        <v>1975</v>
      </c>
      <c r="E582" s="2" t="s">
        <v>1972</v>
      </c>
      <c r="F582" s="2" t="s">
        <v>1976</v>
      </c>
      <c r="G582" s="2">
        <v>0</v>
      </c>
      <c r="H582" s="2">
        <v>0</v>
      </c>
      <c r="I582" s="1">
        <v>0</v>
      </c>
      <c r="J582" s="3" t="s">
        <v>17</v>
      </c>
      <c r="K582" s="2" t="str">
        <f>J582*3073.88</f>
        <v>0</v>
      </c>
      <c r="L582" s="5"/>
    </row>
    <row r="583" spans="1:12" customHeight="1" ht="105" outlineLevel="4">
      <c r="A583" s="1"/>
      <c r="B583" s="1">
        <v>831505</v>
      </c>
      <c r="C583" s="1" t="s">
        <v>1977</v>
      </c>
      <c r="D583" s="1" t="s">
        <v>1978</v>
      </c>
      <c r="E583" s="2" t="s">
        <v>1972</v>
      </c>
      <c r="F583" s="2" t="s">
        <v>1976</v>
      </c>
      <c r="G583" s="2">
        <v>0</v>
      </c>
      <c r="H583" s="2">
        <v>0</v>
      </c>
      <c r="I583" s="1">
        <v>0</v>
      </c>
      <c r="J583" s="3" t="s">
        <v>17</v>
      </c>
      <c r="K583" s="2" t="str">
        <f>J583*3073.88</f>
        <v>0</v>
      </c>
      <c r="L583" s="5"/>
    </row>
    <row r="584" spans="1:12" customHeight="1" ht="105" outlineLevel="4">
      <c r="A584" s="1"/>
      <c r="B584" s="1">
        <v>831506</v>
      </c>
      <c r="C584" s="1" t="s">
        <v>1979</v>
      </c>
      <c r="D584" s="1" t="s">
        <v>1980</v>
      </c>
      <c r="E584" s="2" t="s">
        <v>1972</v>
      </c>
      <c r="F584" s="2" t="s">
        <v>1976</v>
      </c>
      <c r="G584" s="2">
        <v>0</v>
      </c>
      <c r="H584" s="2">
        <v>0</v>
      </c>
      <c r="I584" s="1">
        <v>0</v>
      </c>
      <c r="J584" s="3" t="s">
        <v>17</v>
      </c>
      <c r="K584" s="2" t="str">
        <f>J584*3073.88</f>
        <v>0</v>
      </c>
      <c r="L584" s="5"/>
    </row>
    <row r="585" spans="1:12" customHeight="1" ht="105" outlineLevel="4">
      <c r="A585" s="1"/>
      <c r="B585" s="1">
        <v>831509</v>
      </c>
      <c r="C585" s="1" t="s">
        <v>1981</v>
      </c>
      <c r="D585" s="1" t="s">
        <v>1982</v>
      </c>
      <c r="E585" s="2" t="s">
        <v>1972</v>
      </c>
      <c r="F585" s="2" t="s">
        <v>1976</v>
      </c>
      <c r="G585" s="2">
        <v>0</v>
      </c>
      <c r="H585" s="2">
        <v>0</v>
      </c>
      <c r="I585" s="1">
        <v>0</v>
      </c>
      <c r="J585" s="3" t="s">
        <v>17</v>
      </c>
      <c r="K585" s="2" t="str">
        <f>J585*3073.88</f>
        <v>0</v>
      </c>
      <c r="L585" s="5"/>
    </row>
    <row r="586" spans="1:12" customHeight="1" ht="105" outlineLevel="4">
      <c r="A586" s="1"/>
      <c r="B586" s="1">
        <v>831511</v>
      </c>
      <c r="C586" s="1" t="s">
        <v>1983</v>
      </c>
      <c r="D586" s="1" t="s">
        <v>1984</v>
      </c>
      <c r="E586" s="2" t="s">
        <v>1972</v>
      </c>
      <c r="F586" s="2" t="s">
        <v>1985</v>
      </c>
      <c r="G586" s="2">
        <v>0</v>
      </c>
      <c r="H586" s="2">
        <v>0</v>
      </c>
      <c r="I586" s="1">
        <v>0</v>
      </c>
      <c r="J586" s="3" t="s">
        <v>17</v>
      </c>
      <c r="K586" s="2" t="str">
        <f>J586*3220.54</f>
        <v>0</v>
      </c>
      <c r="L586" s="5"/>
    </row>
    <row r="587" spans="1:12" customHeight="1" ht="105" outlineLevel="4">
      <c r="A587" s="1"/>
      <c r="B587" s="1">
        <v>831512</v>
      </c>
      <c r="C587" s="1" t="s">
        <v>1986</v>
      </c>
      <c r="D587" s="1" t="s">
        <v>1987</v>
      </c>
      <c r="E587" s="2" t="s">
        <v>1972</v>
      </c>
      <c r="F587" s="2" t="s">
        <v>1985</v>
      </c>
      <c r="G587" s="2">
        <v>0</v>
      </c>
      <c r="H587" s="2">
        <v>0</v>
      </c>
      <c r="I587" s="1">
        <v>0</v>
      </c>
      <c r="J587" s="3" t="s">
        <v>17</v>
      </c>
      <c r="K587" s="2" t="str">
        <f>J587*3220.54</f>
        <v>0</v>
      </c>
      <c r="L587" s="5"/>
    </row>
    <row r="588" spans="1:12" customHeight="1" ht="105" outlineLevel="4">
      <c r="A588" s="1"/>
      <c r="B588" s="1">
        <v>831513</v>
      </c>
      <c r="C588" s="1" t="s">
        <v>1988</v>
      </c>
      <c r="D588" s="1" t="s">
        <v>1989</v>
      </c>
      <c r="E588" s="2" t="s">
        <v>1972</v>
      </c>
      <c r="F588" s="2" t="s">
        <v>1985</v>
      </c>
      <c r="G588" s="2">
        <v>1</v>
      </c>
      <c r="H588" s="2">
        <v>0</v>
      </c>
      <c r="I588" s="1">
        <v>0</v>
      </c>
      <c r="J588" s="3" t="s">
        <v>17</v>
      </c>
      <c r="K588" s="2" t="str">
        <f>J588*3220.54</f>
        <v>0</v>
      </c>
      <c r="L588" s="5"/>
    </row>
    <row r="589" spans="1:12" customHeight="1" ht="105" outlineLevel="4">
      <c r="A589" s="1"/>
      <c r="B589" s="1">
        <v>831516</v>
      </c>
      <c r="C589" s="1" t="s">
        <v>1990</v>
      </c>
      <c r="D589" s="1" t="s">
        <v>1991</v>
      </c>
      <c r="E589" s="2" t="s">
        <v>1972</v>
      </c>
      <c r="F589" s="2" t="s">
        <v>1743</v>
      </c>
      <c r="G589" s="2">
        <v>0</v>
      </c>
      <c r="H589" s="2">
        <v>0</v>
      </c>
      <c r="I589" s="1">
        <v>0</v>
      </c>
      <c r="J589" s="3" t="s">
        <v>17</v>
      </c>
      <c r="K589" s="2" t="str">
        <f>J589*3166.84</f>
        <v>0</v>
      </c>
      <c r="L589" s="5"/>
    </row>
    <row r="590" spans="1:12" customHeight="1" ht="105" outlineLevel="4">
      <c r="A590" s="1"/>
      <c r="B590" s="1">
        <v>831520</v>
      </c>
      <c r="C590" s="1" t="s">
        <v>1992</v>
      </c>
      <c r="D590" s="1" t="s">
        <v>1993</v>
      </c>
      <c r="E590" s="2" t="s">
        <v>1972</v>
      </c>
      <c r="F590" s="2" t="s">
        <v>1994</v>
      </c>
      <c r="G590" s="2">
        <v>1</v>
      </c>
      <c r="H590" s="2">
        <v>0</v>
      </c>
      <c r="I590" s="1">
        <v>0</v>
      </c>
      <c r="J590" s="3" t="s">
        <v>17</v>
      </c>
      <c r="K590" s="2" t="str">
        <f>J590*4774.93</f>
        <v>0</v>
      </c>
      <c r="L590" s="5"/>
    </row>
    <row r="591" spans="1:12" customHeight="1" ht="105" outlineLevel="4">
      <c r="A591" s="1"/>
      <c r="B591" s="1">
        <v>831524</v>
      </c>
      <c r="C591" s="1" t="s">
        <v>1995</v>
      </c>
      <c r="D591" s="1" t="s">
        <v>1996</v>
      </c>
      <c r="E591" s="2" t="s">
        <v>1972</v>
      </c>
      <c r="F591" s="2" t="s">
        <v>1997</v>
      </c>
      <c r="G591" s="2">
        <v>1</v>
      </c>
      <c r="H591" s="2">
        <v>0</v>
      </c>
      <c r="I591" s="1">
        <v>0</v>
      </c>
      <c r="J591" s="3" t="s">
        <v>17</v>
      </c>
      <c r="K591" s="2" t="str">
        <f>J591*5605.10</f>
        <v>0</v>
      </c>
      <c r="L591" s="5"/>
    </row>
    <row r="592" spans="1:12" outlineLevel="2">
      <c r="A592" s="8" t="s">
        <v>1998</v>
      </c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5"/>
    </row>
    <row r="593" spans="1:12" outlineLevel="3">
      <c r="A593" s="9" t="s">
        <v>1999</v>
      </c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5"/>
    </row>
    <row r="594" spans="1:12" customHeight="1" ht="105" outlineLevel="5">
      <c r="A594" s="1"/>
      <c r="B594" s="1">
        <v>827208</v>
      </c>
      <c r="C594" s="1" t="s">
        <v>2000</v>
      </c>
      <c r="D594" s="1" t="s">
        <v>2001</v>
      </c>
      <c r="E594" s="2" t="s">
        <v>2002</v>
      </c>
      <c r="F594" s="2" t="s">
        <v>476</v>
      </c>
      <c r="G594" s="2">
        <v>3</v>
      </c>
      <c r="H594" s="2">
        <v>0</v>
      </c>
      <c r="I594" s="1">
        <v>0</v>
      </c>
      <c r="J594" s="3" t="s">
        <v>17</v>
      </c>
      <c r="K594" s="2" t="str">
        <f>J594*0.00</f>
        <v>0</v>
      </c>
      <c r="L594" s="5"/>
    </row>
    <row r="595" spans="1:12" customHeight="1" ht="105" outlineLevel="5">
      <c r="A595" s="1"/>
      <c r="B595" s="1">
        <v>827239</v>
      </c>
      <c r="C595" s="1" t="s">
        <v>2003</v>
      </c>
      <c r="D595" s="1" t="s">
        <v>2004</v>
      </c>
      <c r="E595" s="2" t="s">
        <v>2005</v>
      </c>
      <c r="F595" s="2" t="s">
        <v>2006</v>
      </c>
      <c r="G595" s="2" t="s">
        <v>38</v>
      </c>
      <c r="H595" s="2">
        <v>0</v>
      </c>
      <c r="I595" s="1">
        <v>0</v>
      </c>
      <c r="J595" s="3" t="s">
        <v>17</v>
      </c>
      <c r="K595" s="2" t="str">
        <f>J595*3370.59</f>
        <v>0</v>
      </c>
      <c r="L595" s="5"/>
    </row>
    <row r="596" spans="1:12" customHeight="1" ht="105" outlineLevel="5">
      <c r="A596" s="1"/>
      <c r="B596" s="1">
        <v>827240</v>
      </c>
      <c r="C596" s="1" t="s">
        <v>2007</v>
      </c>
      <c r="D596" s="1" t="s">
        <v>2008</v>
      </c>
      <c r="E596" s="2" t="s">
        <v>2009</v>
      </c>
      <c r="F596" s="2" t="s">
        <v>2006</v>
      </c>
      <c r="G596" s="2">
        <v>9</v>
      </c>
      <c r="H596" s="2">
        <v>0</v>
      </c>
      <c r="I596" s="1">
        <v>0</v>
      </c>
      <c r="J596" s="3" t="s">
        <v>17</v>
      </c>
      <c r="K596" s="2" t="str">
        <f>J596*3370.59</f>
        <v>0</v>
      </c>
      <c r="L596" s="5"/>
    </row>
    <row r="597" spans="1:12" customHeight="1" ht="105" outlineLevel="5">
      <c r="A597" s="1"/>
      <c r="B597" s="1">
        <v>827241</v>
      </c>
      <c r="C597" s="1" t="s">
        <v>2010</v>
      </c>
      <c r="D597" s="1" t="s">
        <v>2011</v>
      </c>
      <c r="E597" s="2" t="s">
        <v>2012</v>
      </c>
      <c r="F597" s="2" t="s">
        <v>2006</v>
      </c>
      <c r="G597" s="2">
        <v>1</v>
      </c>
      <c r="H597" s="2">
        <v>0</v>
      </c>
      <c r="I597" s="1">
        <v>10</v>
      </c>
      <c r="J597" s="3" t="s">
        <v>17</v>
      </c>
      <c r="K597" s="2" t="str">
        <f>J597*3370.59</f>
        <v>0</v>
      </c>
      <c r="L597" s="5"/>
    </row>
    <row r="598" spans="1:12" customHeight="1" ht="105" outlineLevel="5">
      <c r="A598" s="1"/>
      <c r="B598" s="1">
        <v>827242</v>
      </c>
      <c r="C598" s="1" t="s">
        <v>2013</v>
      </c>
      <c r="D598" s="1" t="s">
        <v>2014</v>
      </c>
      <c r="E598" s="2" t="s">
        <v>2015</v>
      </c>
      <c r="F598" s="2" t="s">
        <v>2016</v>
      </c>
      <c r="G598" s="2">
        <v>2</v>
      </c>
      <c r="H598" s="2">
        <v>0</v>
      </c>
      <c r="I598" s="1">
        <v>0</v>
      </c>
      <c r="J598" s="3" t="s">
        <v>17</v>
      </c>
      <c r="K598" s="2" t="str">
        <f>J598*3745.10</f>
        <v>0</v>
      </c>
      <c r="L598" s="5"/>
    </row>
    <row r="599" spans="1:12" customHeight="1" ht="105" outlineLevel="5">
      <c r="A599" s="1"/>
      <c r="B599" s="1">
        <v>827243</v>
      </c>
      <c r="C599" s="1" t="s">
        <v>2017</v>
      </c>
      <c r="D599" s="1" t="s">
        <v>2018</v>
      </c>
      <c r="E599" s="2" t="s">
        <v>2019</v>
      </c>
      <c r="F599" s="2" t="s">
        <v>2020</v>
      </c>
      <c r="G599" s="2">
        <v>0</v>
      </c>
      <c r="H599" s="2">
        <v>0</v>
      </c>
      <c r="I599" s="1">
        <v>0</v>
      </c>
      <c r="J599" s="3" t="s">
        <v>17</v>
      </c>
      <c r="K599" s="2" t="str">
        <f>J599*3550.70</f>
        <v>0</v>
      </c>
      <c r="L599" s="5"/>
    </row>
    <row r="600" spans="1:12" customHeight="1" ht="105" outlineLevel="5">
      <c r="A600" s="1"/>
      <c r="B600" s="1">
        <v>827244</v>
      </c>
      <c r="C600" s="1" t="s">
        <v>2021</v>
      </c>
      <c r="D600" s="1" t="s">
        <v>2022</v>
      </c>
      <c r="E600" s="2" t="s">
        <v>2023</v>
      </c>
      <c r="F600" s="2" t="s">
        <v>2020</v>
      </c>
      <c r="G600" s="2">
        <v>0</v>
      </c>
      <c r="H600" s="2">
        <v>0</v>
      </c>
      <c r="I600" s="1">
        <v>0</v>
      </c>
      <c r="J600" s="3" t="s">
        <v>17</v>
      </c>
      <c r="K600" s="2" t="str">
        <f>J600*3550.70</f>
        <v>0</v>
      </c>
      <c r="L600" s="5"/>
    </row>
    <row r="601" spans="1:12" customHeight="1" ht="105" outlineLevel="5">
      <c r="A601" s="1"/>
      <c r="B601" s="1">
        <v>827245</v>
      </c>
      <c r="C601" s="1" t="s">
        <v>2024</v>
      </c>
      <c r="D601" s="1" t="s">
        <v>2025</v>
      </c>
      <c r="E601" s="2" t="s">
        <v>2026</v>
      </c>
      <c r="F601" s="2" t="s">
        <v>2020</v>
      </c>
      <c r="G601" s="2">
        <v>0</v>
      </c>
      <c r="H601" s="2">
        <v>0</v>
      </c>
      <c r="I601" s="1">
        <v>0</v>
      </c>
      <c r="J601" s="3" t="s">
        <v>17</v>
      </c>
      <c r="K601" s="2" t="str">
        <f>J601*3550.70</f>
        <v>0</v>
      </c>
      <c r="L601" s="5"/>
    </row>
    <row r="602" spans="1:12" customHeight="1" ht="105" outlineLevel="5">
      <c r="A602" s="1"/>
      <c r="B602" s="1">
        <v>827246</v>
      </c>
      <c r="C602" s="1" t="s">
        <v>2027</v>
      </c>
      <c r="D602" s="1" t="s">
        <v>2028</v>
      </c>
      <c r="E602" s="2" t="s">
        <v>2029</v>
      </c>
      <c r="F602" s="2" t="s">
        <v>2030</v>
      </c>
      <c r="G602" s="2">
        <v>0</v>
      </c>
      <c r="H602" s="2">
        <v>0</v>
      </c>
      <c r="I602" s="1">
        <v>0</v>
      </c>
      <c r="J602" s="3" t="s">
        <v>17</v>
      </c>
      <c r="K602" s="2" t="str">
        <f>J602*3667.24</f>
        <v>0</v>
      </c>
      <c r="L602" s="5"/>
    </row>
    <row r="603" spans="1:12" customHeight="1" ht="105" outlineLevel="5">
      <c r="A603" s="1"/>
      <c r="B603" s="1">
        <v>827255</v>
      </c>
      <c r="C603" s="1" t="s">
        <v>2031</v>
      </c>
      <c r="D603" s="1" t="s">
        <v>2032</v>
      </c>
      <c r="E603" s="2" t="s">
        <v>2033</v>
      </c>
      <c r="F603" s="2" t="s">
        <v>2034</v>
      </c>
      <c r="G603" s="2" t="s">
        <v>38</v>
      </c>
      <c r="H603" s="2">
        <v>0</v>
      </c>
      <c r="I603" s="1">
        <v>10</v>
      </c>
      <c r="J603" s="3" t="s">
        <v>17</v>
      </c>
      <c r="K603" s="2" t="str">
        <f>J603*2217.30</f>
        <v>0</v>
      </c>
      <c r="L603" s="5"/>
    </row>
    <row r="604" spans="1:12" customHeight="1" ht="105" outlineLevel="5">
      <c r="A604" s="1"/>
      <c r="B604" s="1">
        <v>827256</v>
      </c>
      <c r="C604" s="1" t="s">
        <v>2035</v>
      </c>
      <c r="D604" s="1" t="s">
        <v>2036</v>
      </c>
      <c r="E604" s="2" t="s">
        <v>2037</v>
      </c>
      <c r="F604" s="2" t="s">
        <v>2034</v>
      </c>
      <c r="G604" s="2">
        <v>0</v>
      </c>
      <c r="H604" s="2">
        <v>0</v>
      </c>
      <c r="I604" s="1">
        <v>9</v>
      </c>
      <c r="J604" s="3" t="s">
        <v>17</v>
      </c>
      <c r="K604" s="2" t="str">
        <f>J604*2217.30</f>
        <v>0</v>
      </c>
      <c r="L604" s="5"/>
    </row>
    <row r="605" spans="1:12" customHeight="1" ht="105" outlineLevel="5">
      <c r="A605" s="1"/>
      <c r="B605" s="1">
        <v>827257</v>
      </c>
      <c r="C605" s="1" t="s">
        <v>2038</v>
      </c>
      <c r="D605" s="1" t="s">
        <v>2039</v>
      </c>
      <c r="E605" s="2" t="s">
        <v>2040</v>
      </c>
      <c r="F605" s="2" t="s">
        <v>2034</v>
      </c>
      <c r="G605" s="2">
        <v>10</v>
      </c>
      <c r="H605" s="2">
        <v>0</v>
      </c>
      <c r="I605" s="1">
        <v>0</v>
      </c>
      <c r="J605" s="3" t="s">
        <v>17</v>
      </c>
      <c r="K605" s="2" t="str">
        <f>J605*2217.30</f>
        <v>0</v>
      </c>
      <c r="L605" s="5"/>
    </row>
    <row r="606" spans="1:12" customHeight="1" ht="105" outlineLevel="5">
      <c r="A606" s="1"/>
      <c r="B606" s="1">
        <v>827258</v>
      </c>
      <c r="C606" s="1" t="s">
        <v>2041</v>
      </c>
      <c r="D606" s="1" t="s">
        <v>2042</v>
      </c>
      <c r="E606" s="2" t="s">
        <v>2043</v>
      </c>
      <c r="F606" s="2" t="s">
        <v>2034</v>
      </c>
      <c r="G606" s="2">
        <v>0</v>
      </c>
      <c r="H606" s="2">
        <v>0</v>
      </c>
      <c r="I606" s="1">
        <v>0</v>
      </c>
      <c r="J606" s="3" t="s">
        <v>17</v>
      </c>
      <c r="K606" s="2" t="str">
        <f>J606*2217.30</f>
        <v>0</v>
      </c>
      <c r="L606" s="5"/>
    </row>
    <row r="607" spans="1:12" customHeight="1" ht="105" outlineLevel="5">
      <c r="A607" s="1"/>
      <c r="B607" s="1">
        <v>827259</v>
      </c>
      <c r="C607" s="1" t="s">
        <v>2044</v>
      </c>
      <c r="D607" s="1" t="s">
        <v>2045</v>
      </c>
      <c r="E607" s="2" t="s">
        <v>2046</v>
      </c>
      <c r="F607" s="2" t="s">
        <v>2034</v>
      </c>
      <c r="G607" s="2" t="s">
        <v>38</v>
      </c>
      <c r="H607" s="2">
        <v>0</v>
      </c>
      <c r="I607" s="1">
        <v>0</v>
      </c>
      <c r="J607" s="3" t="s">
        <v>17</v>
      </c>
      <c r="K607" s="2" t="str">
        <f>J607*2217.30</f>
        <v>0</v>
      </c>
      <c r="L607" s="5"/>
    </row>
    <row r="608" spans="1:12" customHeight="1" ht="105" outlineLevel="5">
      <c r="A608" s="1"/>
      <c r="B608" s="1">
        <v>827260</v>
      </c>
      <c r="C608" s="1" t="s">
        <v>2047</v>
      </c>
      <c r="D608" s="1" t="s">
        <v>2048</v>
      </c>
      <c r="E608" s="2" t="s">
        <v>2049</v>
      </c>
      <c r="F608" s="2" t="s">
        <v>2034</v>
      </c>
      <c r="G608" s="2">
        <v>10</v>
      </c>
      <c r="H608" s="2">
        <v>0</v>
      </c>
      <c r="I608" s="1">
        <v>0</v>
      </c>
      <c r="J608" s="3" t="s">
        <v>17</v>
      </c>
      <c r="K608" s="2" t="str">
        <f>J608*2217.30</f>
        <v>0</v>
      </c>
      <c r="L608" s="5"/>
    </row>
    <row r="609" spans="1:12" customHeight="1" ht="105" outlineLevel="5">
      <c r="A609" s="1"/>
      <c r="B609" s="1">
        <v>827261</v>
      </c>
      <c r="C609" s="1" t="s">
        <v>2050</v>
      </c>
      <c r="D609" s="1" t="s">
        <v>2051</v>
      </c>
      <c r="E609" s="2" t="s">
        <v>2052</v>
      </c>
      <c r="F609" s="2" t="s">
        <v>2034</v>
      </c>
      <c r="G609" s="2">
        <v>10</v>
      </c>
      <c r="H609" s="2">
        <v>0</v>
      </c>
      <c r="I609" s="1">
        <v>0</v>
      </c>
      <c r="J609" s="3" t="s">
        <v>17</v>
      </c>
      <c r="K609" s="2" t="str">
        <f>J609*2217.30</f>
        <v>0</v>
      </c>
      <c r="L609" s="5"/>
    </row>
    <row r="610" spans="1:12" customHeight="1" ht="105" outlineLevel="5">
      <c r="A610" s="1"/>
      <c r="B610" s="1">
        <v>827262</v>
      </c>
      <c r="C610" s="1" t="s">
        <v>2053</v>
      </c>
      <c r="D610" s="1" t="s">
        <v>2054</v>
      </c>
      <c r="E610" s="2" t="s">
        <v>2055</v>
      </c>
      <c r="F610" s="2" t="s">
        <v>2034</v>
      </c>
      <c r="G610" s="2">
        <v>0</v>
      </c>
      <c r="H610" s="2">
        <v>0</v>
      </c>
      <c r="I610" s="1">
        <v>0</v>
      </c>
      <c r="J610" s="3" t="s">
        <v>17</v>
      </c>
      <c r="K610" s="2" t="str">
        <f>J610*2217.30</f>
        <v>0</v>
      </c>
      <c r="L610" s="5"/>
    </row>
    <row r="611" spans="1:12" customHeight="1" ht="105" outlineLevel="5">
      <c r="A611" s="1"/>
      <c r="B611" s="1">
        <v>827265</v>
      </c>
      <c r="C611" s="1" t="s">
        <v>2056</v>
      </c>
      <c r="D611" s="1" t="s">
        <v>2057</v>
      </c>
      <c r="E611" s="2" t="s">
        <v>2058</v>
      </c>
      <c r="F611" s="2" t="s">
        <v>2059</v>
      </c>
      <c r="G611" s="2">
        <v>7</v>
      </c>
      <c r="H611" s="2">
        <v>0</v>
      </c>
      <c r="I611" s="1">
        <v>0</v>
      </c>
      <c r="J611" s="3" t="s">
        <v>17</v>
      </c>
      <c r="K611" s="2" t="str">
        <f>J611*5966.26</f>
        <v>0</v>
      </c>
      <c r="L611" s="5"/>
    </row>
    <row r="612" spans="1:12" customHeight="1" ht="105" outlineLevel="5">
      <c r="A612" s="1"/>
      <c r="B612" s="1">
        <v>827266</v>
      </c>
      <c r="C612" s="1" t="s">
        <v>2060</v>
      </c>
      <c r="D612" s="1" t="s">
        <v>2061</v>
      </c>
      <c r="E612" s="2" t="s">
        <v>2062</v>
      </c>
      <c r="F612" s="2" t="s">
        <v>2063</v>
      </c>
      <c r="G612" s="2">
        <v>5</v>
      </c>
      <c r="H612" s="2">
        <v>0</v>
      </c>
      <c r="I612" s="1">
        <v>0</v>
      </c>
      <c r="J612" s="3" t="s">
        <v>17</v>
      </c>
      <c r="K612" s="2" t="str">
        <f>J612*6648.86</f>
        <v>0</v>
      </c>
      <c r="L612" s="5"/>
    </row>
    <row r="613" spans="1:12" customHeight="1" ht="105" outlineLevel="5">
      <c r="A613" s="1"/>
      <c r="B613" s="1">
        <v>827267</v>
      </c>
      <c r="C613" s="1" t="s">
        <v>2064</v>
      </c>
      <c r="D613" s="1" t="s">
        <v>2065</v>
      </c>
      <c r="E613" s="2" t="s">
        <v>2066</v>
      </c>
      <c r="F613" s="2" t="s">
        <v>2063</v>
      </c>
      <c r="G613" s="2">
        <v>4</v>
      </c>
      <c r="H613" s="2">
        <v>0</v>
      </c>
      <c r="I613" s="1">
        <v>0</v>
      </c>
      <c r="J613" s="3" t="s">
        <v>17</v>
      </c>
      <c r="K613" s="2" t="str">
        <f>J613*6648.86</f>
        <v>0</v>
      </c>
      <c r="L613" s="5"/>
    </row>
    <row r="614" spans="1:12" customHeight="1" ht="105" outlineLevel="5">
      <c r="A614" s="1"/>
      <c r="B614" s="1">
        <v>827268</v>
      </c>
      <c r="C614" s="1" t="s">
        <v>2067</v>
      </c>
      <c r="D614" s="1" t="s">
        <v>2068</v>
      </c>
      <c r="E614" s="2" t="s">
        <v>2069</v>
      </c>
      <c r="F614" s="2" t="s">
        <v>2063</v>
      </c>
      <c r="G614" s="2">
        <v>9</v>
      </c>
      <c r="H614" s="2">
        <v>0</v>
      </c>
      <c r="I614" s="1">
        <v>0</v>
      </c>
      <c r="J614" s="3" t="s">
        <v>17</v>
      </c>
      <c r="K614" s="2" t="str">
        <f>J614*6648.86</f>
        <v>0</v>
      </c>
      <c r="L614" s="5"/>
    </row>
    <row r="615" spans="1:12" customHeight="1" ht="105" outlineLevel="5">
      <c r="A615" s="1"/>
      <c r="B615" s="1">
        <v>827269</v>
      </c>
      <c r="C615" s="1" t="s">
        <v>2070</v>
      </c>
      <c r="D615" s="1" t="s">
        <v>2071</v>
      </c>
      <c r="E615" s="2" t="s">
        <v>2072</v>
      </c>
      <c r="F615" s="2" t="s">
        <v>2063</v>
      </c>
      <c r="G615" s="2">
        <v>2</v>
      </c>
      <c r="H615" s="2">
        <v>0</v>
      </c>
      <c r="I615" s="1">
        <v>10</v>
      </c>
      <c r="J615" s="3" t="s">
        <v>17</v>
      </c>
      <c r="K615" s="2" t="str">
        <f>J615*6648.86</f>
        <v>0</v>
      </c>
      <c r="L615" s="5"/>
    </row>
    <row r="616" spans="1:12" customHeight="1" ht="105" outlineLevel="5">
      <c r="A616" s="1"/>
      <c r="B616" s="1">
        <v>827334</v>
      </c>
      <c r="C616" s="1" t="s">
        <v>2073</v>
      </c>
      <c r="D616" s="1" t="s">
        <v>2074</v>
      </c>
      <c r="E616" s="2" t="s">
        <v>2075</v>
      </c>
      <c r="F616" s="2" t="s">
        <v>2076</v>
      </c>
      <c r="G616" s="2">
        <v>0</v>
      </c>
      <c r="H616" s="2">
        <v>0</v>
      </c>
      <c r="I616" s="1">
        <v>0</v>
      </c>
      <c r="J616" s="3" t="s">
        <v>17</v>
      </c>
      <c r="K616" s="2" t="str">
        <f>J616*3300.97</f>
        <v>0</v>
      </c>
      <c r="L616" s="5"/>
    </row>
    <row r="617" spans="1:12" customHeight="1" ht="105" outlineLevel="5">
      <c r="A617" s="1"/>
      <c r="B617" s="1">
        <v>827335</v>
      </c>
      <c r="C617" s="1" t="s">
        <v>2077</v>
      </c>
      <c r="D617" s="1" t="s">
        <v>2078</v>
      </c>
      <c r="E617" s="2" t="s">
        <v>2079</v>
      </c>
      <c r="F617" s="2" t="s">
        <v>2080</v>
      </c>
      <c r="G617" s="2">
        <v>0</v>
      </c>
      <c r="H617" s="2">
        <v>0</v>
      </c>
      <c r="I617" s="1">
        <v>0</v>
      </c>
      <c r="J617" s="3" t="s">
        <v>17</v>
      </c>
      <c r="K617" s="2" t="str">
        <f>J617*3276.75</f>
        <v>0</v>
      </c>
      <c r="L617" s="5"/>
    </row>
    <row r="618" spans="1:12" customHeight="1" ht="105" outlineLevel="5">
      <c r="A618" s="1"/>
      <c r="B618" s="1">
        <v>827343</v>
      </c>
      <c r="C618" s="1" t="s">
        <v>2081</v>
      </c>
      <c r="D618" s="1" t="s">
        <v>2082</v>
      </c>
      <c r="E618" s="2" t="s">
        <v>2083</v>
      </c>
      <c r="F618" s="2" t="s">
        <v>1495</v>
      </c>
      <c r="G618" s="2">
        <v>0</v>
      </c>
      <c r="H618" s="2">
        <v>0</v>
      </c>
      <c r="I618" s="1">
        <v>0</v>
      </c>
      <c r="J618" s="3" t="s">
        <v>17</v>
      </c>
      <c r="K618" s="2" t="str">
        <f>J618*3008.86</f>
        <v>0</v>
      </c>
      <c r="L618" s="5"/>
    </row>
    <row r="619" spans="1:12" customHeight="1" ht="105" outlineLevel="5">
      <c r="A619" s="1"/>
      <c r="B619" s="1">
        <v>831548</v>
      </c>
      <c r="C619" s="1" t="s">
        <v>2084</v>
      </c>
      <c r="D619" s="1" t="s">
        <v>2085</v>
      </c>
      <c r="E619" s="2" t="s">
        <v>2086</v>
      </c>
      <c r="F619" s="2" t="s">
        <v>476</v>
      </c>
      <c r="G619" s="2">
        <v>0</v>
      </c>
      <c r="H619" s="2">
        <v>0</v>
      </c>
      <c r="I619" s="1">
        <v>0</v>
      </c>
      <c r="J619" s="3" t="s">
        <v>17</v>
      </c>
      <c r="K619" s="2" t="str">
        <f>J619*0.00</f>
        <v>0</v>
      </c>
      <c r="L619" s="5"/>
    </row>
    <row r="620" spans="1:12" outlineLevel="3">
      <c r="A620" s="9" t="s">
        <v>2087</v>
      </c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5"/>
    </row>
    <row r="621" spans="1:12" customHeight="1" ht="105" outlineLevel="5">
      <c r="A621" s="1"/>
      <c r="B621" s="1">
        <v>827276</v>
      </c>
      <c r="C621" s="1" t="s">
        <v>2088</v>
      </c>
      <c r="D621" s="1" t="s">
        <v>2089</v>
      </c>
      <c r="E621" s="2" t="s">
        <v>2090</v>
      </c>
      <c r="F621" s="2" t="s">
        <v>2091</v>
      </c>
      <c r="G621" s="2" t="s">
        <v>38</v>
      </c>
      <c r="H621" s="2">
        <v>0</v>
      </c>
      <c r="I621" s="1">
        <v>0</v>
      </c>
      <c r="J621" s="3" t="s">
        <v>17</v>
      </c>
      <c r="K621" s="2" t="str">
        <f>J621*2600.21</f>
        <v>0</v>
      </c>
      <c r="L621" s="5"/>
    </row>
    <row r="622" spans="1:12" customHeight="1" ht="105" outlineLevel="5">
      <c r="A622" s="1"/>
      <c r="B622" s="1">
        <v>827277</v>
      </c>
      <c r="C622" s="1" t="s">
        <v>2092</v>
      </c>
      <c r="D622" s="1" t="s">
        <v>2093</v>
      </c>
      <c r="E622" s="2" t="s">
        <v>2094</v>
      </c>
      <c r="F622" s="2" t="s">
        <v>2095</v>
      </c>
      <c r="G622" s="2" t="s">
        <v>38</v>
      </c>
      <c r="H622" s="2">
        <v>0</v>
      </c>
      <c r="I622" s="1">
        <v>0</v>
      </c>
      <c r="J622" s="3" t="s">
        <v>17</v>
      </c>
      <c r="K622" s="2" t="str">
        <f>J622*2633.51</f>
        <v>0</v>
      </c>
      <c r="L622" s="5"/>
    </row>
    <row r="623" spans="1:12" customHeight="1" ht="105" outlineLevel="5">
      <c r="A623" s="1"/>
      <c r="B623" s="1">
        <v>827278</v>
      </c>
      <c r="C623" s="1" t="s">
        <v>2096</v>
      </c>
      <c r="D623" s="1" t="s">
        <v>2097</v>
      </c>
      <c r="E623" s="2" t="s">
        <v>2098</v>
      </c>
      <c r="F623" s="2" t="s">
        <v>2099</v>
      </c>
      <c r="G623" s="2" t="s">
        <v>38</v>
      </c>
      <c r="H623" s="2">
        <v>0</v>
      </c>
      <c r="I623" s="1">
        <v>0</v>
      </c>
      <c r="J623" s="3" t="s">
        <v>17</v>
      </c>
      <c r="K623" s="2" t="str">
        <f>J623*4483.02</f>
        <v>0</v>
      </c>
      <c r="L623" s="5"/>
    </row>
    <row r="624" spans="1:12" customHeight="1" ht="105" outlineLevel="5">
      <c r="A624" s="1"/>
      <c r="B624" s="1">
        <v>827279</v>
      </c>
      <c r="C624" s="1" t="s">
        <v>2100</v>
      </c>
      <c r="D624" s="1" t="s">
        <v>2101</v>
      </c>
      <c r="E624" s="2" t="s">
        <v>2102</v>
      </c>
      <c r="F624" s="2" t="s">
        <v>476</v>
      </c>
      <c r="G624" s="2">
        <v>0</v>
      </c>
      <c r="H624" s="2">
        <v>0</v>
      </c>
      <c r="I624" s="1">
        <v>0</v>
      </c>
      <c r="J624" s="3" t="s">
        <v>17</v>
      </c>
      <c r="K624" s="2" t="str">
        <f>J624*0.00</f>
        <v>0</v>
      </c>
      <c r="L624" s="5"/>
    </row>
    <row r="625" spans="1:12" customHeight="1" ht="105" outlineLevel="5">
      <c r="A625" s="1"/>
      <c r="B625" s="1">
        <v>827280</v>
      </c>
      <c r="C625" s="1" t="s">
        <v>2103</v>
      </c>
      <c r="D625" s="1" t="s">
        <v>2104</v>
      </c>
      <c r="E625" s="2" t="s">
        <v>2105</v>
      </c>
      <c r="F625" s="2" t="s">
        <v>2106</v>
      </c>
      <c r="G625" s="2">
        <v>1</v>
      </c>
      <c r="H625" s="2">
        <v>0</v>
      </c>
      <c r="I625" s="1">
        <v>10</v>
      </c>
      <c r="J625" s="3" t="s">
        <v>17</v>
      </c>
      <c r="K625" s="2" t="str">
        <f>J625*4514.81</f>
        <v>0</v>
      </c>
      <c r="L625" s="5"/>
    </row>
    <row r="626" spans="1:12" customHeight="1" ht="105" outlineLevel="5">
      <c r="A626" s="1"/>
      <c r="B626" s="1">
        <v>827281</v>
      </c>
      <c r="C626" s="1" t="s">
        <v>2107</v>
      </c>
      <c r="D626" s="1" t="s">
        <v>2108</v>
      </c>
      <c r="E626" s="2" t="s">
        <v>2109</v>
      </c>
      <c r="F626" s="2" t="s">
        <v>476</v>
      </c>
      <c r="G626" s="2">
        <v>0</v>
      </c>
      <c r="H626" s="2">
        <v>0</v>
      </c>
      <c r="I626" s="1">
        <v>0</v>
      </c>
      <c r="J626" s="3" t="s">
        <v>17</v>
      </c>
      <c r="K626" s="2" t="str">
        <f>J626*0.00</f>
        <v>0</v>
      </c>
      <c r="L626" s="5"/>
    </row>
    <row r="627" spans="1:12" customHeight="1" ht="105" outlineLevel="5">
      <c r="A627" s="1"/>
      <c r="B627" s="1">
        <v>827282</v>
      </c>
      <c r="C627" s="1" t="s">
        <v>2110</v>
      </c>
      <c r="D627" s="1" t="s">
        <v>2111</v>
      </c>
      <c r="E627" s="2" t="s">
        <v>2112</v>
      </c>
      <c r="F627" s="2" t="s">
        <v>2113</v>
      </c>
      <c r="G627" s="2" t="s">
        <v>38</v>
      </c>
      <c r="H627" s="2">
        <v>0</v>
      </c>
      <c r="I627" s="1">
        <v>0</v>
      </c>
      <c r="J627" s="3" t="s">
        <v>17</v>
      </c>
      <c r="K627" s="2" t="str">
        <f>J627*3708.10</f>
        <v>0</v>
      </c>
      <c r="L627" s="5"/>
    </row>
    <row r="628" spans="1:12" customHeight="1" ht="105" outlineLevel="5">
      <c r="A628" s="1"/>
      <c r="B628" s="1">
        <v>827285</v>
      </c>
      <c r="C628" s="1" t="s">
        <v>2114</v>
      </c>
      <c r="D628" s="1" t="s">
        <v>2115</v>
      </c>
      <c r="E628" s="2" t="s">
        <v>2116</v>
      </c>
      <c r="F628" s="2" t="s">
        <v>2117</v>
      </c>
      <c r="G628" s="2">
        <v>7</v>
      </c>
      <c r="H628" s="2">
        <v>0</v>
      </c>
      <c r="I628" s="1">
        <v>0</v>
      </c>
      <c r="J628" s="3" t="s">
        <v>17</v>
      </c>
      <c r="K628" s="2" t="str">
        <f>J628*5849.72</f>
        <v>0</v>
      </c>
      <c r="L628" s="5"/>
    </row>
    <row r="629" spans="1:12" customHeight="1" ht="105" outlineLevel="5">
      <c r="A629" s="1"/>
      <c r="B629" s="1">
        <v>878035</v>
      </c>
      <c r="C629" s="1" t="s">
        <v>2118</v>
      </c>
      <c r="D629" s="1" t="s">
        <v>2119</v>
      </c>
      <c r="E629" s="2" t="s">
        <v>2120</v>
      </c>
      <c r="F629" s="2" t="s">
        <v>2121</v>
      </c>
      <c r="G629" s="2">
        <v>3</v>
      </c>
      <c r="H629" s="2">
        <v>0</v>
      </c>
      <c r="I629" s="1">
        <v>0</v>
      </c>
      <c r="J629" s="3" t="s">
        <v>17</v>
      </c>
      <c r="K629" s="2" t="str">
        <f>J629*4652.54</f>
        <v>0</v>
      </c>
      <c r="L629" s="5"/>
    </row>
    <row r="630" spans="1:12" customHeight="1" ht="105" outlineLevel="5">
      <c r="A630" s="1"/>
      <c r="B630" s="1">
        <v>878036</v>
      </c>
      <c r="C630" s="1" t="s">
        <v>2122</v>
      </c>
      <c r="D630" s="1" t="s">
        <v>2123</v>
      </c>
      <c r="E630" s="2" t="s">
        <v>2124</v>
      </c>
      <c r="F630" s="2" t="s">
        <v>2125</v>
      </c>
      <c r="G630" s="2">
        <v>1</v>
      </c>
      <c r="H630" s="2">
        <v>0</v>
      </c>
      <c r="I630" s="1">
        <v>0</v>
      </c>
      <c r="J630" s="3" t="s">
        <v>17</v>
      </c>
      <c r="K630" s="2" t="str">
        <f>J630*5036.98</f>
        <v>0</v>
      </c>
      <c r="L630" s="5"/>
    </row>
    <row r="631" spans="1:12" customHeight="1" ht="105" outlineLevel="5">
      <c r="A631" s="1"/>
      <c r="B631" s="1">
        <v>878037</v>
      </c>
      <c r="C631" s="1" t="s">
        <v>2126</v>
      </c>
      <c r="D631" s="1" t="s">
        <v>2127</v>
      </c>
      <c r="E631" s="2" t="s">
        <v>2128</v>
      </c>
      <c r="F631" s="2" t="s">
        <v>2129</v>
      </c>
      <c r="G631" s="2">
        <v>0</v>
      </c>
      <c r="H631" s="2">
        <v>0</v>
      </c>
      <c r="I631" s="1">
        <v>0</v>
      </c>
      <c r="J631" s="3" t="s">
        <v>17</v>
      </c>
      <c r="K631" s="2" t="str">
        <f>J631*3163.24</f>
        <v>0</v>
      </c>
      <c r="L631" s="5"/>
    </row>
    <row r="632" spans="1:12" customHeight="1" ht="105" outlineLevel="5">
      <c r="A632" s="1"/>
      <c r="B632" s="1">
        <v>878038</v>
      </c>
      <c r="C632" s="1" t="s">
        <v>2130</v>
      </c>
      <c r="D632" s="1" t="s">
        <v>2131</v>
      </c>
      <c r="E632" s="2" t="s">
        <v>2132</v>
      </c>
      <c r="F632" s="2" t="s">
        <v>2133</v>
      </c>
      <c r="G632" s="2">
        <v>0</v>
      </c>
      <c r="H632" s="2">
        <v>0</v>
      </c>
      <c r="I632" s="1">
        <v>0</v>
      </c>
      <c r="J632" s="3" t="s">
        <v>17</v>
      </c>
      <c r="K632" s="2" t="str">
        <f>J632*3373.45</f>
        <v>0</v>
      </c>
      <c r="L632" s="5"/>
    </row>
    <row r="633" spans="1:12" customHeight="1" ht="105" outlineLevel="5">
      <c r="A633" s="1"/>
      <c r="B633" s="1">
        <v>878039</v>
      </c>
      <c r="C633" s="1" t="s">
        <v>2134</v>
      </c>
      <c r="D633" s="1" t="s">
        <v>2135</v>
      </c>
      <c r="E633" s="2" t="s">
        <v>2136</v>
      </c>
      <c r="F633" s="2" t="s">
        <v>2133</v>
      </c>
      <c r="G633" s="2">
        <v>0</v>
      </c>
      <c r="H633" s="2">
        <v>0</v>
      </c>
      <c r="I633" s="1">
        <v>0</v>
      </c>
      <c r="J633" s="3" t="s">
        <v>17</v>
      </c>
      <c r="K633" s="2" t="str">
        <f>J633*3373.45</f>
        <v>0</v>
      </c>
      <c r="L633" s="5"/>
    </row>
    <row r="634" spans="1:12" outlineLevel="3">
      <c r="A634" s="9" t="s">
        <v>2137</v>
      </c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5"/>
    </row>
    <row r="635" spans="1:12" customHeight="1" ht="105" outlineLevel="5">
      <c r="A635" s="1"/>
      <c r="B635" s="1">
        <v>827089</v>
      </c>
      <c r="C635" s="1" t="s">
        <v>2138</v>
      </c>
      <c r="D635" s="1" t="s">
        <v>2139</v>
      </c>
      <c r="E635" s="2" t="s">
        <v>2140</v>
      </c>
      <c r="F635" s="2" t="s">
        <v>2141</v>
      </c>
      <c r="G635" s="2">
        <v>4</v>
      </c>
      <c r="H635" s="2">
        <v>0</v>
      </c>
      <c r="I635" s="1">
        <v>10</v>
      </c>
      <c r="J635" s="3" t="s">
        <v>17</v>
      </c>
      <c r="K635" s="2" t="str">
        <f>J635*2033.68</f>
        <v>0</v>
      </c>
      <c r="L635" s="5"/>
    </row>
    <row r="636" spans="1:12" customHeight="1" ht="105" outlineLevel="5">
      <c r="A636" s="1"/>
      <c r="B636" s="1">
        <v>827090</v>
      </c>
      <c r="C636" s="1" t="s">
        <v>2142</v>
      </c>
      <c r="D636" s="1" t="s">
        <v>2143</v>
      </c>
      <c r="E636" s="2" t="s">
        <v>2144</v>
      </c>
      <c r="F636" s="2" t="s">
        <v>2141</v>
      </c>
      <c r="G636" s="2">
        <v>0</v>
      </c>
      <c r="H636" s="2">
        <v>0</v>
      </c>
      <c r="I636" s="1">
        <v>10</v>
      </c>
      <c r="J636" s="3" t="s">
        <v>17</v>
      </c>
      <c r="K636" s="2" t="str">
        <f>J636*2033.68</f>
        <v>0</v>
      </c>
      <c r="L636" s="5"/>
    </row>
    <row r="637" spans="1:12" customHeight="1" ht="105" outlineLevel="5">
      <c r="A637" s="1"/>
      <c r="B637" s="1">
        <v>827101</v>
      </c>
      <c r="C637" s="1" t="s">
        <v>2145</v>
      </c>
      <c r="D637" s="1" t="s">
        <v>2146</v>
      </c>
      <c r="E637" s="2" t="s">
        <v>2147</v>
      </c>
      <c r="F637" s="2" t="s">
        <v>2148</v>
      </c>
      <c r="G637" s="2">
        <v>0</v>
      </c>
      <c r="H637" s="2">
        <v>0</v>
      </c>
      <c r="I637" s="1">
        <v>0</v>
      </c>
      <c r="J637" s="3" t="s">
        <v>17</v>
      </c>
      <c r="K637" s="2" t="str">
        <f>J637*3169.97</f>
        <v>0</v>
      </c>
      <c r="L637" s="5"/>
    </row>
    <row r="638" spans="1:12" customHeight="1" ht="105" outlineLevel="5">
      <c r="A638" s="1"/>
      <c r="B638" s="1">
        <v>827102</v>
      </c>
      <c r="C638" s="1" t="s">
        <v>2149</v>
      </c>
      <c r="D638" s="1" t="s">
        <v>2150</v>
      </c>
      <c r="E638" s="2" t="s">
        <v>2151</v>
      </c>
      <c r="F638" s="2" t="s">
        <v>2148</v>
      </c>
      <c r="G638" s="2">
        <v>0</v>
      </c>
      <c r="H638" s="2">
        <v>0</v>
      </c>
      <c r="I638" s="1">
        <v>0</v>
      </c>
      <c r="J638" s="3" t="s">
        <v>17</v>
      </c>
      <c r="K638" s="2" t="str">
        <f>J638*3169.97</f>
        <v>0</v>
      </c>
      <c r="L638" s="5"/>
    </row>
    <row r="639" spans="1:12" customHeight="1" ht="105" outlineLevel="5">
      <c r="A639" s="1"/>
      <c r="B639" s="1">
        <v>827108</v>
      </c>
      <c r="C639" s="1" t="s">
        <v>2152</v>
      </c>
      <c r="D639" s="1" t="s">
        <v>2153</v>
      </c>
      <c r="E639" s="2" t="s">
        <v>2154</v>
      </c>
      <c r="F639" s="2" t="s">
        <v>476</v>
      </c>
      <c r="G639" s="2">
        <v>0</v>
      </c>
      <c r="H639" s="2">
        <v>0</v>
      </c>
      <c r="I639" s="1">
        <v>0</v>
      </c>
      <c r="J639" s="3" t="s">
        <v>17</v>
      </c>
      <c r="K639" s="2" t="str">
        <f>J639*0.00</f>
        <v>0</v>
      </c>
      <c r="L639" s="5"/>
    </row>
    <row r="640" spans="1:12" customHeight="1" ht="105" outlineLevel="5">
      <c r="A640" s="1"/>
      <c r="B640" s="1">
        <v>827112</v>
      </c>
      <c r="C640" s="1" t="s">
        <v>2155</v>
      </c>
      <c r="D640" s="1" t="s">
        <v>2156</v>
      </c>
      <c r="E640" s="2" t="s">
        <v>2157</v>
      </c>
      <c r="F640" s="2" t="s">
        <v>476</v>
      </c>
      <c r="G640" s="2">
        <v>0</v>
      </c>
      <c r="H640" s="2">
        <v>0</v>
      </c>
      <c r="I640" s="1">
        <v>0</v>
      </c>
      <c r="J640" s="3" t="s">
        <v>17</v>
      </c>
      <c r="K640" s="2" t="str">
        <f>J640*0.00</f>
        <v>0</v>
      </c>
      <c r="L640" s="5"/>
    </row>
    <row r="641" spans="1:12" customHeight="1" ht="105" outlineLevel="5">
      <c r="A641" s="1"/>
      <c r="B641" s="1">
        <v>827115</v>
      </c>
      <c r="C641" s="1" t="s">
        <v>2158</v>
      </c>
      <c r="D641" s="1" t="s">
        <v>2159</v>
      </c>
      <c r="E641" s="2" t="s">
        <v>2160</v>
      </c>
      <c r="F641" s="2" t="s">
        <v>2161</v>
      </c>
      <c r="G641" s="2">
        <v>10</v>
      </c>
      <c r="H641" s="2">
        <v>0</v>
      </c>
      <c r="I641" s="1">
        <v>10</v>
      </c>
      <c r="J641" s="3" t="s">
        <v>17</v>
      </c>
      <c r="K641" s="2" t="str">
        <f>J641*2383.78</f>
        <v>0</v>
      </c>
      <c r="L641" s="5"/>
    </row>
    <row r="642" spans="1:12" customHeight="1" ht="105" outlineLevel="5">
      <c r="A642" s="1"/>
      <c r="B642" s="1">
        <v>827116</v>
      </c>
      <c r="C642" s="1" t="s">
        <v>2162</v>
      </c>
      <c r="D642" s="1" t="s">
        <v>2163</v>
      </c>
      <c r="E642" s="2" t="s">
        <v>2164</v>
      </c>
      <c r="F642" s="2" t="s">
        <v>2165</v>
      </c>
      <c r="G642" s="2" t="s">
        <v>38</v>
      </c>
      <c r="H642" s="2">
        <v>0</v>
      </c>
      <c r="I642" s="1">
        <v>0</v>
      </c>
      <c r="J642" s="3" t="s">
        <v>17</v>
      </c>
      <c r="K642" s="2" t="str">
        <f>J642*2300.54</f>
        <v>0</v>
      </c>
      <c r="L642" s="5"/>
    </row>
    <row r="643" spans="1:12" customHeight="1" ht="105" outlineLevel="5">
      <c r="A643" s="1"/>
      <c r="B643" s="1">
        <v>827117</v>
      </c>
      <c r="C643" s="1" t="s">
        <v>2166</v>
      </c>
      <c r="D643" s="1" t="s">
        <v>2167</v>
      </c>
      <c r="E643" s="2" t="s">
        <v>2168</v>
      </c>
      <c r="F643" s="2" t="s">
        <v>476</v>
      </c>
      <c r="G643" s="2">
        <v>0</v>
      </c>
      <c r="H643" s="2">
        <v>0</v>
      </c>
      <c r="I643" s="1">
        <v>0</v>
      </c>
      <c r="J643" s="3" t="s">
        <v>17</v>
      </c>
      <c r="K643" s="2" t="str">
        <f>J643*0.00</f>
        <v>0</v>
      </c>
      <c r="L643" s="5"/>
    </row>
    <row r="644" spans="1:12" customHeight="1" ht="105" outlineLevel="5">
      <c r="A644" s="1"/>
      <c r="B644" s="1">
        <v>827119</v>
      </c>
      <c r="C644" s="1" t="s">
        <v>2169</v>
      </c>
      <c r="D644" s="1" t="s">
        <v>2170</v>
      </c>
      <c r="E644" s="2" t="s">
        <v>2171</v>
      </c>
      <c r="F644" s="2" t="s">
        <v>2172</v>
      </c>
      <c r="G644" s="2" t="s">
        <v>38</v>
      </c>
      <c r="H644" s="2">
        <v>0</v>
      </c>
      <c r="I644" s="1">
        <v>0</v>
      </c>
      <c r="J644" s="3" t="s">
        <v>17</v>
      </c>
      <c r="K644" s="2" t="str">
        <f>J644*2904.43</f>
        <v>0</v>
      </c>
      <c r="L644" s="5"/>
    </row>
    <row r="645" spans="1:12" customHeight="1" ht="105" outlineLevel="5">
      <c r="A645" s="1"/>
      <c r="B645" s="1">
        <v>827121</v>
      </c>
      <c r="C645" s="1" t="s">
        <v>2173</v>
      </c>
      <c r="D645" s="1" t="s">
        <v>2174</v>
      </c>
      <c r="E645" s="2" t="s">
        <v>2175</v>
      </c>
      <c r="F645" s="2" t="s">
        <v>2176</v>
      </c>
      <c r="G645" s="2" t="s">
        <v>38</v>
      </c>
      <c r="H645" s="2">
        <v>0</v>
      </c>
      <c r="I645" s="1">
        <v>10</v>
      </c>
      <c r="J645" s="3" t="s">
        <v>17</v>
      </c>
      <c r="K645" s="2" t="str">
        <f>J645*1890.38</f>
        <v>0</v>
      </c>
      <c r="L645" s="5"/>
    </row>
    <row r="646" spans="1:12" customHeight="1" ht="105" outlineLevel="5">
      <c r="A646" s="1"/>
      <c r="B646" s="1">
        <v>827129</v>
      </c>
      <c r="C646" s="1" t="s">
        <v>2177</v>
      </c>
      <c r="D646" s="1" t="s">
        <v>2178</v>
      </c>
      <c r="E646" s="2" t="s">
        <v>2179</v>
      </c>
      <c r="F646" s="2" t="s">
        <v>2180</v>
      </c>
      <c r="G646" s="2" t="s">
        <v>38</v>
      </c>
      <c r="H646" s="2">
        <v>0</v>
      </c>
      <c r="I646" s="1">
        <v>0</v>
      </c>
      <c r="J646" s="3" t="s">
        <v>17</v>
      </c>
      <c r="K646" s="2" t="str">
        <f>J646*4298.37</f>
        <v>0</v>
      </c>
      <c r="L646" s="5"/>
    </row>
    <row r="647" spans="1:12" customHeight="1" ht="105" outlineLevel="5">
      <c r="A647" s="1"/>
      <c r="B647" s="1">
        <v>827152</v>
      </c>
      <c r="C647" s="1" t="s">
        <v>2181</v>
      </c>
      <c r="D647" s="1" t="s">
        <v>2182</v>
      </c>
      <c r="E647" s="2" t="s">
        <v>2183</v>
      </c>
      <c r="F647" s="2" t="s">
        <v>2184</v>
      </c>
      <c r="G647" s="2">
        <v>3</v>
      </c>
      <c r="H647" s="2">
        <v>0</v>
      </c>
      <c r="I647" s="1">
        <v>0</v>
      </c>
      <c r="J647" s="3" t="s">
        <v>17</v>
      </c>
      <c r="K647" s="2" t="str">
        <f>J647*3196.54</f>
        <v>0</v>
      </c>
      <c r="L647" s="5"/>
    </row>
    <row r="648" spans="1:12" customHeight="1" ht="105" outlineLevel="5">
      <c r="A648" s="1"/>
      <c r="B648" s="1">
        <v>827167</v>
      </c>
      <c r="C648" s="1" t="s">
        <v>2185</v>
      </c>
      <c r="D648" s="1" t="s">
        <v>2186</v>
      </c>
      <c r="E648" s="2" t="s">
        <v>2187</v>
      </c>
      <c r="F648" s="2" t="s">
        <v>2188</v>
      </c>
      <c r="G648" s="2">
        <v>7</v>
      </c>
      <c r="H648" s="2">
        <v>0</v>
      </c>
      <c r="I648" s="1">
        <v>0</v>
      </c>
      <c r="J648" s="3" t="s">
        <v>17</v>
      </c>
      <c r="K648" s="2" t="str">
        <f>J648*2674.64</f>
        <v>0</v>
      </c>
      <c r="L648" s="5"/>
    </row>
    <row r="649" spans="1:12" customHeight="1" ht="105" outlineLevel="5">
      <c r="A649" s="1"/>
      <c r="B649" s="1">
        <v>827168</v>
      </c>
      <c r="C649" s="1" t="s">
        <v>2189</v>
      </c>
      <c r="D649" s="1" t="s">
        <v>2190</v>
      </c>
      <c r="E649" s="2" t="s">
        <v>2191</v>
      </c>
      <c r="F649" s="2" t="s">
        <v>476</v>
      </c>
      <c r="G649" s="2">
        <v>0</v>
      </c>
      <c r="H649" s="2">
        <v>0</v>
      </c>
      <c r="I649" s="1">
        <v>0</v>
      </c>
      <c r="J649" s="3" t="s">
        <v>17</v>
      </c>
      <c r="K649" s="2" t="str">
        <f>J649*0.00</f>
        <v>0</v>
      </c>
      <c r="L649" s="5"/>
    </row>
    <row r="650" spans="1:12" customHeight="1" ht="105" outlineLevel="5">
      <c r="A650" s="1"/>
      <c r="B650" s="1">
        <v>827175</v>
      </c>
      <c r="C650" s="1" t="s">
        <v>2192</v>
      </c>
      <c r="D650" s="1" t="s">
        <v>2193</v>
      </c>
      <c r="E650" s="2" t="s">
        <v>2194</v>
      </c>
      <c r="F650" s="2" t="s">
        <v>2195</v>
      </c>
      <c r="G650" s="2">
        <v>5</v>
      </c>
      <c r="H650" s="2">
        <v>0</v>
      </c>
      <c r="I650" s="1">
        <v>0</v>
      </c>
      <c r="J650" s="3" t="s">
        <v>17</v>
      </c>
      <c r="K650" s="2" t="str">
        <f>J650*2927.13</f>
        <v>0</v>
      </c>
      <c r="L650" s="5"/>
    </row>
    <row r="651" spans="1:12" customHeight="1" ht="105" outlineLevel="5">
      <c r="A651" s="1"/>
      <c r="B651" s="1">
        <v>827176</v>
      </c>
      <c r="C651" s="1" t="s">
        <v>2196</v>
      </c>
      <c r="D651" s="1" t="s">
        <v>2197</v>
      </c>
      <c r="E651" s="2" t="s">
        <v>2198</v>
      </c>
      <c r="F651" s="2" t="s">
        <v>476</v>
      </c>
      <c r="G651" s="2">
        <v>0</v>
      </c>
      <c r="H651" s="2">
        <v>0</v>
      </c>
      <c r="I651" s="1">
        <v>0</v>
      </c>
      <c r="J651" s="3" t="s">
        <v>17</v>
      </c>
      <c r="K651" s="2" t="str">
        <f>J651*0.00</f>
        <v>0</v>
      </c>
      <c r="L651" s="5"/>
    </row>
    <row r="652" spans="1:12" customHeight="1" ht="105" outlineLevel="5">
      <c r="A652" s="1"/>
      <c r="B652" s="1">
        <v>827179</v>
      </c>
      <c r="C652" s="1" t="s">
        <v>2199</v>
      </c>
      <c r="D652" s="1" t="s">
        <v>2200</v>
      </c>
      <c r="E652" s="2" t="s">
        <v>2201</v>
      </c>
      <c r="F652" s="2" t="s">
        <v>2195</v>
      </c>
      <c r="G652" s="2">
        <v>1</v>
      </c>
      <c r="H652" s="2">
        <v>0</v>
      </c>
      <c r="I652" s="1">
        <v>10</v>
      </c>
      <c r="J652" s="3" t="s">
        <v>17</v>
      </c>
      <c r="K652" s="2" t="str">
        <f>J652*2927.13</f>
        <v>0</v>
      </c>
      <c r="L652" s="5"/>
    </row>
    <row r="653" spans="1:12" customHeight="1" ht="105" outlineLevel="5">
      <c r="A653" s="1"/>
      <c r="B653" s="1">
        <v>827180</v>
      </c>
      <c r="C653" s="1" t="s">
        <v>2202</v>
      </c>
      <c r="D653" s="1" t="s">
        <v>2203</v>
      </c>
      <c r="E653" s="2" t="s">
        <v>2204</v>
      </c>
      <c r="F653" s="2" t="s">
        <v>2205</v>
      </c>
      <c r="G653" s="2">
        <v>0</v>
      </c>
      <c r="H653" s="2">
        <v>0</v>
      </c>
      <c r="I653" s="1">
        <v>0</v>
      </c>
      <c r="J653" s="3" t="s">
        <v>17</v>
      </c>
      <c r="K653" s="2" t="str">
        <f>J653*2542.70</f>
        <v>0</v>
      </c>
      <c r="L653" s="5"/>
    </row>
    <row r="654" spans="1:12" customHeight="1" ht="105" outlineLevel="5">
      <c r="A654" s="1"/>
      <c r="B654" s="1">
        <v>827181</v>
      </c>
      <c r="C654" s="1" t="s">
        <v>2206</v>
      </c>
      <c r="D654" s="1" t="s">
        <v>2207</v>
      </c>
      <c r="E654" s="2" t="s">
        <v>2208</v>
      </c>
      <c r="F654" s="2" t="s">
        <v>2205</v>
      </c>
      <c r="G654" s="2">
        <v>0</v>
      </c>
      <c r="H654" s="2">
        <v>0</v>
      </c>
      <c r="I654" s="1">
        <v>0</v>
      </c>
      <c r="J654" s="3" t="s">
        <v>17</v>
      </c>
      <c r="K654" s="2" t="str">
        <f>J654*2542.70</f>
        <v>0</v>
      </c>
      <c r="L654" s="5"/>
    </row>
    <row r="655" spans="1:12" customHeight="1" ht="105" outlineLevel="5">
      <c r="A655" s="1"/>
      <c r="B655" s="1">
        <v>827182</v>
      </c>
      <c r="C655" s="1" t="s">
        <v>2209</v>
      </c>
      <c r="D655" s="1" t="s">
        <v>2210</v>
      </c>
      <c r="E655" s="2" t="s">
        <v>2211</v>
      </c>
      <c r="F655" s="2" t="s">
        <v>2205</v>
      </c>
      <c r="G655" s="2">
        <v>0</v>
      </c>
      <c r="H655" s="2">
        <v>0</v>
      </c>
      <c r="I655" s="1">
        <v>0</v>
      </c>
      <c r="J655" s="3" t="s">
        <v>17</v>
      </c>
      <c r="K655" s="2" t="str">
        <f>J655*2542.70</f>
        <v>0</v>
      </c>
      <c r="L655" s="5"/>
    </row>
    <row r="656" spans="1:12" customHeight="1" ht="105" outlineLevel="5">
      <c r="A656" s="1"/>
      <c r="B656" s="1">
        <v>827188</v>
      </c>
      <c r="C656" s="1" t="s">
        <v>2212</v>
      </c>
      <c r="D656" s="1" t="s">
        <v>2213</v>
      </c>
      <c r="E656" s="2" t="s">
        <v>2214</v>
      </c>
      <c r="F656" s="2" t="s">
        <v>476</v>
      </c>
      <c r="G656" s="2">
        <v>3</v>
      </c>
      <c r="H656" s="2">
        <v>0</v>
      </c>
      <c r="I656" s="1">
        <v>0</v>
      </c>
      <c r="J656" s="3" t="s">
        <v>17</v>
      </c>
      <c r="K656" s="2" t="str">
        <f>J656*0.00</f>
        <v>0</v>
      </c>
      <c r="L656" s="5"/>
    </row>
    <row r="657" spans="1:12" customHeight="1" ht="105" outlineLevel="5">
      <c r="A657" s="1"/>
      <c r="B657" s="1">
        <v>827192</v>
      </c>
      <c r="C657" s="1" t="s">
        <v>2215</v>
      </c>
      <c r="D657" s="1" t="s">
        <v>2216</v>
      </c>
      <c r="E657" s="2" t="s">
        <v>2217</v>
      </c>
      <c r="F657" s="2" t="s">
        <v>476</v>
      </c>
      <c r="G657" s="2">
        <v>0</v>
      </c>
      <c r="H657" s="2">
        <v>0</v>
      </c>
      <c r="I657" s="1">
        <v>0</v>
      </c>
      <c r="J657" s="3" t="s">
        <v>17</v>
      </c>
      <c r="K657" s="2" t="str">
        <f>J657*0.00</f>
        <v>0</v>
      </c>
      <c r="L657" s="5"/>
    </row>
    <row r="658" spans="1:12" customHeight="1" ht="105" outlineLevel="5">
      <c r="A658" s="1"/>
      <c r="B658" s="1">
        <v>827195</v>
      </c>
      <c r="C658" s="1" t="s">
        <v>2218</v>
      </c>
      <c r="D658" s="1" t="s">
        <v>2219</v>
      </c>
      <c r="E658" s="2" t="s">
        <v>2220</v>
      </c>
      <c r="F658" s="2" t="s">
        <v>2221</v>
      </c>
      <c r="G658" s="2">
        <v>0</v>
      </c>
      <c r="H658" s="2">
        <v>0</v>
      </c>
      <c r="I658" s="1">
        <v>0</v>
      </c>
      <c r="J658" s="3" t="s">
        <v>17</v>
      </c>
      <c r="K658" s="2" t="str">
        <f>J658*3202.59</f>
        <v>0</v>
      </c>
      <c r="L658" s="5"/>
    </row>
    <row r="659" spans="1:12" customHeight="1" ht="105" outlineLevel="5">
      <c r="A659" s="1"/>
      <c r="B659" s="1">
        <v>827196</v>
      </c>
      <c r="C659" s="1" t="s">
        <v>2222</v>
      </c>
      <c r="D659" s="1" t="s">
        <v>2223</v>
      </c>
      <c r="E659" s="2" t="s">
        <v>2224</v>
      </c>
      <c r="F659" s="2" t="s">
        <v>476</v>
      </c>
      <c r="G659" s="2">
        <v>0</v>
      </c>
      <c r="H659" s="2">
        <v>0</v>
      </c>
      <c r="I659" s="1">
        <v>0</v>
      </c>
      <c r="J659" s="3" t="s">
        <v>17</v>
      </c>
      <c r="K659" s="2" t="str">
        <f>J659*0.00</f>
        <v>0</v>
      </c>
      <c r="L659" s="5"/>
    </row>
    <row r="660" spans="1:12" customHeight="1" ht="105" outlineLevel="5">
      <c r="A660" s="1"/>
      <c r="B660" s="1">
        <v>827200</v>
      </c>
      <c r="C660" s="1" t="s">
        <v>2225</v>
      </c>
      <c r="D660" s="1" t="s">
        <v>2226</v>
      </c>
      <c r="E660" s="2" t="s">
        <v>2227</v>
      </c>
      <c r="F660" s="2" t="s">
        <v>2228</v>
      </c>
      <c r="G660" s="2">
        <v>0</v>
      </c>
      <c r="H660" s="2">
        <v>0</v>
      </c>
      <c r="I660" s="1">
        <v>0</v>
      </c>
      <c r="J660" s="3" t="s">
        <v>17</v>
      </c>
      <c r="K660" s="2" t="str">
        <f>J660*3246.48</f>
        <v>0</v>
      </c>
      <c r="L660" s="5"/>
    </row>
    <row r="661" spans="1:12" customHeight="1" ht="105" outlineLevel="5">
      <c r="A661" s="1"/>
      <c r="B661" s="1">
        <v>827216</v>
      </c>
      <c r="C661" s="1" t="s">
        <v>2229</v>
      </c>
      <c r="D661" s="1" t="s">
        <v>2230</v>
      </c>
      <c r="E661" s="2" t="s">
        <v>2231</v>
      </c>
      <c r="F661" s="2" t="s">
        <v>2232</v>
      </c>
      <c r="G661" s="2">
        <v>0</v>
      </c>
      <c r="H661" s="2">
        <v>0</v>
      </c>
      <c r="I661" s="1">
        <v>0</v>
      </c>
      <c r="J661" s="3" t="s">
        <v>17</v>
      </c>
      <c r="K661" s="2" t="str">
        <f>J661*1900.00</f>
        <v>0</v>
      </c>
      <c r="L661" s="5"/>
    </row>
    <row r="662" spans="1:12" customHeight="1" ht="105" outlineLevel="5">
      <c r="A662" s="1"/>
      <c r="B662" s="1">
        <v>827228</v>
      </c>
      <c r="C662" s="1" t="s">
        <v>2233</v>
      </c>
      <c r="D662" s="1" t="s">
        <v>2234</v>
      </c>
      <c r="E662" s="2" t="s">
        <v>2235</v>
      </c>
      <c r="F662" s="2" t="s">
        <v>2236</v>
      </c>
      <c r="G662" s="2" t="s">
        <v>38</v>
      </c>
      <c r="H662" s="2">
        <v>0</v>
      </c>
      <c r="I662" s="1">
        <v>0</v>
      </c>
      <c r="J662" s="3" t="s">
        <v>17</v>
      </c>
      <c r="K662" s="2" t="str">
        <f>J662*2538.16</f>
        <v>0</v>
      </c>
      <c r="L662" s="5"/>
    </row>
    <row r="663" spans="1:12" customHeight="1" ht="105" outlineLevel="5">
      <c r="A663" s="1"/>
      <c r="B663" s="1">
        <v>827229</v>
      </c>
      <c r="C663" s="1" t="s">
        <v>2237</v>
      </c>
      <c r="D663" s="1" t="s">
        <v>2238</v>
      </c>
      <c r="E663" s="2" t="s">
        <v>2239</v>
      </c>
      <c r="F663" s="2" t="s">
        <v>2240</v>
      </c>
      <c r="G663" s="2" t="s">
        <v>38</v>
      </c>
      <c r="H663" s="2">
        <v>0</v>
      </c>
      <c r="I663" s="1">
        <v>0</v>
      </c>
      <c r="J663" s="3" t="s">
        <v>17</v>
      </c>
      <c r="K663" s="2" t="str">
        <f>J663*2223.35</f>
        <v>0</v>
      </c>
      <c r="L663" s="5"/>
    </row>
    <row r="664" spans="1:12" customHeight="1" ht="105" outlineLevel="5">
      <c r="A664" s="1"/>
      <c r="B664" s="1">
        <v>827230</v>
      </c>
      <c r="C664" s="1" t="s">
        <v>2241</v>
      </c>
      <c r="D664" s="1" t="s">
        <v>2242</v>
      </c>
      <c r="E664" s="2" t="s">
        <v>2243</v>
      </c>
      <c r="F664" s="2" t="s">
        <v>2240</v>
      </c>
      <c r="G664" s="2" t="s">
        <v>38</v>
      </c>
      <c r="H664" s="2">
        <v>0</v>
      </c>
      <c r="I664" s="1">
        <v>0</v>
      </c>
      <c r="J664" s="3" t="s">
        <v>17</v>
      </c>
      <c r="K664" s="2" t="str">
        <f>J664*2223.35</f>
        <v>0</v>
      </c>
      <c r="L664" s="5"/>
    </row>
    <row r="665" spans="1:12" customHeight="1" ht="105" outlineLevel="5">
      <c r="A665" s="1"/>
      <c r="B665" s="1">
        <v>827231</v>
      </c>
      <c r="C665" s="1" t="s">
        <v>2244</v>
      </c>
      <c r="D665" s="1" t="s">
        <v>2245</v>
      </c>
      <c r="E665" s="2" t="s">
        <v>2246</v>
      </c>
      <c r="F665" s="2" t="s">
        <v>2240</v>
      </c>
      <c r="G665" s="2" t="s">
        <v>38</v>
      </c>
      <c r="H665" s="2">
        <v>0</v>
      </c>
      <c r="I665" s="1">
        <v>0</v>
      </c>
      <c r="J665" s="3" t="s">
        <v>17</v>
      </c>
      <c r="K665" s="2" t="str">
        <f>J665*2223.35</f>
        <v>0</v>
      </c>
      <c r="L665" s="5"/>
    </row>
    <row r="666" spans="1:12" customHeight="1" ht="105" outlineLevel="5">
      <c r="A666" s="1"/>
      <c r="B666" s="1">
        <v>827232</v>
      </c>
      <c r="C666" s="1" t="s">
        <v>2247</v>
      </c>
      <c r="D666" s="1" t="s">
        <v>2248</v>
      </c>
      <c r="E666" s="2" t="s">
        <v>2249</v>
      </c>
      <c r="F666" s="2" t="s">
        <v>2240</v>
      </c>
      <c r="G666" s="2">
        <v>0</v>
      </c>
      <c r="H666" s="2">
        <v>0</v>
      </c>
      <c r="I666" s="1" t="s">
        <v>38</v>
      </c>
      <c r="J666" s="3" t="s">
        <v>17</v>
      </c>
      <c r="K666" s="2" t="str">
        <f>J666*2223.35</f>
        <v>0</v>
      </c>
      <c r="L666" s="5"/>
    </row>
    <row r="667" spans="1:12" customHeight="1" ht="105" outlineLevel="5">
      <c r="A667" s="1"/>
      <c r="B667" s="1">
        <v>827233</v>
      </c>
      <c r="C667" s="1" t="s">
        <v>2250</v>
      </c>
      <c r="D667" s="1" t="s">
        <v>2251</v>
      </c>
      <c r="E667" s="2" t="s">
        <v>2252</v>
      </c>
      <c r="F667" s="2" t="s">
        <v>2253</v>
      </c>
      <c r="G667" s="2" t="s">
        <v>159</v>
      </c>
      <c r="H667" s="2">
        <v>0</v>
      </c>
      <c r="I667" s="1">
        <v>0</v>
      </c>
      <c r="J667" s="3" t="s">
        <v>17</v>
      </c>
      <c r="K667" s="2" t="str">
        <f>J667*2450.38</f>
        <v>0</v>
      </c>
      <c r="L667" s="5"/>
    </row>
    <row r="668" spans="1:12" customHeight="1" ht="105" outlineLevel="5">
      <c r="A668" s="1"/>
      <c r="B668" s="1">
        <v>827234</v>
      </c>
      <c r="C668" s="1" t="s">
        <v>2254</v>
      </c>
      <c r="D668" s="1" t="s">
        <v>2255</v>
      </c>
      <c r="E668" s="2" t="s">
        <v>2256</v>
      </c>
      <c r="F668" s="2" t="s">
        <v>2257</v>
      </c>
      <c r="G668" s="2">
        <v>1</v>
      </c>
      <c r="H668" s="2">
        <v>0</v>
      </c>
      <c r="I668" s="1">
        <v>3</v>
      </c>
      <c r="J668" s="3" t="s">
        <v>17</v>
      </c>
      <c r="K668" s="2" t="str">
        <f>J668*2579.02</f>
        <v>0</v>
      </c>
      <c r="L668" s="5"/>
    </row>
    <row r="669" spans="1:12" customHeight="1" ht="105" outlineLevel="5">
      <c r="A669" s="1"/>
      <c r="B669" s="1">
        <v>827235</v>
      </c>
      <c r="C669" s="1" t="s">
        <v>2258</v>
      </c>
      <c r="D669" s="1" t="s">
        <v>2259</v>
      </c>
      <c r="E669" s="2" t="s">
        <v>2260</v>
      </c>
      <c r="F669" s="2" t="s">
        <v>2257</v>
      </c>
      <c r="G669" s="2">
        <v>2</v>
      </c>
      <c r="H669" s="2">
        <v>0</v>
      </c>
      <c r="I669" s="1">
        <v>0</v>
      </c>
      <c r="J669" s="3" t="s">
        <v>17</v>
      </c>
      <c r="K669" s="2" t="str">
        <f>J669*2579.02</f>
        <v>0</v>
      </c>
      <c r="L669" s="5"/>
    </row>
    <row r="670" spans="1:12" customHeight="1" ht="105" outlineLevel="5">
      <c r="A670" s="1"/>
      <c r="B670" s="1">
        <v>827236</v>
      </c>
      <c r="C670" s="1" t="s">
        <v>2261</v>
      </c>
      <c r="D670" s="1" t="s">
        <v>2262</v>
      </c>
      <c r="E670" s="2" t="s">
        <v>2263</v>
      </c>
      <c r="F670" s="2" t="s">
        <v>2257</v>
      </c>
      <c r="G670" s="2">
        <v>1</v>
      </c>
      <c r="H670" s="2">
        <v>0</v>
      </c>
      <c r="I670" s="1">
        <v>0</v>
      </c>
      <c r="J670" s="3" t="s">
        <v>17</v>
      </c>
      <c r="K670" s="2" t="str">
        <f>J670*2579.02</f>
        <v>0</v>
      </c>
      <c r="L670" s="5"/>
    </row>
    <row r="671" spans="1:12" customHeight="1" ht="105" outlineLevel="5">
      <c r="A671" s="1"/>
      <c r="B671" s="1">
        <v>827237</v>
      </c>
      <c r="C671" s="1" t="s">
        <v>2264</v>
      </c>
      <c r="D671" s="1" t="s">
        <v>2265</v>
      </c>
      <c r="E671" s="2" t="s">
        <v>2266</v>
      </c>
      <c r="F671" s="2" t="s">
        <v>2267</v>
      </c>
      <c r="G671" s="2">
        <v>0</v>
      </c>
      <c r="H671" s="2">
        <v>0</v>
      </c>
      <c r="I671" s="1">
        <v>0</v>
      </c>
      <c r="J671" s="3" t="s">
        <v>17</v>
      </c>
      <c r="K671" s="2" t="str">
        <f>J671*2698.59</f>
        <v>0</v>
      </c>
      <c r="L671" s="5"/>
    </row>
    <row r="672" spans="1:12" customHeight="1" ht="105" outlineLevel="5">
      <c r="A672" s="1"/>
      <c r="B672" s="1">
        <v>827238</v>
      </c>
      <c r="C672" s="1" t="s">
        <v>2268</v>
      </c>
      <c r="D672" s="1" t="s">
        <v>2269</v>
      </c>
      <c r="E672" s="2" t="s">
        <v>2270</v>
      </c>
      <c r="F672" s="2" t="s">
        <v>2267</v>
      </c>
      <c r="G672" s="2">
        <v>3</v>
      </c>
      <c r="H672" s="2">
        <v>0</v>
      </c>
      <c r="I672" s="1">
        <v>0</v>
      </c>
      <c r="J672" s="3" t="s">
        <v>17</v>
      </c>
      <c r="K672" s="2" t="str">
        <f>J672*2698.59</f>
        <v>0</v>
      </c>
      <c r="L672" s="5"/>
    </row>
    <row r="673" spans="1:12" customHeight="1" ht="105" outlineLevel="5">
      <c r="A673" s="1"/>
      <c r="B673" s="1">
        <v>827247</v>
      </c>
      <c r="C673" s="1" t="s">
        <v>2271</v>
      </c>
      <c r="D673" s="1" t="s">
        <v>2272</v>
      </c>
      <c r="E673" s="2" t="s">
        <v>2273</v>
      </c>
      <c r="F673" s="2" t="s">
        <v>2274</v>
      </c>
      <c r="G673" s="2">
        <v>7</v>
      </c>
      <c r="H673" s="2">
        <v>0</v>
      </c>
      <c r="I673" s="1">
        <v>0</v>
      </c>
      <c r="J673" s="3" t="s">
        <v>17</v>
      </c>
      <c r="K673" s="2" t="str">
        <f>J673*3349.40</f>
        <v>0</v>
      </c>
      <c r="L673" s="5"/>
    </row>
    <row r="674" spans="1:12" customHeight="1" ht="105" outlineLevel="5">
      <c r="A674" s="1"/>
      <c r="B674" s="1">
        <v>827251</v>
      </c>
      <c r="C674" s="1" t="s">
        <v>2275</v>
      </c>
      <c r="D674" s="1" t="s">
        <v>2276</v>
      </c>
      <c r="E674" s="2" t="s">
        <v>2277</v>
      </c>
      <c r="F674" s="2" t="s">
        <v>2278</v>
      </c>
      <c r="G674" s="2">
        <v>-1</v>
      </c>
      <c r="H674" s="2">
        <v>0</v>
      </c>
      <c r="I674" s="1">
        <v>10</v>
      </c>
      <c r="J674" s="3" t="s">
        <v>17</v>
      </c>
      <c r="K674" s="2" t="str">
        <f>J674*1843.46</f>
        <v>0</v>
      </c>
      <c r="L674" s="5"/>
    </row>
    <row r="675" spans="1:12" customHeight="1" ht="105" outlineLevel="5">
      <c r="A675" s="1"/>
      <c r="B675" s="1">
        <v>827252</v>
      </c>
      <c r="C675" s="1" t="s">
        <v>2279</v>
      </c>
      <c r="D675" s="1" t="s">
        <v>2280</v>
      </c>
      <c r="E675" s="2" t="s">
        <v>2281</v>
      </c>
      <c r="F675" s="2" t="s">
        <v>2278</v>
      </c>
      <c r="G675" s="2" t="s">
        <v>38</v>
      </c>
      <c r="H675" s="2">
        <v>0</v>
      </c>
      <c r="I675" s="1">
        <v>0</v>
      </c>
      <c r="J675" s="3" t="s">
        <v>17</v>
      </c>
      <c r="K675" s="2" t="str">
        <f>J675*1843.46</f>
        <v>0</v>
      </c>
      <c r="L675" s="5"/>
    </row>
    <row r="676" spans="1:12" customHeight="1" ht="105" outlineLevel="5">
      <c r="A676" s="1"/>
      <c r="B676" s="1">
        <v>827253</v>
      </c>
      <c r="C676" s="1" t="s">
        <v>2282</v>
      </c>
      <c r="D676" s="1" t="s">
        <v>2283</v>
      </c>
      <c r="E676" s="2" t="s">
        <v>2284</v>
      </c>
      <c r="F676" s="2" t="s">
        <v>2285</v>
      </c>
      <c r="G676" s="2" t="s">
        <v>159</v>
      </c>
      <c r="H676" s="2">
        <v>0</v>
      </c>
      <c r="I676" s="1">
        <v>0</v>
      </c>
      <c r="J676" s="3" t="s">
        <v>17</v>
      </c>
      <c r="K676" s="2" t="str">
        <f>J676*1793.51</f>
        <v>0</v>
      </c>
      <c r="L676" s="5"/>
    </row>
    <row r="677" spans="1:12" customHeight="1" ht="105" outlineLevel="5">
      <c r="A677" s="1"/>
      <c r="B677" s="1">
        <v>827254</v>
      </c>
      <c r="C677" s="1" t="s">
        <v>2286</v>
      </c>
      <c r="D677" s="1" t="s">
        <v>2287</v>
      </c>
      <c r="E677" s="2" t="s">
        <v>2288</v>
      </c>
      <c r="F677" s="2" t="s">
        <v>2285</v>
      </c>
      <c r="G677" s="2" t="s">
        <v>38</v>
      </c>
      <c r="H677" s="2">
        <v>0</v>
      </c>
      <c r="I677" s="1">
        <v>0</v>
      </c>
      <c r="J677" s="3" t="s">
        <v>17</v>
      </c>
      <c r="K677" s="2" t="str">
        <f>J677*1793.51</f>
        <v>0</v>
      </c>
      <c r="L677" s="5"/>
    </row>
    <row r="678" spans="1:12" customHeight="1" ht="105" outlineLevel="5">
      <c r="A678" s="1"/>
      <c r="B678" s="1">
        <v>827263</v>
      </c>
      <c r="C678" s="1" t="s">
        <v>2289</v>
      </c>
      <c r="D678" s="1" t="s">
        <v>2290</v>
      </c>
      <c r="E678" s="2" t="s">
        <v>2291</v>
      </c>
      <c r="F678" s="2" t="s">
        <v>2292</v>
      </c>
      <c r="G678" s="2" t="s">
        <v>159</v>
      </c>
      <c r="H678" s="2">
        <v>0</v>
      </c>
      <c r="I678" s="1">
        <v>0</v>
      </c>
      <c r="J678" s="3" t="s">
        <v>17</v>
      </c>
      <c r="K678" s="2" t="str">
        <f>J678*1548.32</f>
        <v>0</v>
      </c>
      <c r="L678" s="5"/>
    </row>
    <row r="679" spans="1:12" customHeight="1" ht="105" outlineLevel="5">
      <c r="A679" s="1"/>
      <c r="B679" s="1">
        <v>827264</v>
      </c>
      <c r="C679" s="1" t="s">
        <v>2293</v>
      </c>
      <c r="D679" s="1" t="s">
        <v>2294</v>
      </c>
      <c r="E679" s="2" t="s">
        <v>2295</v>
      </c>
      <c r="F679" s="2" t="s">
        <v>2296</v>
      </c>
      <c r="G679" s="2" t="s">
        <v>159</v>
      </c>
      <c r="H679" s="2">
        <v>0</v>
      </c>
      <c r="I679" s="1">
        <v>0</v>
      </c>
      <c r="J679" s="3" t="s">
        <v>17</v>
      </c>
      <c r="K679" s="2" t="str">
        <f>J679*1508.97</f>
        <v>0</v>
      </c>
      <c r="L679" s="5"/>
    </row>
    <row r="680" spans="1:12" customHeight="1" ht="105" outlineLevel="5">
      <c r="A680" s="1"/>
      <c r="B680" s="1">
        <v>827289</v>
      </c>
      <c r="C680" s="1" t="s">
        <v>2297</v>
      </c>
      <c r="D680" s="1" t="s">
        <v>2298</v>
      </c>
      <c r="E680" s="2" t="s">
        <v>2299</v>
      </c>
      <c r="F680" s="2" t="s">
        <v>2300</v>
      </c>
      <c r="G680" s="2" t="s">
        <v>159</v>
      </c>
      <c r="H680" s="2">
        <v>0</v>
      </c>
      <c r="I680" s="1">
        <v>0</v>
      </c>
      <c r="J680" s="3" t="s">
        <v>17</v>
      </c>
      <c r="K680" s="2" t="str">
        <f>J680*1813.19</f>
        <v>0</v>
      </c>
      <c r="L680" s="5"/>
    </row>
    <row r="681" spans="1:12" customHeight="1" ht="105" outlineLevel="5">
      <c r="A681" s="1"/>
      <c r="B681" s="1">
        <v>827290</v>
      </c>
      <c r="C681" s="1" t="s">
        <v>2301</v>
      </c>
      <c r="D681" s="1" t="s">
        <v>2302</v>
      </c>
      <c r="E681" s="2" t="s">
        <v>2303</v>
      </c>
      <c r="F681" s="2" t="s">
        <v>1311</v>
      </c>
      <c r="G681" s="2">
        <v>-3</v>
      </c>
      <c r="H681" s="2">
        <v>0</v>
      </c>
      <c r="I681" s="1" t="s">
        <v>38</v>
      </c>
      <c r="J681" s="3" t="s">
        <v>17</v>
      </c>
      <c r="K681" s="2" t="str">
        <f>J681*1999.35</f>
        <v>0</v>
      </c>
      <c r="L681" s="5"/>
    </row>
    <row r="682" spans="1:12" customHeight="1" ht="105" outlineLevel="5">
      <c r="A682" s="1"/>
      <c r="B682" s="1">
        <v>827291</v>
      </c>
      <c r="C682" s="1" t="s">
        <v>2304</v>
      </c>
      <c r="D682" s="1" t="s">
        <v>2305</v>
      </c>
      <c r="E682" s="2" t="s">
        <v>2306</v>
      </c>
      <c r="F682" s="2" t="s">
        <v>2307</v>
      </c>
      <c r="G682" s="2">
        <v>4</v>
      </c>
      <c r="H682" s="2">
        <v>0</v>
      </c>
      <c r="I682" s="1">
        <v>0</v>
      </c>
      <c r="J682" s="3" t="s">
        <v>17</v>
      </c>
      <c r="K682" s="2" t="str">
        <f>J682*2016.00</f>
        <v>0</v>
      </c>
      <c r="L682" s="5"/>
    </row>
    <row r="683" spans="1:12" customHeight="1" ht="105" outlineLevel="5">
      <c r="A683" s="1"/>
      <c r="B683" s="1">
        <v>827295</v>
      </c>
      <c r="C683" s="1" t="s">
        <v>2308</v>
      </c>
      <c r="D683" s="1" t="s">
        <v>2309</v>
      </c>
      <c r="E683" s="2" t="s">
        <v>2310</v>
      </c>
      <c r="F683" s="2" t="s">
        <v>2311</v>
      </c>
      <c r="G683" s="2" t="s">
        <v>159</v>
      </c>
      <c r="H683" s="2">
        <v>0</v>
      </c>
      <c r="I683" s="1" t="s">
        <v>38</v>
      </c>
      <c r="J683" s="3" t="s">
        <v>17</v>
      </c>
      <c r="K683" s="2" t="str">
        <f>J683*1708.76</f>
        <v>0</v>
      </c>
      <c r="L683" s="5"/>
    </row>
    <row r="684" spans="1:12" customHeight="1" ht="105" outlineLevel="5">
      <c r="A684" s="1"/>
      <c r="B684" s="1">
        <v>827296</v>
      </c>
      <c r="C684" s="1" t="s">
        <v>2312</v>
      </c>
      <c r="D684" s="1" t="s">
        <v>2313</v>
      </c>
      <c r="E684" s="2" t="s">
        <v>2314</v>
      </c>
      <c r="F684" s="2" t="s">
        <v>2311</v>
      </c>
      <c r="G684" s="2">
        <v>9</v>
      </c>
      <c r="H684" s="2">
        <v>0</v>
      </c>
      <c r="I684" s="1">
        <v>0</v>
      </c>
      <c r="J684" s="3" t="s">
        <v>17</v>
      </c>
      <c r="K684" s="2" t="str">
        <f>J684*1708.76</f>
        <v>0</v>
      </c>
      <c r="L684" s="5"/>
    </row>
    <row r="685" spans="1:12" customHeight="1" ht="105" outlineLevel="5">
      <c r="A685" s="1"/>
      <c r="B685" s="1">
        <v>827301</v>
      </c>
      <c r="C685" s="1" t="s">
        <v>2315</v>
      </c>
      <c r="D685" s="1" t="s">
        <v>2316</v>
      </c>
      <c r="E685" s="2" t="s">
        <v>2317</v>
      </c>
      <c r="F685" s="2" t="s">
        <v>2318</v>
      </c>
      <c r="G685" s="2" t="s">
        <v>38</v>
      </c>
      <c r="H685" s="2">
        <v>0</v>
      </c>
      <c r="I685" s="1">
        <v>0</v>
      </c>
      <c r="J685" s="3" t="s">
        <v>17</v>
      </c>
      <c r="K685" s="2" t="str">
        <f>J685*2510.92</f>
        <v>0</v>
      </c>
      <c r="L685" s="5"/>
    </row>
    <row r="686" spans="1:12" customHeight="1" ht="105" outlineLevel="5">
      <c r="A686" s="1"/>
      <c r="B686" s="1">
        <v>827302</v>
      </c>
      <c r="C686" s="1" t="s">
        <v>2319</v>
      </c>
      <c r="D686" s="1" t="s">
        <v>2320</v>
      </c>
      <c r="E686" s="2" t="s">
        <v>2321</v>
      </c>
      <c r="F686" s="2" t="s">
        <v>2318</v>
      </c>
      <c r="G686" s="2">
        <v>0</v>
      </c>
      <c r="H686" s="2">
        <v>0</v>
      </c>
      <c r="I686" s="1">
        <v>10</v>
      </c>
      <c r="J686" s="3" t="s">
        <v>17</v>
      </c>
      <c r="K686" s="2" t="str">
        <f>J686*2510.92</f>
        <v>0</v>
      </c>
      <c r="L686" s="5"/>
    </row>
    <row r="687" spans="1:12" customHeight="1" ht="105" outlineLevel="5">
      <c r="A687" s="1"/>
      <c r="B687" s="1">
        <v>827303</v>
      </c>
      <c r="C687" s="1" t="s">
        <v>2322</v>
      </c>
      <c r="D687" s="1" t="s">
        <v>2323</v>
      </c>
      <c r="E687" s="2" t="s">
        <v>2324</v>
      </c>
      <c r="F687" s="2" t="s">
        <v>2325</v>
      </c>
      <c r="G687" s="2">
        <v>3</v>
      </c>
      <c r="H687" s="2">
        <v>0</v>
      </c>
      <c r="I687" s="1">
        <v>0</v>
      </c>
      <c r="J687" s="3" t="s">
        <v>17</v>
      </c>
      <c r="K687" s="2" t="str">
        <f>J687*2503.35</f>
        <v>0</v>
      </c>
      <c r="L687" s="5"/>
    </row>
    <row r="688" spans="1:12" customHeight="1" ht="105" outlineLevel="5">
      <c r="A688" s="1"/>
      <c r="B688" s="1">
        <v>827304</v>
      </c>
      <c r="C688" s="1" t="s">
        <v>2326</v>
      </c>
      <c r="D688" s="1" t="s">
        <v>2327</v>
      </c>
      <c r="E688" s="2" t="s">
        <v>2328</v>
      </c>
      <c r="F688" s="2" t="s">
        <v>2325</v>
      </c>
      <c r="G688" s="2">
        <v>-7</v>
      </c>
      <c r="H688" s="2">
        <v>0</v>
      </c>
      <c r="I688" s="1">
        <v>10</v>
      </c>
      <c r="J688" s="3" t="s">
        <v>17</v>
      </c>
      <c r="K688" s="2" t="str">
        <f>J688*2503.35</f>
        <v>0</v>
      </c>
      <c r="L688" s="5"/>
    </row>
    <row r="689" spans="1:12" customHeight="1" ht="105" outlineLevel="5">
      <c r="A689" s="1"/>
      <c r="B689" s="1">
        <v>827305</v>
      </c>
      <c r="C689" s="1" t="s">
        <v>2329</v>
      </c>
      <c r="D689" s="1" t="s">
        <v>2330</v>
      </c>
      <c r="E689" s="2" t="s">
        <v>2331</v>
      </c>
      <c r="F689" s="2" t="s">
        <v>2332</v>
      </c>
      <c r="G689" s="2">
        <v>7</v>
      </c>
      <c r="H689" s="2">
        <v>0</v>
      </c>
      <c r="I689" s="1">
        <v>0</v>
      </c>
      <c r="J689" s="3" t="s">
        <v>17</v>
      </c>
      <c r="K689" s="2" t="str">
        <f>J689*2477.62</f>
        <v>0</v>
      </c>
      <c r="L689" s="5"/>
    </row>
    <row r="690" spans="1:12" customHeight="1" ht="105" outlineLevel="5">
      <c r="A690" s="1"/>
      <c r="B690" s="1">
        <v>827306</v>
      </c>
      <c r="C690" s="1" t="s">
        <v>2333</v>
      </c>
      <c r="D690" s="1" t="s">
        <v>2334</v>
      </c>
      <c r="E690" s="2" t="s">
        <v>2335</v>
      </c>
      <c r="F690" s="2" t="s">
        <v>2332</v>
      </c>
      <c r="G690" s="2">
        <v>8</v>
      </c>
      <c r="H690" s="2">
        <v>0</v>
      </c>
      <c r="I690" s="1">
        <v>0</v>
      </c>
      <c r="J690" s="3" t="s">
        <v>17</v>
      </c>
      <c r="K690" s="2" t="str">
        <f>J690*2477.62</f>
        <v>0</v>
      </c>
      <c r="L690" s="5"/>
    </row>
    <row r="691" spans="1:12" customHeight="1" ht="105" outlineLevel="5">
      <c r="A691" s="1"/>
      <c r="B691" s="1">
        <v>827307</v>
      </c>
      <c r="C691" s="1" t="s">
        <v>2336</v>
      </c>
      <c r="D691" s="1" t="s">
        <v>2337</v>
      </c>
      <c r="E691" s="2" t="s">
        <v>2338</v>
      </c>
      <c r="F691" s="2" t="s">
        <v>1343</v>
      </c>
      <c r="G691" s="2">
        <v>0</v>
      </c>
      <c r="H691" s="2">
        <v>0</v>
      </c>
      <c r="I691" s="1">
        <v>10</v>
      </c>
      <c r="J691" s="3" t="s">
        <v>17</v>
      </c>
      <c r="K691" s="2" t="str">
        <f>J691*2539.67</f>
        <v>0</v>
      </c>
      <c r="L691" s="5"/>
    </row>
    <row r="692" spans="1:12" customHeight="1" ht="105" outlineLevel="5">
      <c r="A692" s="1"/>
      <c r="B692" s="1">
        <v>827308</v>
      </c>
      <c r="C692" s="1" t="s">
        <v>2339</v>
      </c>
      <c r="D692" s="1" t="s">
        <v>2340</v>
      </c>
      <c r="E692" s="2" t="s">
        <v>2341</v>
      </c>
      <c r="F692" s="2" t="s">
        <v>1343</v>
      </c>
      <c r="G692" s="2">
        <v>0</v>
      </c>
      <c r="H692" s="2">
        <v>0</v>
      </c>
      <c r="I692" s="1" t="s">
        <v>38</v>
      </c>
      <c r="J692" s="3" t="s">
        <v>17</v>
      </c>
      <c r="K692" s="2" t="str">
        <f>J692*2539.67</f>
        <v>0</v>
      </c>
      <c r="L692" s="5"/>
    </row>
    <row r="693" spans="1:12" customHeight="1" ht="105" outlineLevel="5">
      <c r="A693" s="1"/>
      <c r="B693" s="1">
        <v>827313</v>
      </c>
      <c r="C693" s="1" t="s">
        <v>2342</v>
      </c>
      <c r="D693" s="1" t="s">
        <v>2343</v>
      </c>
      <c r="E693" s="2" t="s">
        <v>2344</v>
      </c>
      <c r="F693" s="2" t="s">
        <v>2345</v>
      </c>
      <c r="G693" s="2" t="s">
        <v>38</v>
      </c>
      <c r="H693" s="2">
        <v>0</v>
      </c>
      <c r="I693" s="1" t="s">
        <v>38</v>
      </c>
      <c r="J693" s="3" t="s">
        <v>17</v>
      </c>
      <c r="K693" s="2" t="str">
        <f>J693*2695.56</f>
        <v>0</v>
      </c>
      <c r="L693" s="5"/>
    </row>
    <row r="694" spans="1:12" customHeight="1" ht="105" outlineLevel="5">
      <c r="A694" s="1"/>
      <c r="B694" s="1">
        <v>827321</v>
      </c>
      <c r="C694" s="1" t="s">
        <v>2346</v>
      </c>
      <c r="D694" s="1" t="s">
        <v>2347</v>
      </c>
      <c r="E694" s="2" t="s">
        <v>2348</v>
      </c>
      <c r="F694" s="2" t="s">
        <v>476</v>
      </c>
      <c r="G694" s="2">
        <v>0</v>
      </c>
      <c r="H694" s="2">
        <v>0</v>
      </c>
      <c r="I694" s="1">
        <v>0</v>
      </c>
      <c r="J694" s="3" t="s">
        <v>17</v>
      </c>
      <c r="K694" s="2" t="str">
        <f>J694*0.00</f>
        <v>0</v>
      </c>
      <c r="L694" s="5"/>
    </row>
    <row r="695" spans="1:12" customHeight="1" ht="105" outlineLevel="5">
      <c r="A695" s="1"/>
      <c r="B695" s="1">
        <v>827326</v>
      </c>
      <c r="C695" s="1" t="s">
        <v>2349</v>
      </c>
      <c r="D695" s="1" t="s">
        <v>2350</v>
      </c>
      <c r="E695" s="2" t="s">
        <v>2351</v>
      </c>
      <c r="F695" s="2" t="s">
        <v>2352</v>
      </c>
      <c r="G695" s="2">
        <v>0</v>
      </c>
      <c r="H695" s="2">
        <v>0</v>
      </c>
      <c r="I695" s="1">
        <v>0</v>
      </c>
      <c r="J695" s="3" t="s">
        <v>17</v>
      </c>
      <c r="K695" s="2" t="str">
        <f>J695*2816.65</f>
        <v>0</v>
      </c>
      <c r="L695" s="5"/>
    </row>
    <row r="696" spans="1:12" customHeight="1" ht="105" outlineLevel="5">
      <c r="A696" s="1"/>
      <c r="B696" s="1">
        <v>827327</v>
      </c>
      <c r="C696" s="1" t="s">
        <v>2353</v>
      </c>
      <c r="D696" s="1" t="s">
        <v>2354</v>
      </c>
      <c r="E696" s="2" t="s">
        <v>2355</v>
      </c>
      <c r="F696" s="2" t="s">
        <v>2356</v>
      </c>
      <c r="G696" s="2">
        <v>7</v>
      </c>
      <c r="H696" s="2">
        <v>0</v>
      </c>
      <c r="I696" s="1">
        <v>0</v>
      </c>
      <c r="J696" s="3" t="s">
        <v>17</v>
      </c>
      <c r="K696" s="2" t="str">
        <f>J696*2809.08</f>
        <v>0</v>
      </c>
      <c r="L696" s="5"/>
    </row>
    <row r="697" spans="1:12" customHeight="1" ht="105" outlineLevel="5">
      <c r="A697" s="1"/>
      <c r="B697" s="1">
        <v>827331</v>
      </c>
      <c r="C697" s="1" t="s">
        <v>2357</v>
      </c>
      <c r="D697" s="1" t="s">
        <v>2358</v>
      </c>
      <c r="E697" s="2" t="s">
        <v>2359</v>
      </c>
      <c r="F697" s="2" t="s">
        <v>2360</v>
      </c>
      <c r="G697" s="2" t="s">
        <v>159</v>
      </c>
      <c r="H697" s="2">
        <v>0</v>
      </c>
      <c r="I697" s="1">
        <v>0</v>
      </c>
      <c r="J697" s="3" t="s">
        <v>17</v>
      </c>
      <c r="K697" s="2" t="str">
        <f>J697*1315.24</f>
        <v>0</v>
      </c>
      <c r="L697" s="5"/>
    </row>
    <row r="698" spans="1:12" customHeight="1" ht="105" outlineLevel="5">
      <c r="A698" s="1"/>
      <c r="B698" s="1">
        <v>827337</v>
      </c>
      <c r="C698" s="1" t="s">
        <v>2361</v>
      </c>
      <c r="D698" s="1" t="s">
        <v>2362</v>
      </c>
      <c r="E698" s="2" t="s">
        <v>2363</v>
      </c>
      <c r="F698" s="2" t="s">
        <v>2364</v>
      </c>
      <c r="G698" s="2" t="s">
        <v>221</v>
      </c>
      <c r="H698" s="2">
        <v>0</v>
      </c>
      <c r="I698" s="1">
        <v>0</v>
      </c>
      <c r="J698" s="3" t="s">
        <v>17</v>
      </c>
      <c r="K698" s="2" t="str">
        <f>J698*1050.38</f>
        <v>0</v>
      </c>
      <c r="L698" s="5"/>
    </row>
    <row r="699" spans="1:12" customHeight="1" ht="105" outlineLevel="5">
      <c r="A699" s="1"/>
      <c r="B699" s="1">
        <v>827339</v>
      </c>
      <c r="C699" s="1" t="s">
        <v>2365</v>
      </c>
      <c r="D699" s="1" t="s">
        <v>2366</v>
      </c>
      <c r="E699" s="2" t="s">
        <v>2367</v>
      </c>
      <c r="F699" s="2" t="s">
        <v>2368</v>
      </c>
      <c r="G699" s="2" t="s">
        <v>221</v>
      </c>
      <c r="H699" s="2">
        <v>0</v>
      </c>
      <c r="I699" s="1">
        <v>0</v>
      </c>
      <c r="J699" s="3" t="s">
        <v>17</v>
      </c>
      <c r="K699" s="2" t="str">
        <f>J699*1221.40</f>
        <v>0</v>
      </c>
      <c r="L699" s="5"/>
    </row>
    <row r="700" spans="1:12" customHeight="1" ht="105" outlineLevel="5">
      <c r="A700" s="1"/>
      <c r="B700" s="1">
        <v>827341</v>
      </c>
      <c r="C700" s="1" t="s">
        <v>2369</v>
      </c>
      <c r="D700" s="1" t="s">
        <v>2370</v>
      </c>
      <c r="E700" s="2" t="s">
        <v>2371</v>
      </c>
      <c r="F700" s="2" t="s">
        <v>2372</v>
      </c>
      <c r="G700" s="2">
        <v>5</v>
      </c>
      <c r="H700" s="2">
        <v>0</v>
      </c>
      <c r="I700" s="1" t="s">
        <v>159</v>
      </c>
      <c r="J700" s="3" t="s">
        <v>17</v>
      </c>
      <c r="K700" s="2" t="str">
        <f>J700*1748.11</f>
        <v>0</v>
      </c>
      <c r="L700" s="5"/>
    </row>
    <row r="701" spans="1:12" customHeight="1" ht="105" outlineLevel="5">
      <c r="A701" s="1"/>
      <c r="B701" s="1">
        <v>827342</v>
      </c>
      <c r="C701" s="1" t="s">
        <v>2373</v>
      </c>
      <c r="D701" s="1" t="s">
        <v>2374</v>
      </c>
      <c r="E701" s="2" t="s">
        <v>2375</v>
      </c>
      <c r="F701" s="2" t="s">
        <v>833</v>
      </c>
      <c r="G701" s="2" t="s">
        <v>221</v>
      </c>
      <c r="H701" s="2">
        <v>0</v>
      </c>
      <c r="I701" s="1">
        <v>0</v>
      </c>
      <c r="J701" s="3" t="s">
        <v>17</v>
      </c>
      <c r="K701" s="2" t="str">
        <f>J701*641.73</f>
        <v>0</v>
      </c>
      <c r="L701" s="5"/>
    </row>
    <row r="702" spans="1:12" outlineLevel="2">
      <c r="A702" s="8" t="s">
        <v>2376</v>
      </c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5"/>
    </row>
    <row r="703" spans="1:12" outlineLevel="3">
      <c r="A703" s="9" t="s">
        <v>2377</v>
      </c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5"/>
    </row>
    <row r="704" spans="1:12" customHeight="1" ht="105" outlineLevel="5">
      <c r="A704" s="1"/>
      <c r="B704" s="1">
        <v>868614</v>
      </c>
      <c r="C704" s="1" t="s">
        <v>2378</v>
      </c>
      <c r="D704" s="1" t="s">
        <v>2379</v>
      </c>
      <c r="E704" s="2" t="s">
        <v>2380</v>
      </c>
      <c r="F704" s="2" t="s">
        <v>2381</v>
      </c>
      <c r="G704" s="2">
        <v>5</v>
      </c>
      <c r="H704" s="2">
        <v>0</v>
      </c>
      <c r="I704" s="1">
        <v>0</v>
      </c>
      <c r="J704" s="3" t="s">
        <v>17</v>
      </c>
      <c r="K704" s="2" t="str">
        <f>J704*2553.29</f>
        <v>0</v>
      </c>
      <c r="L704" s="5"/>
    </row>
    <row r="705" spans="1:12" customHeight="1" ht="105" outlineLevel="5">
      <c r="A705" s="1"/>
      <c r="B705" s="1">
        <v>827911</v>
      </c>
      <c r="C705" s="1" t="s">
        <v>2382</v>
      </c>
      <c r="D705" s="1" t="s">
        <v>2383</v>
      </c>
      <c r="E705" s="2" t="s">
        <v>2384</v>
      </c>
      <c r="F705" s="2" t="s">
        <v>2385</v>
      </c>
      <c r="G705" s="2" t="s">
        <v>38</v>
      </c>
      <c r="H705" s="2">
        <v>0</v>
      </c>
      <c r="I705" s="1">
        <v>0</v>
      </c>
      <c r="J705" s="3" t="s">
        <v>17</v>
      </c>
      <c r="K705" s="2" t="str">
        <f>J705*2406.48</f>
        <v>0</v>
      </c>
      <c r="L705" s="5"/>
    </row>
    <row r="706" spans="1:12" customHeight="1" ht="105" outlineLevel="5">
      <c r="A706" s="1"/>
      <c r="B706" s="1">
        <v>827912</v>
      </c>
      <c r="C706" s="1" t="s">
        <v>2386</v>
      </c>
      <c r="D706" s="1" t="s">
        <v>2387</v>
      </c>
      <c r="E706" s="2" t="s">
        <v>2388</v>
      </c>
      <c r="F706" s="2" t="s">
        <v>2389</v>
      </c>
      <c r="G706" s="2">
        <v>4</v>
      </c>
      <c r="H706" s="2">
        <v>0</v>
      </c>
      <c r="I706" s="1">
        <v>0</v>
      </c>
      <c r="J706" s="3" t="s">
        <v>17</v>
      </c>
      <c r="K706" s="2" t="str">
        <f>J706*2377.73</f>
        <v>0</v>
      </c>
      <c r="L706" s="5"/>
    </row>
    <row r="707" spans="1:12" customHeight="1" ht="105" outlineLevel="5">
      <c r="A707" s="1"/>
      <c r="B707" s="1">
        <v>827913</v>
      </c>
      <c r="C707" s="1" t="s">
        <v>2390</v>
      </c>
      <c r="D707" s="1" t="s">
        <v>2391</v>
      </c>
      <c r="E707" s="2" t="s">
        <v>2392</v>
      </c>
      <c r="F707" s="2" t="s">
        <v>2393</v>
      </c>
      <c r="G707" s="2">
        <v>1</v>
      </c>
      <c r="H707" s="2">
        <v>0</v>
      </c>
      <c r="I707" s="1">
        <v>0</v>
      </c>
      <c r="J707" s="3" t="s">
        <v>17</v>
      </c>
      <c r="K707" s="2" t="str">
        <f>J707*2647.13</f>
        <v>0</v>
      </c>
      <c r="L707" s="5"/>
    </row>
    <row r="708" spans="1:12" customHeight="1" ht="105" outlineLevel="5">
      <c r="A708" s="1"/>
      <c r="B708" s="1">
        <v>827914</v>
      </c>
      <c r="C708" s="1" t="s">
        <v>2394</v>
      </c>
      <c r="D708" s="1" t="s">
        <v>2395</v>
      </c>
      <c r="E708" s="2" t="s">
        <v>2396</v>
      </c>
      <c r="F708" s="2" t="s">
        <v>2397</v>
      </c>
      <c r="G708" s="2" t="s">
        <v>38</v>
      </c>
      <c r="H708" s="2">
        <v>0</v>
      </c>
      <c r="I708" s="1">
        <v>0</v>
      </c>
      <c r="J708" s="3" t="s">
        <v>17</v>
      </c>
      <c r="K708" s="2" t="str">
        <f>J708*1752.65</f>
        <v>0</v>
      </c>
      <c r="L708" s="5"/>
    </row>
    <row r="709" spans="1:12" customHeight="1" ht="105" outlineLevel="5">
      <c r="A709" s="1"/>
      <c r="B709" s="1">
        <v>827915</v>
      </c>
      <c r="C709" s="1" t="s">
        <v>2398</v>
      </c>
      <c r="D709" s="1" t="s">
        <v>2399</v>
      </c>
      <c r="E709" s="2" t="s">
        <v>2400</v>
      </c>
      <c r="F709" s="2" t="s">
        <v>2401</v>
      </c>
      <c r="G709" s="2" t="s">
        <v>38</v>
      </c>
      <c r="H709" s="2">
        <v>0</v>
      </c>
      <c r="I709" s="1">
        <v>0</v>
      </c>
      <c r="J709" s="3" t="s">
        <v>17</v>
      </c>
      <c r="K709" s="2" t="str">
        <f>J709*2613.84</f>
        <v>0</v>
      </c>
      <c r="L709" s="5"/>
    </row>
    <row r="710" spans="1:12" customHeight="1" ht="105" outlineLevel="5">
      <c r="A710" s="1"/>
      <c r="B710" s="1">
        <v>827916</v>
      </c>
      <c r="C710" s="1" t="s">
        <v>2402</v>
      </c>
      <c r="D710" s="1" t="s">
        <v>2403</v>
      </c>
      <c r="E710" s="2" t="s">
        <v>2404</v>
      </c>
      <c r="F710" s="2" t="s">
        <v>2401</v>
      </c>
      <c r="G710" s="2">
        <v>5</v>
      </c>
      <c r="H710" s="2">
        <v>0</v>
      </c>
      <c r="I710" s="1">
        <v>0</v>
      </c>
      <c r="J710" s="3" t="s">
        <v>17</v>
      </c>
      <c r="K710" s="2" t="str">
        <f>J710*2613.84</f>
        <v>0</v>
      </c>
      <c r="L710" s="5"/>
    </row>
    <row r="711" spans="1:12" customHeight="1" ht="105" outlineLevel="5">
      <c r="A711" s="1"/>
      <c r="B711" s="1">
        <v>827917</v>
      </c>
      <c r="C711" s="1" t="s">
        <v>2405</v>
      </c>
      <c r="D711" s="1" t="s">
        <v>2406</v>
      </c>
      <c r="E711" s="2" t="s">
        <v>2407</v>
      </c>
      <c r="F711" s="2" t="s">
        <v>2401</v>
      </c>
      <c r="G711" s="2">
        <v>4</v>
      </c>
      <c r="H711" s="2">
        <v>0</v>
      </c>
      <c r="I711" s="1">
        <v>0</v>
      </c>
      <c r="J711" s="3" t="s">
        <v>17</v>
      </c>
      <c r="K711" s="2" t="str">
        <f>J711*2613.84</f>
        <v>0</v>
      </c>
      <c r="L711" s="5"/>
    </row>
    <row r="712" spans="1:12" customHeight="1" ht="105" outlineLevel="5">
      <c r="A712" s="1"/>
      <c r="B712" s="1">
        <v>827918</v>
      </c>
      <c r="C712" s="1" t="s">
        <v>2408</v>
      </c>
      <c r="D712" s="1" t="s">
        <v>2409</v>
      </c>
      <c r="E712" s="2" t="s">
        <v>2410</v>
      </c>
      <c r="F712" s="2" t="s">
        <v>2401</v>
      </c>
      <c r="G712" s="2">
        <v>10</v>
      </c>
      <c r="H712" s="2">
        <v>0</v>
      </c>
      <c r="I712" s="1">
        <v>0</v>
      </c>
      <c r="J712" s="3" t="s">
        <v>17</v>
      </c>
      <c r="K712" s="2" t="str">
        <f>J712*2613.84</f>
        <v>0</v>
      </c>
      <c r="L712" s="5"/>
    </row>
    <row r="713" spans="1:12" customHeight="1" ht="105" outlineLevel="5">
      <c r="A713" s="1"/>
      <c r="B713" s="1">
        <v>827919</v>
      </c>
      <c r="C713" s="1" t="s">
        <v>2411</v>
      </c>
      <c r="D713" s="1" t="s">
        <v>2412</v>
      </c>
      <c r="E713" s="2" t="s">
        <v>2413</v>
      </c>
      <c r="F713" s="2" t="s">
        <v>1336</v>
      </c>
      <c r="G713" s="2">
        <v>1</v>
      </c>
      <c r="H713" s="2">
        <v>0</v>
      </c>
      <c r="I713" s="1">
        <v>0</v>
      </c>
      <c r="J713" s="3" t="s">
        <v>17</v>
      </c>
      <c r="K713" s="2" t="str">
        <f>J713*2753.08</f>
        <v>0</v>
      </c>
      <c r="L713" s="5"/>
    </row>
    <row r="714" spans="1:12" customHeight="1" ht="105" outlineLevel="5">
      <c r="A714" s="1"/>
      <c r="B714" s="1">
        <v>827920</v>
      </c>
      <c r="C714" s="1" t="s">
        <v>2414</v>
      </c>
      <c r="D714" s="1" t="s">
        <v>2415</v>
      </c>
      <c r="E714" s="2" t="s">
        <v>2416</v>
      </c>
      <c r="F714" s="2" t="s">
        <v>2417</v>
      </c>
      <c r="G714" s="2">
        <v>10</v>
      </c>
      <c r="H714" s="2">
        <v>0</v>
      </c>
      <c r="I714" s="1">
        <v>0</v>
      </c>
      <c r="J714" s="3" t="s">
        <v>17</v>
      </c>
      <c r="K714" s="2" t="str">
        <f>J714*5761.94</f>
        <v>0</v>
      </c>
      <c r="L714" s="5"/>
    </row>
    <row r="715" spans="1:12" customHeight="1" ht="105" outlineLevel="5">
      <c r="A715" s="1"/>
      <c r="B715" s="1">
        <v>827921</v>
      </c>
      <c r="C715" s="1" t="s">
        <v>2418</v>
      </c>
      <c r="D715" s="1" t="s">
        <v>2419</v>
      </c>
      <c r="E715" s="2" t="s">
        <v>2420</v>
      </c>
      <c r="F715" s="2" t="s">
        <v>2421</v>
      </c>
      <c r="G715" s="2" t="s">
        <v>159</v>
      </c>
      <c r="H715" s="2">
        <v>0</v>
      </c>
      <c r="I715" s="1">
        <v>0</v>
      </c>
      <c r="J715" s="3" t="s">
        <v>17</v>
      </c>
      <c r="K715" s="2" t="str">
        <f>J715*1816.21</f>
        <v>0</v>
      </c>
      <c r="L715" s="5"/>
    </row>
    <row r="716" spans="1:12" customHeight="1" ht="105" outlineLevel="5">
      <c r="A716" s="1"/>
      <c r="B716" s="1">
        <v>827922</v>
      </c>
      <c r="C716" s="1" t="s">
        <v>2422</v>
      </c>
      <c r="D716" s="1" t="s">
        <v>2423</v>
      </c>
      <c r="E716" s="2" t="s">
        <v>2424</v>
      </c>
      <c r="F716" s="2" t="s">
        <v>2425</v>
      </c>
      <c r="G716" s="2" t="s">
        <v>159</v>
      </c>
      <c r="H716" s="2">
        <v>0</v>
      </c>
      <c r="I716" s="1">
        <v>0</v>
      </c>
      <c r="J716" s="3" t="s">
        <v>17</v>
      </c>
      <c r="K716" s="2" t="str">
        <f>J716*1442.38</f>
        <v>0</v>
      </c>
      <c r="L716" s="5"/>
    </row>
    <row r="717" spans="1:12" customHeight="1" ht="105" outlineLevel="5">
      <c r="A717" s="1"/>
      <c r="B717" s="1">
        <v>833059</v>
      </c>
      <c r="C717" s="1" t="s">
        <v>2426</v>
      </c>
      <c r="D717" s="1" t="s">
        <v>2427</v>
      </c>
      <c r="E717" s="2" t="s">
        <v>2428</v>
      </c>
      <c r="F717" s="2" t="s">
        <v>2429</v>
      </c>
      <c r="G717" s="2">
        <v>0</v>
      </c>
      <c r="H717" s="2">
        <v>0</v>
      </c>
      <c r="I717" s="1">
        <v>0</v>
      </c>
      <c r="J717" s="3" t="s">
        <v>17</v>
      </c>
      <c r="K717" s="2" t="str">
        <f>J717*2792.43</f>
        <v>0</v>
      </c>
      <c r="L717" s="5"/>
    </row>
    <row r="718" spans="1:12" customHeight="1" ht="105" outlineLevel="5">
      <c r="A718" s="1"/>
      <c r="B718" s="1">
        <v>834700</v>
      </c>
      <c r="C718" s="1" t="s">
        <v>2430</v>
      </c>
      <c r="D718" s="1" t="s">
        <v>2431</v>
      </c>
      <c r="E718" s="2" t="s">
        <v>2432</v>
      </c>
      <c r="F718" s="2" t="s">
        <v>2401</v>
      </c>
      <c r="G718" s="2" t="s">
        <v>38</v>
      </c>
      <c r="H718" s="2">
        <v>0</v>
      </c>
      <c r="I718" s="1">
        <v>0</v>
      </c>
      <c r="J718" s="3" t="s">
        <v>17</v>
      </c>
      <c r="K718" s="2" t="str">
        <f>J718*2613.84</f>
        <v>0</v>
      </c>
      <c r="L718" s="5"/>
    </row>
    <row r="719" spans="1:12" outlineLevel="3">
      <c r="A719" s="9" t="s">
        <v>2433</v>
      </c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5"/>
    </row>
    <row r="720" spans="1:12" customHeight="1" ht="105" outlineLevel="5">
      <c r="A720" s="1"/>
      <c r="B720" s="1">
        <v>827888</v>
      </c>
      <c r="C720" s="1" t="s">
        <v>2434</v>
      </c>
      <c r="D720" s="1" t="s">
        <v>2435</v>
      </c>
      <c r="E720" s="2" t="s">
        <v>2436</v>
      </c>
      <c r="F720" s="2" t="s">
        <v>2437</v>
      </c>
      <c r="G720" s="2">
        <v>9</v>
      </c>
      <c r="H720" s="2">
        <v>0</v>
      </c>
      <c r="I720" s="1">
        <v>0</v>
      </c>
      <c r="J720" s="3" t="s">
        <v>17</v>
      </c>
      <c r="K720" s="2" t="str">
        <f>J720*1569.51</f>
        <v>0</v>
      </c>
      <c r="L720" s="5"/>
    </row>
    <row r="721" spans="1:12" customHeight="1" ht="105" outlineLevel="5">
      <c r="A721" s="1"/>
      <c r="B721" s="1">
        <v>827889</v>
      </c>
      <c r="C721" s="1" t="s">
        <v>2438</v>
      </c>
      <c r="D721" s="1" t="s">
        <v>2439</v>
      </c>
      <c r="E721" s="2" t="s">
        <v>2440</v>
      </c>
      <c r="F721" s="2" t="s">
        <v>2441</v>
      </c>
      <c r="G721" s="2">
        <v>6</v>
      </c>
      <c r="H721" s="2">
        <v>0</v>
      </c>
      <c r="I721" s="1">
        <v>0</v>
      </c>
      <c r="J721" s="3" t="s">
        <v>17</v>
      </c>
      <c r="K721" s="2" t="str">
        <f>J721*1788.97</f>
        <v>0</v>
      </c>
      <c r="L721" s="5"/>
    </row>
    <row r="722" spans="1:12" customHeight="1" ht="105" outlineLevel="5">
      <c r="A722" s="1"/>
      <c r="B722" s="1">
        <v>827890</v>
      </c>
      <c r="C722" s="1" t="s">
        <v>2442</v>
      </c>
      <c r="D722" s="1" t="s">
        <v>2443</v>
      </c>
      <c r="E722" s="2" t="s">
        <v>2444</v>
      </c>
      <c r="F722" s="2" t="s">
        <v>2441</v>
      </c>
      <c r="G722" s="2">
        <v>5</v>
      </c>
      <c r="H722" s="2">
        <v>0</v>
      </c>
      <c r="I722" s="1">
        <v>0</v>
      </c>
      <c r="J722" s="3" t="s">
        <v>17</v>
      </c>
      <c r="K722" s="2" t="str">
        <f>J722*1788.97</f>
        <v>0</v>
      </c>
      <c r="L722" s="5"/>
    </row>
    <row r="723" spans="1:12" customHeight="1" ht="105" outlineLevel="5">
      <c r="A723" s="1"/>
      <c r="B723" s="1">
        <v>827891</v>
      </c>
      <c r="C723" s="1" t="s">
        <v>2445</v>
      </c>
      <c r="D723" s="1" t="s">
        <v>2446</v>
      </c>
      <c r="E723" s="2" t="s">
        <v>2447</v>
      </c>
      <c r="F723" s="2" t="s">
        <v>2448</v>
      </c>
      <c r="G723" s="2" t="s">
        <v>38</v>
      </c>
      <c r="H723" s="2">
        <v>0</v>
      </c>
      <c r="I723" s="1">
        <v>0</v>
      </c>
      <c r="J723" s="3" t="s">
        <v>17</v>
      </c>
      <c r="K723" s="2" t="str">
        <f>J723*1807.13</f>
        <v>0</v>
      </c>
      <c r="L723" s="5"/>
    </row>
    <row r="724" spans="1:12" customHeight="1" ht="105" outlineLevel="5">
      <c r="A724" s="1"/>
      <c r="B724" s="1">
        <v>827892</v>
      </c>
      <c r="C724" s="1" t="s">
        <v>2449</v>
      </c>
      <c r="D724" s="1" t="s">
        <v>2450</v>
      </c>
      <c r="E724" s="2" t="s">
        <v>2451</v>
      </c>
      <c r="F724" s="2" t="s">
        <v>2452</v>
      </c>
      <c r="G724" s="2">
        <v>2</v>
      </c>
      <c r="H724" s="2">
        <v>0</v>
      </c>
      <c r="I724" s="1">
        <v>0</v>
      </c>
      <c r="J724" s="3" t="s">
        <v>17</v>
      </c>
      <c r="K724" s="2" t="str">
        <f>J724*2392.86</f>
        <v>0</v>
      </c>
      <c r="L724" s="5"/>
    </row>
    <row r="725" spans="1:12" customHeight="1" ht="105" outlineLevel="5">
      <c r="A725" s="1"/>
      <c r="B725" s="1">
        <v>827893</v>
      </c>
      <c r="C725" s="1" t="s">
        <v>2453</v>
      </c>
      <c r="D725" s="1" t="s">
        <v>2454</v>
      </c>
      <c r="E725" s="2" t="s">
        <v>2455</v>
      </c>
      <c r="F725" s="2" t="s">
        <v>2456</v>
      </c>
      <c r="G725" s="2" t="s">
        <v>159</v>
      </c>
      <c r="H725" s="2">
        <v>0</v>
      </c>
      <c r="I725" s="1">
        <v>0</v>
      </c>
      <c r="J725" s="3" t="s">
        <v>17</v>
      </c>
      <c r="K725" s="2" t="str">
        <f>J725*1914.59</f>
        <v>0</v>
      </c>
      <c r="L725" s="5"/>
    </row>
    <row r="726" spans="1:12" customHeight="1" ht="105" outlineLevel="5">
      <c r="A726" s="1"/>
      <c r="B726" s="1">
        <v>827894</v>
      </c>
      <c r="C726" s="1" t="s">
        <v>2457</v>
      </c>
      <c r="D726" s="1" t="s">
        <v>2458</v>
      </c>
      <c r="E726" s="2" t="s">
        <v>2459</v>
      </c>
      <c r="F726" s="2" t="s">
        <v>2460</v>
      </c>
      <c r="G726" s="2">
        <v>4</v>
      </c>
      <c r="H726" s="2">
        <v>0</v>
      </c>
      <c r="I726" s="1">
        <v>0</v>
      </c>
      <c r="J726" s="3" t="s">
        <v>17</v>
      </c>
      <c r="K726" s="2" t="str">
        <f>J726*1566.48</f>
        <v>0</v>
      </c>
      <c r="L726" s="5"/>
    </row>
    <row r="727" spans="1:12" customHeight="1" ht="105" outlineLevel="5">
      <c r="A727" s="1"/>
      <c r="B727" s="1">
        <v>827895</v>
      </c>
      <c r="C727" s="1" t="s">
        <v>2461</v>
      </c>
      <c r="D727" s="1" t="s">
        <v>2462</v>
      </c>
      <c r="E727" s="2" t="s">
        <v>2463</v>
      </c>
      <c r="F727" s="2" t="s">
        <v>2464</v>
      </c>
      <c r="G727" s="2">
        <v>6</v>
      </c>
      <c r="H727" s="2">
        <v>0</v>
      </c>
      <c r="I727" s="1">
        <v>0</v>
      </c>
      <c r="J727" s="3" t="s">
        <v>17</v>
      </c>
      <c r="K727" s="2" t="str">
        <f>J727*1366.81</f>
        <v>0</v>
      </c>
      <c r="L727" s="5"/>
    </row>
    <row r="728" spans="1:12" customHeight="1" ht="105" outlineLevel="5">
      <c r="A728" s="1"/>
      <c r="B728" s="1">
        <v>827896</v>
      </c>
      <c r="C728" s="1" t="s">
        <v>2465</v>
      </c>
      <c r="D728" s="1" t="s">
        <v>2466</v>
      </c>
      <c r="E728" s="2" t="s">
        <v>2467</v>
      </c>
      <c r="F728" s="2" t="s">
        <v>2468</v>
      </c>
      <c r="G728" s="2">
        <v>0</v>
      </c>
      <c r="H728" s="2">
        <v>0</v>
      </c>
      <c r="I728" s="1">
        <v>0</v>
      </c>
      <c r="J728" s="3" t="s">
        <v>17</v>
      </c>
      <c r="K728" s="2" t="str">
        <f>J728*2131.02</f>
        <v>0</v>
      </c>
      <c r="L728" s="5"/>
    </row>
    <row r="729" spans="1:12" customHeight="1" ht="105" outlineLevel="5">
      <c r="A729" s="1"/>
      <c r="B729" s="1">
        <v>827897</v>
      </c>
      <c r="C729" s="1" t="s">
        <v>2469</v>
      </c>
      <c r="D729" s="1" t="s">
        <v>2470</v>
      </c>
      <c r="E729" s="2" t="s">
        <v>2471</v>
      </c>
      <c r="F729" s="2" t="s">
        <v>2472</v>
      </c>
      <c r="G729" s="2" t="s">
        <v>38</v>
      </c>
      <c r="H729" s="2">
        <v>0</v>
      </c>
      <c r="I729" s="1">
        <v>0</v>
      </c>
      <c r="J729" s="3" t="s">
        <v>17</v>
      </c>
      <c r="K729" s="2" t="str">
        <f>J729*2421.62</f>
        <v>0</v>
      </c>
      <c r="L729" s="5"/>
    </row>
    <row r="730" spans="1:12" customHeight="1" ht="105" outlineLevel="5">
      <c r="A730" s="1"/>
      <c r="B730" s="1">
        <v>827898</v>
      </c>
      <c r="C730" s="1" t="s">
        <v>2473</v>
      </c>
      <c r="D730" s="1" t="s">
        <v>2474</v>
      </c>
      <c r="E730" s="2" t="s">
        <v>2475</v>
      </c>
      <c r="F730" s="2" t="s">
        <v>2472</v>
      </c>
      <c r="G730" s="2">
        <v>10</v>
      </c>
      <c r="H730" s="2">
        <v>0</v>
      </c>
      <c r="I730" s="1">
        <v>0</v>
      </c>
      <c r="J730" s="3" t="s">
        <v>17</v>
      </c>
      <c r="K730" s="2" t="str">
        <f>J730*2421.62</f>
        <v>0</v>
      </c>
      <c r="L730" s="5"/>
    </row>
    <row r="731" spans="1:12" customHeight="1" ht="105" outlineLevel="5">
      <c r="A731" s="1"/>
      <c r="B731" s="1">
        <v>827899</v>
      </c>
      <c r="C731" s="1" t="s">
        <v>2476</v>
      </c>
      <c r="D731" s="1" t="s">
        <v>2477</v>
      </c>
      <c r="E731" s="2" t="s">
        <v>2478</v>
      </c>
      <c r="F731" s="2" t="s">
        <v>2472</v>
      </c>
      <c r="G731" s="2">
        <v>6</v>
      </c>
      <c r="H731" s="2">
        <v>0</v>
      </c>
      <c r="I731" s="1">
        <v>0</v>
      </c>
      <c r="J731" s="3" t="s">
        <v>17</v>
      </c>
      <c r="K731" s="2" t="str">
        <f>J731*2421.62</f>
        <v>0</v>
      </c>
      <c r="L731" s="5"/>
    </row>
    <row r="732" spans="1:12" customHeight="1" ht="105" outlineLevel="5">
      <c r="A732" s="1"/>
      <c r="B732" s="1">
        <v>827900</v>
      </c>
      <c r="C732" s="1" t="s">
        <v>2479</v>
      </c>
      <c r="D732" s="1" t="s">
        <v>2480</v>
      </c>
      <c r="E732" s="2" t="s">
        <v>2481</v>
      </c>
      <c r="F732" s="2" t="s">
        <v>2482</v>
      </c>
      <c r="G732" s="2">
        <v>6</v>
      </c>
      <c r="H732" s="2">
        <v>0</v>
      </c>
      <c r="I732" s="1">
        <v>0</v>
      </c>
      <c r="J732" s="3" t="s">
        <v>17</v>
      </c>
      <c r="K732" s="2" t="str">
        <f>J732*2520.00</f>
        <v>0</v>
      </c>
      <c r="L732" s="5"/>
    </row>
    <row r="733" spans="1:12" customHeight="1" ht="105" outlineLevel="5">
      <c r="A733" s="1"/>
      <c r="B733" s="1">
        <v>827901</v>
      </c>
      <c r="C733" s="1" t="s">
        <v>2483</v>
      </c>
      <c r="D733" s="1" t="s">
        <v>2484</v>
      </c>
      <c r="E733" s="2" t="s">
        <v>2485</v>
      </c>
      <c r="F733" s="2" t="s">
        <v>2486</v>
      </c>
      <c r="G733" s="2">
        <v>0</v>
      </c>
      <c r="H733" s="2">
        <v>0</v>
      </c>
      <c r="I733" s="1">
        <v>0</v>
      </c>
      <c r="J733" s="3" t="s">
        <v>17</v>
      </c>
      <c r="K733" s="2" t="str">
        <f>J733*2276.32</f>
        <v>0</v>
      </c>
      <c r="L733" s="5"/>
    </row>
    <row r="734" spans="1:12" customHeight="1" ht="105" outlineLevel="5">
      <c r="A734" s="1"/>
      <c r="B734" s="1">
        <v>827902</v>
      </c>
      <c r="C734" s="1" t="s">
        <v>2487</v>
      </c>
      <c r="D734" s="1" t="s">
        <v>2488</v>
      </c>
      <c r="E734" s="2" t="s">
        <v>2489</v>
      </c>
      <c r="F734" s="2" t="s">
        <v>2486</v>
      </c>
      <c r="G734" s="2">
        <v>5</v>
      </c>
      <c r="H734" s="2">
        <v>0</v>
      </c>
      <c r="I734" s="1">
        <v>0</v>
      </c>
      <c r="J734" s="3" t="s">
        <v>17</v>
      </c>
      <c r="K734" s="2" t="str">
        <f>J734*2276.32</f>
        <v>0</v>
      </c>
      <c r="L734" s="5"/>
    </row>
    <row r="735" spans="1:12" customHeight="1" ht="105" outlineLevel="5">
      <c r="A735" s="1"/>
      <c r="B735" s="1">
        <v>827903</v>
      </c>
      <c r="C735" s="1" t="s">
        <v>2490</v>
      </c>
      <c r="D735" s="1" t="s">
        <v>2491</v>
      </c>
      <c r="E735" s="2" t="s">
        <v>2492</v>
      </c>
      <c r="F735" s="2" t="s">
        <v>2493</v>
      </c>
      <c r="G735" s="2">
        <v>5</v>
      </c>
      <c r="H735" s="2">
        <v>0</v>
      </c>
      <c r="I735" s="1">
        <v>0</v>
      </c>
      <c r="J735" s="3" t="s">
        <v>17</v>
      </c>
      <c r="K735" s="2" t="str">
        <f>J735*1860.11</f>
        <v>0</v>
      </c>
      <c r="L735" s="5"/>
    </row>
    <row r="736" spans="1:12" customHeight="1" ht="105" outlineLevel="5">
      <c r="A736" s="1"/>
      <c r="B736" s="1">
        <v>827904</v>
      </c>
      <c r="C736" s="1" t="s">
        <v>2494</v>
      </c>
      <c r="D736" s="1" t="s">
        <v>2495</v>
      </c>
      <c r="E736" s="2" t="s">
        <v>2496</v>
      </c>
      <c r="F736" s="2" t="s">
        <v>2497</v>
      </c>
      <c r="G736" s="2">
        <v>6</v>
      </c>
      <c r="H736" s="2">
        <v>0</v>
      </c>
      <c r="I736" s="1">
        <v>0</v>
      </c>
      <c r="J736" s="3" t="s">
        <v>17</v>
      </c>
      <c r="K736" s="2" t="str">
        <f>J736*2117.40</f>
        <v>0</v>
      </c>
      <c r="L736" s="5"/>
    </row>
    <row r="737" spans="1:12" customHeight="1" ht="105" outlineLevel="5">
      <c r="A737" s="1"/>
      <c r="B737" s="1">
        <v>827905</v>
      </c>
      <c r="C737" s="1" t="s">
        <v>2498</v>
      </c>
      <c r="D737" s="1" t="s">
        <v>2499</v>
      </c>
      <c r="E737" s="2" t="s">
        <v>2500</v>
      </c>
      <c r="F737" s="2" t="s">
        <v>2501</v>
      </c>
      <c r="G737" s="2" t="s">
        <v>38</v>
      </c>
      <c r="H737" s="2">
        <v>0</v>
      </c>
      <c r="I737" s="1">
        <v>0</v>
      </c>
      <c r="J737" s="3" t="s">
        <v>17</v>
      </c>
      <c r="K737" s="2" t="str">
        <f>J737*1988.75</f>
        <v>0</v>
      </c>
      <c r="L737" s="5"/>
    </row>
    <row r="738" spans="1:12" customHeight="1" ht="105" outlineLevel="5">
      <c r="A738" s="1"/>
      <c r="B738" s="1">
        <v>827906</v>
      </c>
      <c r="C738" s="1" t="s">
        <v>2502</v>
      </c>
      <c r="D738" s="1" t="s">
        <v>2503</v>
      </c>
      <c r="E738" s="2" t="s">
        <v>2504</v>
      </c>
      <c r="F738" s="2" t="s">
        <v>2505</v>
      </c>
      <c r="G738" s="2">
        <v>0</v>
      </c>
      <c r="H738" s="2">
        <v>0</v>
      </c>
      <c r="I738" s="1">
        <v>0</v>
      </c>
      <c r="J738" s="3" t="s">
        <v>17</v>
      </c>
      <c r="K738" s="2" t="str">
        <f>J738*1622.48</f>
        <v>0</v>
      </c>
      <c r="L738" s="5"/>
    </row>
    <row r="739" spans="1:12" customHeight="1" ht="105" outlineLevel="5">
      <c r="A739" s="1"/>
      <c r="B739" s="1">
        <v>827907</v>
      </c>
      <c r="C739" s="1" t="s">
        <v>2506</v>
      </c>
      <c r="D739" s="1" t="s">
        <v>2507</v>
      </c>
      <c r="E739" s="2" t="s">
        <v>2508</v>
      </c>
      <c r="F739" s="2" t="s">
        <v>2505</v>
      </c>
      <c r="G739" s="2">
        <v>4</v>
      </c>
      <c r="H739" s="2">
        <v>0</v>
      </c>
      <c r="I739" s="1">
        <v>0</v>
      </c>
      <c r="J739" s="3" t="s">
        <v>17</v>
      </c>
      <c r="K739" s="2" t="str">
        <f>J739*1622.48</f>
        <v>0</v>
      </c>
      <c r="L739" s="5"/>
    </row>
    <row r="740" spans="1:12" customHeight="1" ht="105" outlineLevel="5">
      <c r="A740" s="1"/>
      <c r="B740" s="1">
        <v>827908</v>
      </c>
      <c r="C740" s="1" t="s">
        <v>2509</v>
      </c>
      <c r="D740" s="1" t="s">
        <v>2510</v>
      </c>
      <c r="E740" s="2" t="s">
        <v>2511</v>
      </c>
      <c r="F740" s="2" t="s">
        <v>2360</v>
      </c>
      <c r="G740" s="2" t="s">
        <v>38</v>
      </c>
      <c r="H740" s="2">
        <v>0</v>
      </c>
      <c r="I740" s="1">
        <v>0</v>
      </c>
      <c r="J740" s="3" t="s">
        <v>17</v>
      </c>
      <c r="K740" s="2" t="str">
        <f>J740*1315.24</f>
        <v>0</v>
      </c>
      <c r="L740" s="5"/>
    </row>
    <row r="741" spans="1:12" customHeight="1" ht="105" outlineLevel="5">
      <c r="A741" s="1"/>
      <c r="B741" s="1">
        <v>827909</v>
      </c>
      <c r="C741" s="1" t="s">
        <v>2512</v>
      </c>
      <c r="D741" s="1" t="s">
        <v>2513</v>
      </c>
      <c r="E741" s="2" t="s">
        <v>2514</v>
      </c>
      <c r="F741" s="2" t="s">
        <v>2360</v>
      </c>
      <c r="G741" s="2" t="s">
        <v>38</v>
      </c>
      <c r="H741" s="2">
        <v>0</v>
      </c>
      <c r="I741" s="1">
        <v>0</v>
      </c>
      <c r="J741" s="3" t="s">
        <v>17</v>
      </c>
      <c r="K741" s="2" t="str">
        <f>J741*1315.24</f>
        <v>0</v>
      </c>
      <c r="L741" s="5"/>
    </row>
    <row r="742" spans="1:12" customHeight="1" ht="105" outlineLevel="5">
      <c r="A742" s="1"/>
      <c r="B742" s="1">
        <v>827910</v>
      </c>
      <c r="C742" s="1" t="s">
        <v>2515</v>
      </c>
      <c r="D742" s="1" t="s">
        <v>2516</v>
      </c>
      <c r="E742" s="2" t="s">
        <v>2517</v>
      </c>
      <c r="F742" s="2" t="s">
        <v>2518</v>
      </c>
      <c r="G742" s="2">
        <v>6</v>
      </c>
      <c r="H742" s="2">
        <v>0</v>
      </c>
      <c r="I742" s="1">
        <v>0</v>
      </c>
      <c r="J742" s="3" t="s">
        <v>17</v>
      </c>
      <c r="K742" s="2" t="str">
        <f>J742*3178.38</f>
        <v>0</v>
      </c>
      <c r="L742" s="5"/>
    </row>
    <row r="743" spans="1:12" customHeight="1" ht="105" outlineLevel="5">
      <c r="A743" s="1"/>
      <c r="B743" s="1">
        <v>827923</v>
      </c>
      <c r="C743" s="1" t="s">
        <v>2519</v>
      </c>
      <c r="D743" s="1" t="s">
        <v>2520</v>
      </c>
      <c r="E743" s="2" t="s">
        <v>2521</v>
      </c>
      <c r="F743" s="2" t="s">
        <v>2522</v>
      </c>
      <c r="G743" s="2" t="s">
        <v>159</v>
      </c>
      <c r="H743" s="2">
        <v>0</v>
      </c>
      <c r="I743" s="1">
        <v>0</v>
      </c>
      <c r="J743" s="3" t="s">
        <v>17</v>
      </c>
      <c r="K743" s="2" t="str">
        <f>J743*665.95</f>
        <v>0</v>
      </c>
      <c r="L743" s="5"/>
    </row>
    <row r="744" spans="1:12" customHeight="1" ht="105" outlineLevel="5">
      <c r="A744" s="1"/>
      <c r="B744" s="1">
        <v>827924</v>
      </c>
      <c r="C744" s="1" t="s">
        <v>2523</v>
      </c>
      <c r="D744" s="1" t="s">
        <v>2524</v>
      </c>
      <c r="E744" s="2" t="s">
        <v>2525</v>
      </c>
      <c r="F744" s="2" t="s">
        <v>2526</v>
      </c>
      <c r="G744" s="2" t="s">
        <v>159</v>
      </c>
      <c r="H744" s="2">
        <v>0</v>
      </c>
      <c r="I744" s="1">
        <v>0</v>
      </c>
      <c r="J744" s="3" t="s">
        <v>17</v>
      </c>
      <c r="K744" s="2" t="str">
        <f>J744*879.35</f>
        <v>0</v>
      </c>
      <c r="L744" s="5"/>
    </row>
    <row r="745" spans="1:12" customHeight="1" ht="105" outlineLevel="5">
      <c r="A745" s="1"/>
      <c r="B745" s="1">
        <v>827925</v>
      </c>
      <c r="C745" s="1" t="s">
        <v>2527</v>
      </c>
      <c r="D745" s="1" t="s">
        <v>2528</v>
      </c>
      <c r="E745" s="2" t="s">
        <v>2529</v>
      </c>
      <c r="F745" s="2" t="s">
        <v>2530</v>
      </c>
      <c r="G745" s="2" t="s">
        <v>38</v>
      </c>
      <c r="H745" s="2">
        <v>0</v>
      </c>
      <c r="I745" s="1">
        <v>0</v>
      </c>
      <c r="J745" s="3" t="s">
        <v>17</v>
      </c>
      <c r="K745" s="2" t="str">
        <f>J745*1325.84</f>
        <v>0</v>
      </c>
      <c r="L745" s="5"/>
    </row>
    <row r="746" spans="1:12" customHeight="1" ht="105" outlineLevel="5">
      <c r="A746" s="1"/>
      <c r="B746" s="1">
        <v>827926</v>
      </c>
      <c r="C746" s="1" t="s">
        <v>2531</v>
      </c>
      <c r="D746" s="1" t="s">
        <v>2532</v>
      </c>
      <c r="E746" s="2" t="s">
        <v>2533</v>
      </c>
      <c r="F746" s="2" t="s">
        <v>476</v>
      </c>
      <c r="G746" s="2">
        <v>0</v>
      </c>
      <c r="H746" s="2">
        <v>0</v>
      </c>
      <c r="I746" s="1">
        <v>0</v>
      </c>
      <c r="J746" s="3" t="s">
        <v>17</v>
      </c>
      <c r="K746" s="2" t="str">
        <f>J746*0.00</f>
        <v>0</v>
      </c>
      <c r="L746" s="5"/>
    </row>
    <row r="747" spans="1:12" customHeight="1" ht="105" outlineLevel="5">
      <c r="A747" s="1"/>
      <c r="B747" s="1">
        <v>827928</v>
      </c>
      <c r="C747" s="1" t="s">
        <v>2534</v>
      </c>
      <c r="D747" s="1" t="s">
        <v>2535</v>
      </c>
      <c r="E747" s="2" t="s">
        <v>2536</v>
      </c>
      <c r="F747" s="2" t="s">
        <v>2537</v>
      </c>
      <c r="G747" s="2" t="s">
        <v>159</v>
      </c>
      <c r="H747" s="2">
        <v>0</v>
      </c>
      <c r="I747" s="1">
        <v>0</v>
      </c>
      <c r="J747" s="3" t="s">
        <v>17</v>
      </c>
      <c r="K747" s="2" t="str">
        <f>J747*703.78</f>
        <v>0</v>
      </c>
      <c r="L747" s="5"/>
    </row>
    <row r="748" spans="1:12" customHeight="1" ht="105" outlineLevel="5">
      <c r="A748" s="1"/>
      <c r="B748" s="1">
        <v>827929</v>
      </c>
      <c r="C748" s="1" t="s">
        <v>2538</v>
      </c>
      <c r="D748" s="1" t="s">
        <v>2539</v>
      </c>
      <c r="E748" s="2" t="s">
        <v>2540</v>
      </c>
      <c r="F748" s="2" t="s">
        <v>2541</v>
      </c>
      <c r="G748" s="2" t="s">
        <v>159</v>
      </c>
      <c r="H748" s="2">
        <v>0</v>
      </c>
      <c r="I748" s="1">
        <v>0</v>
      </c>
      <c r="J748" s="3" t="s">
        <v>17</v>
      </c>
      <c r="K748" s="2" t="str">
        <f>J748*658.38</f>
        <v>0</v>
      </c>
      <c r="L748" s="5"/>
    </row>
    <row r="749" spans="1:12" customHeight="1" ht="105" outlineLevel="5">
      <c r="A749" s="1"/>
      <c r="B749" s="1">
        <v>827931</v>
      </c>
      <c r="C749" s="1" t="s">
        <v>2542</v>
      </c>
      <c r="D749" s="1" t="s">
        <v>2543</v>
      </c>
      <c r="E749" s="2" t="s">
        <v>2544</v>
      </c>
      <c r="F749" s="2" t="s">
        <v>2545</v>
      </c>
      <c r="G749" s="2" t="s">
        <v>221</v>
      </c>
      <c r="H749" s="2">
        <v>0</v>
      </c>
      <c r="I749" s="1">
        <v>0</v>
      </c>
      <c r="J749" s="3" t="s">
        <v>17</v>
      </c>
      <c r="K749" s="2" t="str">
        <f>J749*643.24</f>
        <v>0</v>
      </c>
      <c r="L749" s="5"/>
    </row>
    <row r="750" spans="1:12" customHeight="1" ht="105" outlineLevel="5">
      <c r="A750" s="1"/>
      <c r="B750" s="1">
        <v>827932</v>
      </c>
      <c r="C750" s="1" t="s">
        <v>2546</v>
      </c>
      <c r="D750" s="1" t="s">
        <v>2547</v>
      </c>
      <c r="E750" s="2" t="s">
        <v>2548</v>
      </c>
      <c r="F750" s="2" t="s">
        <v>2549</v>
      </c>
      <c r="G750" s="2">
        <v>4</v>
      </c>
      <c r="H750" s="2">
        <v>0</v>
      </c>
      <c r="I750" s="1">
        <v>0</v>
      </c>
      <c r="J750" s="3" t="s">
        <v>17</v>
      </c>
      <c r="K750" s="2" t="str">
        <f>J750*2099.24</f>
        <v>0</v>
      </c>
      <c r="L750" s="5"/>
    </row>
    <row r="751" spans="1:12" customHeight="1" ht="105" outlineLevel="5">
      <c r="A751" s="1"/>
      <c r="B751" s="1">
        <v>827933</v>
      </c>
      <c r="C751" s="1" t="s">
        <v>2550</v>
      </c>
      <c r="D751" s="1" t="s">
        <v>2551</v>
      </c>
      <c r="E751" s="2" t="s">
        <v>2552</v>
      </c>
      <c r="F751" s="2" t="s">
        <v>2549</v>
      </c>
      <c r="G751" s="2">
        <v>6</v>
      </c>
      <c r="H751" s="2">
        <v>0</v>
      </c>
      <c r="I751" s="1">
        <v>0</v>
      </c>
      <c r="J751" s="3" t="s">
        <v>17</v>
      </c>
      <c r="K751" s="2" t="str">
        <f>J751*2099.24</f>
        <v>0</v>
      </c>
      <c r="L751" s="5"/>
    </row>
    <row r="752" spans="1:12" customHeight="1" ht="105" outlineLevel="5">
      <c r="A752" s="1"/>
      <c r="B752" s="1">
        <v>827934</v>
      </c>
      <c r="C752" s="1" t="s">
        <v>2553</v>
      </c>
      <c r="D752" s="1" t="s">
        <v>2554</v>
      </c>
      <c r="E752" s="2" t="s">
        <v>2555</v>
      </c>
      <c r="F752" s="2" t="s">
        <v>2549</v>
      </c>
      <c r="G752" s="2">
        <v>0</v>
      </c>
      <c r="H752" s="2">
        <v>0</v>
      </c>
      <c r="I752" s="1">
        <v>0</v>
      </c>
      <c r="J752" s="3" t="s">
        <v>17</v>
      </c>
      <c r="K752" s="2" t="str">
        <f>J752*2099.24</f>
        <v>0</v>
      </c>
      <c r="L752" s="5"/>
    </row>
    <row r="753" spans="1:12" customHeight="1" ht="105" outlineLevel="5">
      <c r="A753" s="1"/>
      <c r="B753" s="1">
        <v>832197</v>
      </c>
      <c r="C753" s="1" t="s">
        <v>2556</v>
      </c>
      <c r="D753" s="1" t="s">
        <v>2557</v>
      </c>
      <c r="E753" s="2" t="s">
        <v>2558</v>
      </c>
      <c r="F753" s="2" t="s">
        <v>2468</v>
      </c>
      <c r="G753" s="2">
        <v>8</v>
      </c>
      <c r="H753" s="2">
        <v>0</v>
      </c>
      <c r="I753" s="1">
        <v>0</v>
      </c>
      <c r="J753" s="3" t="s">
        <v>17</v>
      </c>
      <c r="K753" s="2" t="str">
        <f>J753*2131.02</f>
        <v>0</v>
      </c>
      <c r="L753" s="5"/>
    </row>
    <row r="754" spans="1:12" customHeight="1" ht="105" outlineLevel="5">
      <c r="A754" s="1"/>
      <c r="B754" s="1">
        <v>832195</v>
      </c>
      <c r="C754" s="1" t="s">
        <v>2559</v>
      </c>
      <c r="D754" s="1" t="s">
        <v>2560</v>
      </c>
      <c r="E754" s="2" t="s">
        <v>2561</v>
      </c>
      <c r="F754" s="2" t="s">
        <v>2452</v>
      </c>
      <c r="G754" s="2">
        <v>6</v>
      </c>
      <c r="H754" s="2">
        <v>0</v>
      </c>
      <c r="I754" s="1">
        <v>0</v>
      </c>
      <c r="J754" s="3" t="s">
        <v>17</v>
      </c>
      <c r="K754" s="2" t="str">
        <f>J754*2392.86</f>
        <v>0</v>
      </c>
      <c r="L754" s="5"/>
    </row>
    <row r="755" spans="1:12" customHeight="1" ht="105" outlineLevel="5">
      <c r="A755" s="1"/>
      <c r="B755" s="1">
        <v>832196</v>
      </c>
      <c r="C755" s="1" t="s">
        <v>2562</v>
      </c>
      <c r="D755" s="1" t="s">
        <v>2563</v>
      </c>
      <c r="E755" s="2" t="s">
        <v>2564</v>
      </c>
      <c r="F755" s="2" t="s">
        <v>2452</v>
      </c>
      <c r="G755" s="2">
        <v>2</v>
      </c>
      <c r="H755" s="2">
        <v>0</v>
      </c>
      <c r="I755" s="1">
        <v>0</v>
      </c>
      <c r="J755" s="3" t="s">
        <v>17</v>
      </c>
      <c r="K755" s="2" t="str">
        <f>J755*2392.86</f>
        <v>0</v>
      </c>
      <c r="L75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3:K43"/>
    <mergeCell ref="A300:K300"/>
    <mergeCell ref="A524:K524"/>
    <mergeCell ref="A4:K4"/>
    <mergeCell ref="A11:K11"/>
    <mergeCell ref="A17:K17"/>
    <mergeCell ref="A44:K44"/>
    <mergeCell ref="A52:K52"/>
    <mergeCell ref="A62:K62"/>
    <mergeCell ref="A99:K99"/>
    <mergeCell ref="A121:K121"/>
    <mergeCell ref="A129:K129"/>
    <mergeCell ref="A160:K160"/>
    <mergeCell ref="A216:K216"/>
    <mergeCell ref="A223:K223"/>
    <mergeCell ref="A226:K226"/>
    <mergeCell ref="A237:K237"/>
    <mergeCell ref="A293:K293"/>
    <mergeCell ref="A301:K301"/>
    <mergeCell ref="A412:K412"/>
    <mergeCell ref="A440:K440"/>
    <mergeCell ref="A525:K525"/>
    <mergeCell ref="A592:K592"/>
    <mergeCell ref="A702:K702"/>
    <mergeCell ref="A302:K302"/>
    <mergeCell ref="A310:K310"/>
    <mergeCell ref="A315:K315"/>
    <mergeCell ref="A413:K413"/>
    <mergeCell ref="A421:K421"/>
    <mergeCell ref="A441:K441"/>
    <mergeCell ref="A593:K593"/>
    <mergeCell ref="A620:K620"/>
    <mergeCell ref="A634:K634"/>
    <mergeCell ref="A703:K703"/>
    <mergeCell ref="A719:K7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2025-10-29T11:22:00+03:00</dcterms:created>
  <dcterms:modified xsi:type="dcterms:W3CDTF">2025-10-29T11:22:00+03:00</dcterms:modified>
  <dc:title>Untitled Spreadsheet</dc:title>
  <dc:description/>
  <dc:subject/>
  <cp:keywords/>
  <cp:category/>
</cp:coreProperties>
</file>