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<sst xmlns="http://schemas.openxmlformats.org/spreadsheetml/2006/main" uniqueCount="2452">
  <si>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</si>
  <si>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</si>
  <si>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</si>
  <si>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</si>
  <si>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</si>
  <si>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</si>
  <si>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</si>
  <si>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</si>
  <si>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</si>
  <si>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</si>
  <si>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</si>
  <si>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VALTEC никелированные</t>
  </si>
  <si>
    <t>VLC-1313005</t>
  </si>
  <si>
    <t>VTr.583.U.0004</t>
  </si>
  <si>
    <t>Пробка-уровень 1/2" нар. с доп. уплотнением</t>
  </si>
  <si>
    <t>152.00 руб.</t>
  </si>
  <si>
    <t>&gt;25</t>
  </si>
  <si>
    <t>шт</t>
  </si>
  <si>
    <t>VLC-721001</t>
  </si>
  <si>
    <t>VTr.015.N.04</t>
  </si>
  <si>
    <t>Сгон 1/2" с накидной гайкой  (10 /150шт)</t>
  </si>
  <si>
    <t>174.00 руб.</t>
  </si>
  <si>
    <t>&gt;10</t>
  </si>
  <si>
    <t>&gt;100</t>
  </si>
  <si>
    <t>VLC-721002</t>
  </si>
  <si>
    <t>VTr.015.N.05</t>
  </si>
  <si>
    <t>Сгон 3/4" с накидной гайкой  (10 /110шт)</t>
  </si>
  <si>
    <t>271.00 руб.</t>
  </si>
  <si>
    <t>VLC-721003</t>
  </si>
  <si>
    <t>VTr.090.N.0004</t>
  </si>
  <si>
    <t>Угольник 1/2" вн.-вн.  (10 /120шт)</t>
  </si>
  <si>
    <t>221.00 руб.</t>
  </si>
  <si>
    <t>&gt;50</t>
  </si>
  <si>
    <t>&gt;1000</t>
  </si>
  <si>
    <t>VLC-721004</t>
  </si>
  <si>
    <t>VTr.090.N.0005</t>
  </si>
  <si>
    <t>Угольник 3/4" вн.-вн. (10 /70шт)</t>
  </si>
  <si>
    <t>376.00 руб.</t>
  </si>
  <si>
    <t>VLC-721005</t>
  </si>
  <si>
    <t>VTr.090.N.0006</t>
  </si>
  <si>
    <t>Угольник 1" вн.-вн.   (5 /35шт)</t>
  </si>
  <si>
    <t>654.00 руб.</t>
  </si>
  <si>
    <t>&gt;500</t>
  </si>
  <si>
    <t>VLC-721006</t>
  </si>
  <si>
    <t>VTr.090.N.0007</t>
  </si>
  <si>
    <t>Угольник 1 1/4" вн.-вн.  (5 /15шт)</t>
  </si>
  <si>
    <t>1 319.00 руб.</t>
  </si>
  <si>
    <t>VLC-721007</t>
  </si>
  <si>
    <t>VTr.090.N.0008</t>
  </si>
  <si>
    <t>Угольник 1 1/2" вн.-вн.   (5 /10шт)</t>
  </si>
  <si>
    <t>1 507.00 руб.</t>
  </si>
  <si>
    <t>VLC-721008</t>
  </si>
  <si>
    <t>VTr.090.N.0009</t>
  </si>
  <si>
    <t>Угольник 2" вн.-вн.  (1 /7шт)</t>
  </si>
  <si>
    <t>2 671.00 руб.</t>
  </si>
  <si>
    <t>VLC-721009</t>
  </si>
  <si>
    <t>VTr.091.N.0004</t>
  </si>
  <si>
    <t>Угольник 45, 1/2" вн.-вн.   (10 /160шт)</t>
  </si>
  <si>
    <t>206.00 руб.</t>
  </si>
  <si>
    <t>VLC-721010</t>
  </si>
  <si>
    <t>VTr.091.N.0005</t>
  </si>
  <si>
    <t>Угольник 45, 3/4" вн.-вн.  (10 /90шт)</t>
  </si>
  <si>
    <t>292.00 руб.</t>
  </si>
  <si>
    <t>VLC-721011</t>
  </si>
  <si>
    <t>VTr.092.N.0002</t>
  </si>
  <si>
    <t>Угольник 1/4" вн.-нар.  (10 /500шт)</t>
  </si>
  <si>
    <t>91.00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</si>
  <si>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</si>
  <si>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</si>
  <si>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</si>
  <si>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</si>
  <si>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</si>
  <si>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</si>
  <si>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</si>
  <si>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360.00 руб.</t>
  </si>
  <si>
    <t>VLC-721014</t>
  </si>
  <si>
    <t>VTr.092.N.0006</t>
  </si>
  <si>
    <t>Угольник 1" вн.-нар.   (5 /35шт)</t>
  </si>
  <si>
    <t>556.00 руб.</t>
  </si>
  <si>
    <t>VLC-721015</t>
  </si>
  <si>
    <t>VTr.092.N.0007</t>
  </si>
  <si>
    <t>Угольник 1 1/4" вн.-нар.   (5 /15шт)</t>
  </si>
  <si>
    <t>1 317.00 руб.</t>
  </si>
  <si>
    <t>VLC-721016</t>
  </si>
  <si>
    <t>VTr.092.N.0008</t>
  </si>
  <si>
    <t>Угольник 1 1/2" вн.-нар.   (5 /10шт)</t>
  </si>
  <si>
    <t>1 722.00 руб.</t>
  </si>
  <si>
    <t>VLC-721017</t>
  </si>
  <si>
    <t>VTr.092.N.0009</t>
  </si>
  <si>
    <t>Угольник 2" вн.-нар.  (1 /6шт)</t>
  </si>
  <si>
    <t>2 891.00 руб.</t>
  </si>
  <si>
    <t>VLC-721018</t>
  </si>
  <si>
    <t>VTr.093.N.0004</t>
  </si>
  <si>
    <t>Угольник 1/2" нар.-нар.  (10 /120шт)</t>
  </si>
  <si>
    <t>192.00 руб.</t>
  </si>
  <si>
    <t>VLC-721019</t>
  </si>
  <si>
    <t>VTr.093.N.0005</t>
  </si>
  <si>
    <t>Угольник 3/4" нар.-нар.  (10 /60шт)</t>
  </si>
  <si>
    <t>400.00 руб.</t>
  </si>
  <si>
    <t>VLC-721020</t>
  </si>
  <si>
    <t>VTr.093.N.0006</t>
  </si>
  <si>
    <t>Угольник 1" нар.-нар.   (5 /35шт)</t>
  </si>
  <si>
    <t>641.00 руб.</t>
  </si>
  <si>
    <t>VLC-721021</t>
  </si>
  <si>
    <t>VTr.094.N.04010</t>
  </si>
  <si>
    <t>Эксцентрик 1/2"x10мм, вн.-нар.  (10 /130шт)</t>
  </si>
  <si>
    <t>253.00 руб.</t>
  </si>
  <si>
    <t>VLC-721022</t>
  </si>
  <si>
    <t>VTr.094.N.04020</t>
  </si>
  <si>
    <t>Эксцентрик 1/2"x20мм, вн.-нар.  (10 /120шт)</t>
  </si>
  <si>
    <t>306.00 руб.</t>
  </si>
  <si>
    <t>VLC-721023</t>
  </si>
  <si>
    <t>VTr.094.N.04030</t>
  </si>
  <si>
    <t>Эксцентрик 1/2"x30мм, вн.-нар. (10 /80шт)</t>
  </si>
  <si>
    <t>338.00 руб.</t>
  </si>
  <si>
    <t>VLC-721024</t>
  </si>
  <si>
    <t>VTr.094.N.05010</t>
  </si>
  <si>
    <t>Эксцентрик 3/4"x10мм, вн.-нар. (10 /80шт)</t>
  </si>
  <si>
    <t>388.00 руб.</t>
  </si>
  <si>
    <t>VLC-721025</t>
  </si>
  <si>
    <t>VTr.094.N.05020</t>
  </si>
  <si>
    <t>Эксцентрик 3/4"x20мм, вн.-нар.  (10 /70шт)</t>
  </si>
  <si>
    <t>445.00 руб.</t>
  </si>
  <si>
    <t>VLC-721026</t>
  </si>
  <si>
    <t>VTr.094.N.05030</t>
  </si>
  <si>
    <t>Эксцентрик 3/4"x30мм, вн.-нар.  (10 /70шт)</t>
  </si>
  <si>
    <t>511.00 руб.</t>
  </si>
  <si>
    <t>VLC-721027</t>
  </si>
  <si>
    <t>VTr.094.N.06010</t>
  </si>
  <si>
    <t>Эксцентрик 1"x10мм, вн.-нар.   (5 /60шт)</t>
  </si>
  <si>
    <t>562.00 руб.</t>
  </si>
  <si>
    <t>VLC-721028</t>
  </si>
  <si>
    <t>VTr.094.N.06020</t>
  </si>
  <si>
    <t>Эксцентрик 1"x20мм, вн.-нар.   (5 /50шт)</t>
  </si>
  <si>
    <t>566.00 руб.</t>
  </si>
  <si>
    <t>VLC-721029</t>
  </si>
  <si>
    <t>VTr.094.N.06030</t>
  </si>
  <si>
    <t>Эксцентрик 1"x30мм, вн.-нар.   (5 /40шт)</t>
  </si>
  <si>
    <t>712.00 руб.</t>
  </si>
  <si>
    <t>VLC-721030</t>
  </si>
  <si>
    <t>VTr.095.N.0504010</t>
  </si>
  <si>
    <t>Эксцентрик 3/4"x1/2"x10мм, нар.-нар.  (10 /120шт)</t>
  </si>
  <si>
    <t>225.00 руб.</t>
  </si>
  <si>
    <t>VLC-721031</t>
  </si>
  <si>
    <t>VTr.095.N.0504020</t>
  </si>
  <si>
    <t>Эксцентрик 3/4"x1/2"x20мм, нар.-нар.  (10 /110шт)</t>
  </si>
  <si>
    <t>288.00 руб.</t>
  </si>
  <si>
    <t>VLC-721032</t>
  </si>
  <si>
    <t>VTr.095.N.0504030</t>
  </si>
  <si>
    <t>Эксцентрик 3/4"x1/2"x30мм, нар.-нар.  (10 /100шт)</t>
  </si>
  <si>
    <t>236.00 руб.</t>
  </si>
  <si>
    <t>VLC-721033</t>
  </si>
  <si>
    <t>VTr.095.N.0605010</t>
  </si>
  <si>
    <t>Эксцентрик 1"x3/4"x10мм, нар.-нар. (10 /80шт)</t>
  </si>
  <si>
    <t>349.00 руб.</t>
  </si>
  <si>
    <t>VLC-721034</t>
  </si>
  <si>
    <t>VTr.095.N.0605020</t>
  </si>
  <si>
    <t>Эксцентрик 1"x3/4"x20мм, нар.-нар.   (10 /70шт)</t>
  </si>
  <si>
    <t>407.00 руб.</t>
  </si>
  <si>
    <t>VLC-721035</t>
  </si>
  <si>
    <t>VTr.095.N.0605030</t>
  </si>
  <si>
    <t>Эксцентрик 1"x3/4"x30мм, нар.-нар.   (5 /70шт)</t>
  </si>
  <si>
    <t>453.00 руб.</t>
  </si>
  <si>
    <t>VLC-721036</t>
  </si>
  <si>
    <t>VTr.098.N.0004</t>
  </si>
  <si>
    <t>Сгон угловой разъемный (американка) 1/2" вн.-нар.   (10 /90шт)</t>
  </si>
  <si>
    <t>323.00 руб.</t>
  </si>
  <si>
    <t>VLC-721037</t>
  </si>
  <si>
    <t>VTr.098.N.0005</t>
  </si>
  <si>
    <t>Сгон угловой разъемный (американка) 3/4" вн.-нар.  (10 /50шт)</t>
  </si>
  <si>
    <t>560.00 руб.</t>
  </si>
  <si>
    <t>VLC-721038</t>
  </si>
  <si>
    <t>VTr.098.N.0006</t>
  </si>
  <si>
    <t>Сгон угловой разъемный (американка) 1" вн.-нар.   (5 /25шт)</t>
  </si>
  <si>
    <t>1 007.00 руб.</t>
  </si>
  <si>
    <t>VLC-721039</t>
  </si>
  <si>
    <t>VTr.098.N.0007</t>
  </si>
  <si>
    <t>Сгон угловой разъемный (американка) 1 1/4" вн.-нар.   (5 /15шт)</t>
  </si>
  <si>
    <t>1 618.00 руб.</t>
  </si>
  <si>
    <t>VLC-721040</t>
  </si>
  <si>
    <t>VTr.130.N.0004</t>
  </si>
  <si>
    <t>Тройник 1/2" вн.-вн.-вн.  (10 /100шт)</t>
  </si>
  <si>
    <t>260.00 руб.</t>
  </si>
  <si>
    <t>VLC-721041</t>
  </si>
  <si>
    <t>VTr.130.N.0005</t>
  </si>
  <si>
    <t>Тройник 3/4" вн.-вн.-вн.  (10 /50шт)</t>
  </si>
  <si>
    <t>403.00 руб.</t>
  </si>
  <si>
    <t>VLC-721042</t>
  </si>
  <si>
    <t>VTr.130.N.0006</t>
  </si>
  <si>
    <t>Тройник 1" вн.-вн.-вн.  (5 /25шт)</t>
  </si>
  <si>
    <t>773.00 руб.</t>
  </si>
  <si>
    <t>VLC-721043</t>
  </si>
  <si>
    <t>VTr.130.N.0007</t>
  </si>
  <si>
    <t>Тройник 1 1/4" вн.-вн.-вн.  (5 /15шт)</t>
  </si>
  <si>
    <t>1 382.00 руб.</t>
  </si>
  <si>
    <t>VLC-721044</t>
  </si>
  <si>
    <t>VTr.130.N.0008</t>
  </si>
  <si>
    <t>Тройник 1 1/2" вн.-вн.-вн.  (5 /10шт)</t>
  </si>
  <si>
    <t>1 672.00 руб.</t>
  </si>
  <si>
    <t>VLC-721045</t>
  </si>
  <si>
    <t>VTr.130.N.0009</t>
  </si>
  <si>
    <t>Тройник 2" вн.-вн.-вн. (1 /9шт)</t>
  </si>
  <si>
    <t>2 530.00 руб.</t>
  </si>
  <si>
    <t>VLC-721046</t>
  </si>
  <si>
    <t>VTr.131.N.0004</t>
  </si>
  <si>
    <t>Тройник 1/2" нар.-нар.-нар.  (10 /90шт)</t>
  </si>
  <si>
    <t>312.00 руб.</t>
  </si>
  <si>
    <t>VLC-721047</t>
  </si>
  <si>
    <t>VTr.131.N.0005</t>
  </si>
  <si>
    <t>Тройник 3/4" нар.-нар.-нар.  (10 /60шт)</t>
  </si>
  <si>
    <t>482.00 руб.</t>
  </si>
  <si>
    <t>VLC-721048</t>
  </si>
  <si>
    <t>VTr.131.RN.050404</t>
  </si>
  <si>
    <t>Тройник переходной 3/4"х1/2"х1/2" нар.-нар.-нар.  (10 /70шт)</t>
  </si>
  <si>
    <t>352.00 руб.</t>
  </si>
  <si>
    <t>VLC-721049</t>
  </si>
  <si>
    <t>VTr.131.RN.050405</t>
  </si>
  <si>
    <t>Тройник переходной 3/4"х1/2"х3/4" нар.-нар.-нар. (10 /80шт)</t>
  </si>
  <si>
    <t>392.00 руб.</t>
  </si>
  <si>
    <t>VLC-721050</t>
  </si>
  <si>
    <t>VTr.131.RN.050504</t>
  </si>
  <si>
    <t>Тройник переходной 3/4"х3/4"х1/2" нар.-нар.-нар.  (10 /70шт)</t>
  </si>
  <si>
    <t>452.00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</si>
  <si>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</si>
  <si>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</si>
  <si>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</si>
  <si>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932.00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</si>
  <si>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</si>
  <si>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</si>
  <si>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</si>
  <si>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1 112.00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</si>
  <si>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</si>
  <si>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</si>
  <si>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</si>
  <si>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1 253.00 руб.</t>
  </si>
  <si>
    <t>VLC-721054</t>
  </si>
  <si>
    <t>VTr.197.N.0410</t>
  </si>
  <si>
    <t>Удлинитель 1/2" вн. Х10мм   (10 /350шт)</t>
  </si>
  <si>
    <t>78.00 руб.</t>
  </si>
  <si>
    <t>VLC-721055</t>
  </si>
  <si>
    <t>VTr.197.N.0415</t>
  </si>
  <si>
    <t>Удлинитель 1/2" вн. Х15мм   (10 /260шт)</t>
  </si>
  <si>
    <t>108.00 руб.</t>
  </si>
  <si>
    <t>VLC-721056</t>
  </si>
  <si>
    <t>VTr.197.N.0420</t>
  </si>
  <si>
    <t>Удлинитель 1/2" вн. Х20мм  (10 /210шт)</t>
  </si>
  <si>
    <t>128.00 руб.</t>
  </si>
  <si>
    <t>VLC-721057</t>
  </si>
  <si>
    <t>VTr.197.N.0425</t>
  </si>
  <si>
    <t>Удлинитель 1/2" вн. Х25мм   (10 /200шт)</t>
  </si>
  <si>
    <t>137.00 руб.</t>
  </si>
  <si>
    <t>VLC-721058</t>
  </si>
  <si>
    <t>VTr.197.N.0430</t>
  </si>
  <si>
    <t>Удлинитель 1/2" вн. Х30мм   (10 /170шт)</t>
  </si>
  <si>
    <t>161.00 руб.</t>
  </si>
  <si>
    <t>VLC-721059</t>
  </si>
  <si>
    <t>VTr.197.N.0440</t>
  </si>
  <si>
    <t>Удлинитель 1/2" вн. Х40мм   (10 /140шт)</t>
  </si>
  <si>
    <t>189.00 руб.</t>
  </si>
  <si>
    <t>VLC-721060</t>
  </si>
  <si>
    <t>VTr.197.N.0450</t>
  </si>
  <si>
    <t>Удлинитель 1/2" вн. Х50мм   (10 /100шт)</t>
  </si>
  <si>
    <t>238.00 руб.</t>
  </si>
  <si>
    <t>VLC-721061</t>
  </si>
  <si>
    <t>VTr.198.C.0410</t>
  </si>
  <si>
    <t>Удлинитель 1/2" вн. х10мм (ХРОМ)   (10 /300шт)</t>
  </si>
  <si>
    <t>107.00 руб.</t>
  </si>
  <si>
    <t>VLC-721062</t>
  </si>
  <si>
    <t>VTr.198.C.0415</t>
  </si>
  <si>
    <t>Удлинитель 1/2" вн. х15мм (ХРОМ)   (10 /250шт)</t>
  </si>
  <si>
    <t>139.00 руб.</t>
  </si>
  <si>
    <t>VLC-721063</t>
  </si>
  <si>
    <t>VTr.198.C.0420</t>
  </si>
  <si>
    <t>Удлинитель 1/2" вн. х20мм (ХРОМ)   (10 /230шт)</t>
  </si>
  <si>
    <t>153.00 руб.</t>
  </si>
  <si>
    <t>VLC-721064</t>
  </si>
  <si>
    <t>VTr.198.C.0425</t>
  </si>
  <si>
    <t>Удлинитель 1/2" вн. х25мм (ХРОМ)   (10 /200шт)</t>
  </si>
  <si>
    <t>181.00 руб.</t>
  </si>
  <si>
    <t>VLC-721065</t>
  </si>
  <si>
    <t>VTr.198.C.0430</t>
  </si>
  <si>
    <t>Удлинитель 1/2" вн. х30мм (ХРОМ)   (10 /180шт)</t>
  </si>
  <si>
    <t>203.00 руб.</t>
  </si>
  <si>
    <t>VLC-721066</t>
  </si>
  <si>
    <t>VTr.198.C.0440</t>
  </si>
  <si>
    <t>Удлинитель 1/2" вн. х40мм (ХРОМ)   (10 /140шт)</t>
  </si>
  <si>
    <t>232.00 руб.</t>
  </si>
  <si>
    <t>VLC-721067</t>
  </si>
  <si>
    <t>VTr.198.C.0450</t>
  </si>
  <si>
    <t>Удлинитель 1/2" вн. х50мм (ХРОМ)  (10 /110шт)</t>
  </si>
  <si>
    <t>308.00 руб.</t>
  </si>
  <si>
    <t>VLC-721068</t>
  </si>
  <si>
    <t>VTr.198.C.0460</t>
  </si>
  <si>
    <t>Удлинитель 1/2" вн. х60мм (ХРОМ)  (10 /90шт)</t>
  </si>
  <si>
    <t>329.00 руб.</t>
  </si>
  <si>
    <t>VLC-721069</t>
  </si>
  <si>
    <t>VTr.198.C.0470</t>
  </si>
  <si>
    <t>Удлинитель 1/2" вн. х70мм (ХРОМ) (10 /80шт)</t>
  </si>
  <si>
    <t>397.00 руб.</t>
  </si>
  <si>
    <t>VLC-721070</t>
  </si>
  <si>
    <t>VTr.198.C.0480</t>
  </si>
  <si>
    <t>Удлинитель 1/2" вн. х80мм (ХРОМ) (10 /80шт)</t>
  </si>
  <si>
    <t>401.00 руб.</t>
  </si>
  <si>
    <t>VLC-721071</t>
  </si>
  <si>
    <t>VTr.198.C.04100</t>
  </si>
  <si>
    <t>Удлинитель 1/2" вн. х100мм (ХРОМ)   (5 /65шт)</t>
  </si>
  <si>
    <t>529.00 руб.</t>
  </si>
  <si>
    <t>VLC-721072</t>
  </si>
  <si>
    <t>VTr.198.C.0515</t>
  </si>
  <si>
    <t>Удлинитель 3/4" вн. х15мм (ХРОМ)   (10 /160шт)</t>
  </si>
  <si>
    <t>217.00 руб.</t>
  </si>
  <si>
    <t>VLC-721073</t>
  </si>
  <si>
    <t>VTr.198.C.0520</t>
  </si>
  <si>
    <t>Удлинитель 3/4" вн. х20мм (ХРОМ)  (10 /140шт)</t>
  </si>
  <si>
    <t>254.00 руб.</t>
  </si>
  <si>
    <t>VLC-721074</t>
  </si>
  <si>
    <t>VTr.198.C.0525</t>
  </si>
  <si>
    <t>Удлинитель 3/4" вн. х25мм (ХРОМ)  (10 /120шт)</t>
  </si>
  <si>
    <t>286.00 руб.</t>
  </si>
  <si>
    <t>VLC-721075</t>
  </si>
  <si>
    <t>VTr.198.C.0530</t>
  </si>
  <si>
    <t>Удлинитель 3/4" вн. х30мм (ХРОМ)  (10 /100шт)</t>
  </si>
  <si>
    <t>315.00 руб.</t>
  </si>
  <si>
    <t>VLC-721076</t>
  </si>
  <si>
    <t>VTr.198.C.0540</t>
  </si>
  <si>
    <t>Удлинитель 3/4" вн. х40мм (ХРОМ) (10 /80шт)</t>
  </si>
  <si>
    <t>382.00 руб.</t>
  </si>
  <si>
    <t>VLC-721077</t>
  </si>
  <si>
    <t>VTr.198.C.0550</t>
  </si>
  <si>
    <t>Удлинитель 3/4" вн. х50мм (ХРОМ)  (10 /70шт)</t>
  </si>
  <si>
    <t>441.00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</si>
  <si>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</si>
  <si>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</si>
  <si>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</si>
  <si>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</si>
  <si>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</si>
  <si>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</si>
  <si>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611.00 руб.</t>
  </si>
  <si>
    <t>VLC-721080</t>
  </si>
  <si>
    <t>VTr.198.C.0580</t>
  </si>
  <si>
    <t>Удлинитель 3/4" вн. х80мм (ХРОМ)   (5 /50шт)</t>
  </si>
  <si>
    <t>739.00 руб.</t>
  </si>
  <si>
    <t>VLC-721081</t>
  </si>
  <si>
    <t>VTr.198.C.05100</t>
  </si>
  <si>
    <t>Удлинитель 3/4" вн. х100мм (ХРОМ)   (5 /40шт)</t>
  </si>
  <si>
    <t>805.00 руб.</t>
  </si>
  <si>
    <t>VLC-721082</t>
  </si>
  <si>
    <t>VTr.198.C.0615</t>
  </si>
  <si>
    <t>Удлинитель 1" вн. х15мм (ХРОМ)  (10 /110шт)</t>
  </si>
  <si>
    <t>335.00 руб.</t>
  </si>
  <si>
    <t>VLC-721083</t>
  </si>
  <si>
    <t>VTr.198.C.0620</t>
  </si>
  <si>
    <t>Удлинитель 1" вн. х20мм (ХРОМ)  (10 /90шт)</t>
  </si>
  <si>
    <t>406.00 руб.</t>
  </si>
  <si>
    <t>VLC-721084</t>
  </si>
  <si>
    <t>VTr.198.C.0625</t>
  </si>
  <si>
    <t>Удлинитель 1" вн. х25мм (ХРОМ) (10 /80шт)</t>
  </si>
  <si>
    <t>451.00 руб.</t>
  </si>
  <si>
    <t>VLC-721085</t>
  </si>
  <si>
    <t>VTr.198.C.0630</t>
  </si>
  <si>
    <t>Удлинитель 1" вн. х30мм (ХРОМ)   (5 /70шт)</t>
  </si>
  <si>
    <t>520.00 руб.</t>
  </si>
  <si>
    <t>VLC-721086</t>
  </si>
  <si>
    <t>VTr.198.C.0640</t>
  </si>
  <si>
    <t>Удлинитель 1" вн. х40мм (ХРОМ)   (5 /45шт)</t>
  </si>
  <si>
    <t>618.00 руб.</t>
  </si>
  <si>
    <t>VLC-721087</t>
  </si>
  <si>
    <t>VTr.198.C.0650</t>
  </si>
  <si>
    <t>Удлинитель 1" вн. х50мм (ХРОМ)  (5 /45шт)</t>
  </si>
  <si>
    <t>800.00 руб.</t>
  </si>
  <si>
    <t>VLC-721088</t>
  </si>
  <si>
    <t>VTr.198.C.0660</t>
  </si>
  <si>
    <t>Удлинитель 1" вн. х60мм (ХРОМ)  (5 /35шт)</t>
  </si>
  <si>
    <t>917.00 руб.</t>
  </si>
  <si>
    <t>VLC-721089</t>
  </si>
  <si>
    <t>VTr.198.C.0670</t>
  </si>
  <si>
    <t>Удлинитель 1" вн. х70мм (ХРОМ)    (5 /30шт)</t>
  </si>
  <si>
    <t>1 050.00 руб.</t>
  </si>
  <si>
    <t>VLC-721090</t>
  </si>
  <si>
    <t>VTr.198.C.0680</t>
  </si>
  <si>
    <t>Удлинитель 1" вн. х80мм (ХРОМ)   (5 /25шт)</t>
  </si>
  <si>
    <t>1 139.00 руб.</t>
  </si>
  <si>
    <t>VLC-721091</t>
  </si>
  <si>
    <t>VTr.198.C.06100</t>
  </si>
  <si>
    <t>Удлинитель 1" вн. х100мм (ХРОМ)  (5 /20шт)</t>
  </si>
  <si>
    <t>1 304.00 руб.</t>
  </si>
  <si>
    <t>VLC-721092</t>
  </si>
  <si>
    <t>VTr.240.N.0403</t>
  </si>
  <si>
    <t>Муфта переходная 1/2"х3/8" вн.-вн.  (10 /200шт)</t>
  </si>
  <si>
    <t>129.00 руб.</t>
  </si>
  <si>
    <t>VLC-721093</t>
  </si>
  <si>
    <t>VTr.240.N.0502</t>
  </si>
  <si>
    <t>Муфта переходная 3/4"х1/4" вн.-вн.  (10 /200шт)</t>
  </si>
  <si>
    <t>216.00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</si>
  <si>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</si>
  <si>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</si>
  <si>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</si>
  <si>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</si>
  <si>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</si>
  <si>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</si>
  <si>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281.00 руб.</t>
  </si>
  <si>
    <t>VLC-721096</t>
  </si>
  <si>
    <t>VTr.240.N.0605</t>
  </si>
  <si>
    <t>Муфта переходная 1"х3/4" вн.-вн. (10 /80шт)</t>
  </si>
  <si>
    <t>354.00 руб.</t>
  </si>
  <si>
    <t>VLC-721097</t>
  </si>
  <si>
    <t>VTr.240.N.0705</t>
  </si>
  <si>
    <t>Муфта переходная 1 1/4"х3/4" вн.-вн. (10 /80шт)</t>
  </si>
  <si>
    <t>447.00 руб.</t>
  </si>
  <si>
    <t>VLC-721098</t>
  </si>
  <si>
    <t>VTr.240.N.0706</t>
  </si>
  <si>
    <t>Муфта переходная 1 1/4"х1" вн.-вн.  (10 /40шт)</t>
  </si>
  <si>
    <t>526.00 руб.</t>
  </si>
  <si>
    <t>VLC-721099</t>
  </si>
  <si>
    <t>VTr.240.N.0806</t>
  </si>
  <si>
    <t>Муфта переходная 1 1/2"х1" вн.-вн.  (10 /40шт)</t>
  </si>
  <si>
    <t>627.00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</si>
  <si>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</si>
  <si>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</si>
  <si>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</si>
  <si>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</si>
  <si>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</si>
  <si>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</si>
  <si>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867.00 руб.</t>
  </si>
  <si>
    <t>VLC-721102</t>
  </si>
  <si>
    <t>VTr.240.N.0908</t>
  </si>
  <si>
    <t>Муфта переходная 2"х1 1/2" вн.-вн.   (5 /20шт)</t>
  </si>
  <si>
    <t>891.00 руб.</t>
  </si>
  <si>
    <t>VLC-721103</t>
  </si>
  <si>
    <t>VTr.240.N.0906</t>
  </si>
  <si>
    <t>Муфта переходная 2"х1" вн.-вн.  (10 /30шт)</t>
  </si>
  <si>
    <t>848.00 руб.</t>
  </si>
  <si>
    <t>VLC-721104</t>
  </si>
  <si>
    <t>VTr.240.N.0704</t>
  </si>
  <si>
    <t>Муфта переходная 1 1/4"х1/2" вн.-вн.  (10 /70шт)</t>
  </si>
  <si>
    <t>429.00 руб.</t>
  </si>
  <si>
    <t>VLC-721105</t>
  </si>
  <si>
    <t>VTr.250.N.0004</t>
  </si>
  <si>
    <t>Тройник под датчик теплосчётчика, 1/2"х M10 х1/2" вн.-вн.-вн. (10 /80шт)</t>
  </si>
  <si>
    <t>372.00 руб.</t>
  </si>
  <si>
    <t>VLC-721106</t>
  </si>
  <si>
    <t>VTr.250.N.0005</t>
  </si>
  <si>
    <t>Тройник под датчик теплосчётчика, 3/4"х M10 х 3/4" вн.-вн.-вн. (10 /60шт)</t>
  </si>
  <si>
    <t>446.00 руб.</t>
  </si>
  <si>
    <t>VLC-721107</t>
  </si>
  <si>
    <t>VTr.250.N.0006</t>
  </si>
  <si>
    <t>Тройник под датчик теплосчётчика, 1"х M10 х1" вн.-вн.-вн.  (5 /40шт)</t>
  </si>
  <si>
    <t>579.00 руб.</t>
  </si>
  <si>
    <t>VLC-721108</t>
  </si>
  <si>
    <t>VTr.270.N.0004</t>
  </si>
  <si>
    <t>Муфта 1/2" вн.-вн. (10 /180шт)</t>
  </si>
  <si>
    <t>119.00 руб.</t>
  </si>
  <si>
    <t>VLC-721109</t>
  </si>
  <si>
    <t>VTr.270.N.0005</t>
  </si>
  <si>
    <t>Муфта 3/4" вн.-вн.   (10 /110шт)</t>
  </si>
  <si>
    <t>200.00 руб.</t>
  </si>
  <si>
    <t>VLC-721110</t>
  </si>
  <si>
    <t>VTr.270.N.0006</t>
  </si>
  <si>
    <t>Муфта 1" вн.-вн. (10 /80шт)</t>
  </si>
  <si>
    <t>295.00 руб.</t>
  </si>
  <si>
    <t>VLC-721111</t>
  </si>
  <si>
    <t>VTr.270.N.0007</t>
  </si>
  <si>
    <t>Муфта 1 1/4" вн.-вн. (10 /40шт)</t>
  </si>
  <si>
    <t>582.00 руб.</t>
  </si>
  <si>
    <t>VLC-721112</t>
  </si>
  <si>
    <t>VTr.270.N.0008</t>
  </si>
  <si>
    <t>Муфта 1 1/2" вн.-вн.   (5 /25шт)</t>
  </si>
  <si>
    <t>849.00 руб.</t>
  </si>
  <si>
    <t>VLC-721113</t>
  </si>
  <si>
    <t>VTr.270.N.0009</t>
  </si>
  <si>
    <t>Муфта 2" вн.-вн.   (5 /10шт)</t>
  </si>
  <si>
    <t>1 261.00 руб.</t>
  </si>
  <si>
    <t>VLC-721114</t>
  </si>
  <si>
    <t>VTr.340.N.0004</t>
  </si>
  <si>
    <t>Муфта разъемная 1/2" вн.-вн.   (10 /110шт)</t>
  </si>
  <si>
    <t>310.00 руб.</t>
  </si>
  <si>
    <t>VLC-721115</t>
  </si>
  <si>
    <t>VTr.340.N.0005</t>
  </si>
  <si>
    <t>Муфта разъемная 3/4" вн.-вн.   (10 /50шт)</t>
  </si>
  <si>
    <t>571.00 руб.</t>
  </si>
  <si>
    <t>VLC-721116</t>
  </si>
  <si>
    <t>VTr.340.N.0006</t>
  </si>
  <si>
    <t>Муфта разъемная 1" вн.-вн.   (5 /35шт)</t>
  </si>
  <si>
    <t>826.00 руб.</t>
  </si>
  <si>
    <t>VLC-721117</t>
  </si>
  <si>
    <t>VTr.340.N.0007</t>
  </si>
  <si>
    <t>Муфта разъемная 1 1/4" вн.-вн.   (5 /20шт)</t>
  </si>
  <si>
    <t>1 518.00 руб.</t>
  </si>
  <si>
    <t>VLC-721118</t>
  </si>
  <si>
    <t>VTr.340.N.0008</t>
  </si>
  <si>
    <t>Муфта разъемная 1 1/2" вн.-вн.   (5 /15шт)</t>
  </si>
  <si>
    <t>1 954.00 руб.</t>
  </si>
  <si>
    <t>VLC-721119</t>
  </si>
  <si>
    <t>VTr.340.C.0004</t>
  </si>
  <si>
    <t>Муфта разъемная 1/2" вн.-вн. Хром   (10 /110шт)</t>
  </si>
  <si>
    <t>362.00 руб.</t>
  </si>
  <si>
    <t>VLC-721120</t>
  </si>
  <si>
    <t>VTr.340.C.0005</t>
  </si>
  <si>
    <t>Муфта разъемная 3/4" вн.-вн. Хром   (5 /50шт)</t>
  </si>
  <si>
    <t>652.00 руб.</t>
  </si>
  <si>
    <t>VLC-721121</t>
  </si>
  <si>
    <t>VTr.340.C.0006</t>
  </si>
  <si>
    <t>Муфта разъемная 1" вн.-вн. Хром  (5 /35шт)</t>
  </si>
  <si>
    <t>892.00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</si>
  <si>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</si>
  <si>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</si>
  <si>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</si>
  <si>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</si>
  <si>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</si>
  <si>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</si>
  <si>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416.00 руб.</t>
  </si>
  <si>
    <t>VLC-721124</t>
  </si>
  <si>
    <t>VTr.341.N.0006</t>
  </si>
  <si>
    <t>Сгон прямой разъемный (американка) 1" вн.-нар.   (5 /40шт)</t>
  </si>
  <si>
    <t>812.00 руб.</t>
  </si>
  <si>
    <t>VLC-721125</t>
  </si>
  <si>
    <t>VTr.341.N.0007</t>
  </si>
  <si>
    <t>Сгон прямой разъемный (американка) 1 1/4" вн.-нар.   (5 /25шт)</t>
  </si>
  <si>
    <t>VLC-721126</t>
  </si>
  <si>
    <t>VTr.341.N.0008</t>
  </si>
  <si>
    <t>Сгон прямой разъемный (американка) 1 1/2" вн.-нар.   (5 /15шт)</t>
  </si>
  <si>
    <t>1 788.00 руб.</t>
  </si>
  <si>
    <t>VLC-721127</t>
  </si>
  <si>
    <t>VTr.341.N.0009</t>
  </si>
  <si>
    <t>Сгон прямой разъемный (американка) 2" вн.-нар.  (1 /8шт)</t>
  </si>
  <si>
    <t>3 907.00 руб.</t>
  </si>
  <si>
    <t>VLC-721129</t>
  </si>
  <si>
    <t>VTr.424.N.M004</t>
  </si>
  <si>
    <t>Переходник для подключения датчика температуры M10х1/2"   (10 /380шт)</t>
  </si>
  <si>
    <t>98.00 руб.</t>
  </si>
  <si>
    <t>VLC-721130</t>
  </si>
  <si>
    <t>VTr.424.N.M005</t>
  </si>
  <si>
    <t>Переходник для подключения датчика температуры M10х3/4"   (10 /300шт)</t>
  </si>
  <si>
    <t>118.00 руб.</t>
  </si>
  <si>
    <t>VLC-721131</t>
  </si>
  <si>
    <t>VTr.424.N.M006</t>
  </si>
  <si>
    <t>Переходник для подключения датчика температуры M10х1"   (10 /170шт)</t>
  </si>
  <si>
    <t>190.00 руб.</t>
  </si>
  <si>
    <t>VLC-721132</t>
  </si>
  <si>
    <t>VTr.551.N.04064</t>
  </si>
  <si>
    <t>Гильза для погружного датчика температуры 1/2"х64мм   (10 /160шт)</t>
  </si>
  <si>
    <t>297.00 руб.</t>
  </si>
  <si>
    <t>VLC-721133</t>
  </si>
  <si>
    <t>VTr.551.N.04090</t>
  </si>
  <si>
    <t>Гильза для погружного датчика температуры 1/2"х90мм  (10 /140шт)</t>
  </si>
  <si>
    <t>333.00 руб.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</si>
  <si>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</si>
  <si>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</si>
  <si>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</si>
  <si>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540.00 руб.</t>
  </si>
  <si>
    <t>VLC-721135</t>
  </si>
  <si>
    <t>VTr.580.NE.040E</t>
  </si>
  <si>
    <t>Ниппель переходной 1/2" х евроконус нар.-нар.   (10 /250шт)</t>
  </si>
  <si>
    <t>156.00 руб.</t>
  </si>
  <si>
    <t>VLC-721136</t>
  </si>
  <si>
    <t>VTr.580.N.0302</t>
  </si>
  <si>
    <t>Ниппель переходной 3/8"х1/4" нар.-нар.  (10 /500шт)</t>
  </si>
  <si>
    <t>54.00 руб.</t>
  </si>
  <si>
    <t>VLC-721137</t>
  </si>
  <si>
    <t>VTr.580.N.0402</t>
  </si>
  <si>
    <t>Ниппель переходной 1/2"х1/4" нар.-нар.  (10 /400шт)</t>
  </si>
  <si>
    <t>71.00 руб.</t>
  </si>
  <si>
    <t>VLC-721138</t>
  </si>
  <si>
    <t>VTr.580.N.0403</t>
  </si>
  <si>
    <t>Ниппель переходной 1/2"х3/8" нар.-нар.  (10 /400шт)</t>
  </si>
  <si>
    <t>81.00 руб.</t>
  </si>
  <si>
    <t>VLC-721139</t>
  </si>
  <si>
    <t>VTr.580.N.0504</t>
  </si>
  <si>
    <t>Ниппель переходной 3/4"х1/2" нар.-нар.   (10 /220шт)</t>
  </si>
  <si>
    <t>117.00 руб.</t>
  </si>
  <si>
    <t>VLC-721140</t>
  </si>
  <si>
    <t>VTr.580.N.0604</t>
  </si>
  <si>
    <t>Ниппель переходной 1"х1/2" нар.-нар.   (10 /130шт)</t>
  </si>
  <si>
    <t>241.00 руб.</t>
  </si>
  <si>
    <t>VLC-721141</t>
  </si>
  <si>
    <t>VTr.580.N.0605</t>
  </si>
  <si>
    <t>Ниппель переходной 1"х3/4" нар.-нар.   (10 /110шт)</t>
  </si>
  <si>
    <t>237.00 руб.</t>
  </si>
  <si>
    <t>VLC-721142</t>
  </si>
  <si>
    <t>VTr.580.N.0705</t>
  </si>
  <si>
    <t>Ниппель переходной 1 1/4"х3/4" нар.-нар. (10 /80шт)</t>
  </si>
  <si>
    <t>399.00 руб.</t>
  </si>
  <si>
    <t>VLC-721143</t>
  </si>
  <si>
    <t>VTr.580.N.0706</t>
  </si>
  <si>
    <t>Ниппель переходной 1 1/4"х1" нар.-нар. (10 /60шт)</t>
  </si>
  <si>
    <t>439.00 руб.</t>
  </si>
  <si>
    <t>VLC-721144</t>
  </si>
  <si>
    <t>VTr.580.N.0704</t>
  </si>
  <si>
    <t>Ниппель переходной 1 1/4"х1/2" нар.-нар. (10 /80шт)</t>
  </si>
  <si>
    <t>VLC-721145</t>
  </si>
  <si>
    <t>VTr.580.N.0804</t>
  </si>
  <si>
    <t>Ниппель переходной 1 1/2"х1/2" нар.-нар.  (10 /50шт)</t>
  </si>
  <si>
    <t>489.00 руб.</t>
  </si>
  <si>
    <t>VLC-721146</t>
  </si>
  <si>
    <t>VTr.580.N.0806</t>
  </si>
  <si>
    <t>Ниппель переходной 1 1/2"х1" нар.-нар.  (10 /60шт)</t>
  </si>
  <si>
    <t>510.00 руб.</t>
  </si>
  <si>
    <t>VLC-721147</t>
  </si>
  <si>
    <t>VTr.580.N.0807</t>
  </si>
  <si>
    <t>Ниппель переходной 1 1/2"х1 1/4" нар.-нар.  (10 /40шт)</t>
  </si>
  <si>
    <t>547.00 руб.</t>
  </si>
  <si>
    <t>VLC-721148</t>
  </si>
  <si>
    <t>VTr.580.N.0805</t>
  </si>
  <si>
    <t>Ниппель переходной 1 1/2"х3/4" нар.-нар.  (10 /50шт)</t>
  </si>
  <si>
    <t>493.00 руб.</t>
  </si>
  <si>
    <t>VLC-721149</t>
  </si>
  <si>
    <t>VTr.580.N.0906</t>
  </si>
  <si>
    <t>Ниппель переходной 2"х1" нар.-нар.  (10 /30шт)</t>
  </si>
  <si>
    <t>840.00 руб.</t>
  </si>
  <si>
    <t>VLC-721150</t>
  </si>
  <si>
    <t>VTr.580.N.0907</t>
  </si>
  <si>
    <t>Ниппель переходной 2"х1 1/4" нар.-нар.  (10 /30шт)</t>
  </si>
  <si>
    <t>VLC-721151</t>
  </si>
  <si>
    <t>VTr.580.N.0908</t>
  </si>
  <si>
    <t>Ниппель переходной 2"х1 1/2" нар.-нар.  (10 /30шт)</t>
  </si>
  <si>
    <t>763.00 руб.</t>
  </si>
  <si>
    <t>VLC-721152</t>
  </si>
  <si>
    <t>VTr.580.N.0905</t>
  </si>
  <si>
    <t>Ниппель переходной 2"х3/4" нар.-нар.  (10 /30шт)</t>
  </si>
  <si>
    <t>788.00 руб.</t>
  </si>
  <si>
    <t>VLC-721153</t>
  </si>
  <si>
    <t>VTr.580.N.0904</t>
  </si>
  <si>
    <t>Ниппель переходной 2"х1/2" нар.-нар.  (10 /30шт)</t>
  </si>
  <si>
    <t>819.00 руб.</t>
  </si>
  <si>
    <t>VLC-721154</t>
  </si>
  <si>
    <t>VTr.581.N.0302</t>
  </si>
  <si>
    <t>Футорка 3/8"х1/4" нар.-вн.  (10 /700шт)</t>
  </si>
  <si>
    <t>29.00 руб.</t>
  </si>
  <si>
    <t>VLC-721155</t>
  </si>
  <si>
    <t>VTr.581.N.0402</t>
  </si>
  <si>
    <t>Футорка 1/2"х1/4" нар.-вн.   (10 /450шт)</t>
  </si>
  <si>
    <t>76.00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</si>
  <si>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</si>
  <si>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</si>
  <si>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</si>
  <si>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</si>
  <si>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</si>
  <si>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</si>
  <si>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95.00 руб.</t>
  </si>
  <si>
    <t>VLC-721158</t>
  </si>
  <si>
    <t>VTr.581.N.0604</t>
  </si>
  <si>
    <t>Футорка 1"х1/2" нар.-вн.  (10 /180шт)</t>
  </si>
  <si>
    <t>249.00 руб.</t>
  </si>
  <si>
    <t>VLC-721159</t>
  </si>
  <si>
    <t>VTr.581.N.0605</t>
  </si>
  <si>
    <t>Футорка 1"х3/4" нар.-вн.  (10 /180шт)</t>
  </si>
  <si>
    <t>VLC-721160</t>
  </si>
  <si>
    <t>VTr.581.N.0704</t>
  </si>
  <si>
    <t>Футорка 1 1/4" х1/2" нар.-вн.   (10 /100шт)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</si>
  <si>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</si>
  <si>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</si>
  <si>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</si>
  <si>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</si>
  <si>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</si>
  <si>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</si>
  <si>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309.00 руб.</t>
  </si>
  <si>
    <t>VLC-721163</t>
  </si>
  <si>
    <t>VTr.581.N.0804</t>
  </si>
  <si>
    <t>Футорка 1 1/2"х1/2" нар.-вн.  (10 /70шт)</t>
  </si>
  <si>
    <t>885.00 руб.</t>
  </si>
  <si>
    <t>VLC-721164</t>
  </si>
  <si>
    <t>VTr.581.N.0805</t>
  </si>
  <si>
    <t>Футорка 1 1/2"х3/4" нар.-вн. (10 /80шт)</t>
  </si>
  <si>
    <t>793.00 руб.</t>
  </si>
  <si>
    <t>VLC-721165</t>
  </si>
  <si>
    <t>VTr.581.N.0806</t>
  </si>
  <si>
    <t>Футорка 1 1/2"х1" нар.-вн. (10 /80шт)</t>
  </si>
  <si>
    <t>617.00 руб.</t>
  </si>
  <si>
    <t>VLC-721166</t>
  </si>
  <si>
    <t>VTr.581.N.0807</t>
  </si>
  <si>
    <t>Футорка 1 1/2"х1 1/4" нар.-вн. (10 /80шт)</t>
  </si>
  <si>
    <t>VLC-721167</t>
  </si>
  <si>
    <t>VTr.581.N.0904</t>
  </si>
  <si>
    <t>Футорка 2"х1/2" нар.-вн.  (10 /50шт)</t>
  </si>
  <si>
    <t>986.00 руб.</t>
  </si>
  <si>
    <t>VLC-721168</t>
  </si>
  <si>
    <t>VTr.581.N.0905</t>
  </si>
  <si>
    <t>Футорка 2"х3/4" нар.-вн.  (10 /40шт)</t>
  </si>
  <si>
    <t>945.00 руб.</t>
  </si>
  <si>
    <t>VLC-721169</t>
  </si>
  <si>
    <t>VTr.581.N.0907</t>
  </si>
  <si>
    <t>Футорка 2"х1 1/4" нар.-вн.  (10 /40шт)</t>
  </si>
  <si>
    <t>904.00 руб.</t>
  </si>
  <si>
    <t>VLC-721170</t>
  </si>
  <si>
    <t>VTr.581.N.0908</t>
  </si>
  <si>
    <t>Футорка 2"х1 1/2" нар.-вн.  (10 /40шт)</t>
  </si>
  <si>
    <t>653.00 руб.</t>
  </si>
  <si>
    <t>VLC-721171</t>
  </si>
  <si>
    <t>VTr.581.N.0906</t>
  </si>
  <si>
    <t>Футорка 2"х1" нар.-вн.  (10 /40шт)</t>
  </si>
  <si>
    <t>1 093.00 руб.</t>
  </si>
  <si>
    <t>VLC-721172</t>
  </si>
  <si>
    <t>VTr.582.N.0004</t>
  </si>
  <si>
    <t>Ниппель 1/2" нар.-нар.  (10 /360шт)</t>
  </si>
  <si>
    <t>70.00 руб.</t>
  </si>
  <si>
    <t>VLC-721173</t>
  </si>
  <si>
    <t>VTr.582.N.0005</t>
  </si>
  <si>
    <t>Ниппель 3/4" нар.-нар.  (10 /200шт)</t>
  </si>
  <si>
    <t>132.00 руб.</t>
  </si>
  <si>
    <t>VLC-721174</t>
  </si>
  <si>
    <t>VTr.582.N.0006</t>
  </si>
  <si>
    <t>Ниппель 1" нар.-нар.  (10 /100шт)</t>
  </si>
  <si>
    <t>270.00 руб.</t>
  </si>
  <si>
    <t>VLC-721175</t>
  </si>
  <si>
    <t>VTr.582.N.0007</t>
  </si>
  <si>
    <t>Ниппель 1 1/4" нар.-нар.   (10 /60шт)</t>
  </si>
  <si>
    <t>389.00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</si>
  <si>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</si>
  <si>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</si>
  <si>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</si>
  <si>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</si>
  <si>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</si>
  <si>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</si>
  <si>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797.00 руб.</t>
  </si>
  <si>
    <t>VLC-721178</t>
  </si>
  <si>
    <t>VTr.583.N.0004</t>
  </si>
  <si>
    <t>Пробка 1/2" нар.  (10 /450шт)</t>
  </si>
  <si>
    <t>79.00 руб.</t>
  </si>
  <si>
    <t>VLC-721179</t>
  </si>
  <si>
    <t>VTr.583.N.0005</t>
  </si>
  <si>
    <t>Пробка 3/4" нар.  (10 /320шт)</t>
  </si>
  <si>
    <t>126.00 руб.</t>
  </si>
  <si>
    <t>VLC-721180</t>
  </si>
  <si>
    <t>VTr.583.N.0006</t>
  </si>
  <si>
    <t>Пробка 1" нар.  (10 /180шт)</t>
  </si>
  <si>
    <t>240.00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</si>
  <si>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</si>
  <si>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</si>
  <si>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</si>
  <si>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</si>
  <si>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</si>
  <si>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</si>
  <si>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484.00 руб.</t>
  </si>
  <si>
    <t>VLC-721183</t>
  </si>
  <si>
    <t>VTr.583.N.0009</t>
  </si>
  <si>
    <t>Пробка 2" нар.  (10 /40шт)</t>
  </si>
  <si>
    <t>872.00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</si>
  <si>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</si>
  <si>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</si>
  <si>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</si>
  <si>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</si>
  <si>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</si>
  <si>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</si>
  <si>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125.00 руб.</t>
  </si>
  <si>
    <t>VLC-721186</t>
  </si>
  <si>
    <t>VTr.590.N.0006</t>
  </si>
  <si>
    <t>Заглушка 1" вн.  (10 /180шт)</t>
  </si>
  <si>
    <t>171.00 руб.</t>
  </si>
  <si>
    <t>VLC-721187</t>
  </si>
  <si>
    <t>VTr.590.N.0007</t>
  </si>
  <si>
    <t>Заглушка 1 1/4" вн.  (10 /90шт)</t>
  </si>
  <si>
    <t>366.00 руб.</t>
  </si>
  <si>
    <t>VLC-721188</t>
  </si>
  <si>
    <t>VTr.590.N.0008</t>
  </si>
  <si>
    <t>Заглушка 1 1/2" вн.  (10 /50шт)</t>
  </si>
  <si>
    <t>546.00 руб.</t>
  </si>
  <si>
    <t>VLC-721189</t>
  </si>
  <si>
    <t>VTr.590.N.0009</t>
  </si>
  <si>
    <t>Заглушка 2" вн.  (10 /30шт)</t>
  </si>
  <si>
    <t>874.00 руб.</t>
  </si>
  <si>
    <t>VLC-721190</t>
  </si>
  <si>
    <t>VTr.592.NE.040E</t>
  </si>
  <si>
    <t>Переходник 1/2" х евроконус вн.-нар.  (10 /170шт)</t>
  </si>
  <si>
    <t>184.00 руб.</t>
  </si>
  <si>
    <t>VLC-721191</t>
  </si>
  <si>
    <t>VTr.592.NE.050E</t>
  </si>
  <si>
    <t>Переходник 3/4" х евроконус вн.-нар.   (10 /160шт)</t>
  </si>
  <si>
    <t>207.00 руб.</t>
  </si>
  <si>
    <t>VLC-721192</t>
  </si>
  <si>
    <t>VTr.592.N.0302</t>
  </si>
  <si>
    <t>Переходник 3/8"х1/4" вн.-нар.   (10 /480шт)</t>
  </si>
  <si>
    <t>61.00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</si>
  <si>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</si>
  <si>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</si>
  <si>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</si>
  <si>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</si>
  <si>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</si>
  <si>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</si>
  <si>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82.00 руб.</t>
  </si>
  <si>
    <t>VLC-721195</t>
  </si>
  <si>
    <t>VTr.592.N.0504</t>
  </si>
  <si>
    <t>Переходник 3/4"х1/2" вн.-нар.  (10 /170шт)</t>
  </si>
  <si>
    <t>188.00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</si>
  <si>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</si>
  <si>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</si>
  <si>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</si>
  <si>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</si>
  <si>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</si>
  <si>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</si>
  <si>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208.00 руб.</t>
  </si>
  <si>
    <t>VLC-721198</t>
  </si>
  <si>
    <t>VTr.592.N.0704</t>
  </si>
  <si>
    <t>Переходник 1 1/4"х1/2" вн.-нар. (10 /80шт)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</si>
  <si>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</si>
  <si>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</si>
  <si>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</si>
  <si>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</si>
  <si>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</si>
  <si>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</si>
  <si>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436.00 руб.</t>
  </si>
  <si>
    <t>VLC-721201</t>
  </si>
  <si>
    <t>VTr.592.N.0806</t>
  </si>
  <si>
    <t>Переходник 1 1/2"х1" вн.-нар.  (8 /64шт)</t>
  </si>
  <si>
    <t>633.00 руб.</t>
  </si>
  <si>
    <t>VLC-721202</t>
  </si>
  <si>
    <t>VTr.592.N.0807</t>
  </si>
  <si>
    <t>Переходник 1 1/2"х 1 1/4" вн.-нар.   (8 /64шт)</t>
  </si>
  <si>
    <t>610.00 руб.</t>
  </si>
  <si>
    <t>VLC-721203</t>
  </si>
  <si>
    <t>VTr.592.N.0906</t>
  </si>
  <si>
    <t>Переходник 2"х1" вн.-нар.   (8 /48шт)</t>
  </si>
  <si>
    <t>VLC-721204</t>
  </si>
  <si>
    <t>VTr.592.N.0907</t>
  </si>
  <si>
    <t>Переходник 2" х 1 1/4" вн.-нар.   (6 /36шт)</t>
  </si>
  <si>
    <t>882.00 руб.</t>
  </si>
  <si>
    <t>VLC-721205</t>
  </si>
  <si>
    <t>VTr.592.N.0908</t>
  </si>
  <si>
    <t>Переходник 2" х 1 1/2" вн.-нар.   (6 /36шт)</t>
  </si>
  <si>
    <t>818.00 руб.</t>
  </si>
  <si>
    <t>VLC-721206</t>
  </si>
  <si>
    <t>VTr.600.N.06110</t>
  </si>
  <si>
    <t>Пятиходовое соединение для насоса, 1"х110 мм   (5 /20шт)</t>
  </si>
  <si>
    <t>957.00 руб.</t>
  </si>
  <si>
    <t>VLC-721207</t>
  </si>
  <si>
    <t>VTr.600.N.06080</t>
  </si>
  <si>
    <t>Пятиходовое соединение для насоса, 1"х80 мм   (5 /25шт)</t>
  </si>
  <si>
    <t>762.00 руб.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</si>
  <si>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</si>
  <si>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</si>
  <si>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</si>
  <si>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</si>
  <si>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</si>
  <si>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</si>
  <si>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127.00 руб.</t>
  </si>
  <si>
    <t>VLC-721210</t>
  </si>
  <si>
    <t>VTr.611.N.0004</t>
  </si>
  <si>
    <t>Полусгон с накидной гайкой 1/2"  (10 /140шт)</t>
  </si>
  <si>
    <t>272.00 руб.</t>
  </si>
  <si>
    <t>VLC-721211</t>
  </si>
  <si>
    <t>VTr.611.N.0005</t>
  </si>
  <si>
    <t>Полусгон с накидной гайкой 3/4"  (10 /70шт)</t>
  </si>
  <si>
    <t>449.00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</si>
  <si>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</si>
  <si>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</si>
  <si>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</si>
  <si>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</si>
  <si>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</si>
  <si>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</si>
  <si>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629.00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</si>
  <si>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</si>
  <si>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</si>
  <si>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</si>
  <si>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</si>
  <si>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</si>
  <si>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</si>
  <si>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166.00 руб.</t>
  </si>
  <si>
    <t>VLC-721216</t>
  </si>
  <si>
    <t>VTr.613.N.0504</t>
  </si>
  <si>
    <t>Полусгон прямой с накидной гайкой, 3/4"x1/2"  (10 /120шт)</t>
  </si>
  <si>
    <t>202.00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</si>
  <si>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</si>
  <si>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</si>
  <si>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</si>
  <si>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</si>
  <si>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</si>
  <si>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</si>
  <si>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186.00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</si>
  <si>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</si>
  <si>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</si>
  <si>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</si>
  <si>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</si>
  <si>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</si>
  <si>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</si>
  <si>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105.00 руб.</t>
  </si>
  <si>
    <t>VLC-721221</t>
  </si>
  <si>
    <t>VTr.650.N.0412</t>
  </si>
  <si>
    <t>Штуцер для присоединения шланга 1/2" нар. Х12мм  (10 /280шт)</t>
  </si>
  <si>
    <t>110.00 руб.</t>
  </si>
  <si>
    <t>VLC-721222</t>
  </si>
  <si>
    <t>VTr.650.N.0414</t>
  </si>
  <si>
    <t>Штуцер для присоединения шланга 1/2" нар. Х14мм   (10 /280шт)</t>
  </si>
  <si>
    <t>VLC-721223</t>
  </si>
  <si>
    <t>VTr.650.N.0416</t>
  </si>
  <si>
    <t>Штуцер для присоединения шланга 1/2" нар. Х16мм    (10 /260шт)</t>
  </si>
  <si>
    <t>VLC-721224</t>
  </si>
  <si>
    <t>VTr.650.N.0418</t>
  </si>
  <si>
    <t>Штуцер для присоединения шланга 1/2" нар. Х18мм  (10 /260шт)</t>
  </si>
  <si>
    <t>131.00 руб.</t>
  </si>
  <si>
    <t>VLC-721225</t>
  </si>
  <si>
    <t>VTr.650.N.0420</t>
  </si>
  <si>
    <t>Штуцер для присоединения шланга 1/2" нар. Х20мм  (10 /240шт)</t>
  </si>
  <si>
    <t>135.00 руб.</t>
  </si>
  <si>
    <t>VLC-721226</t>
  </si>
  <si>
    <t>VTr.650.N.0520</t>
  </si>
  <si>
    <t>Штуцер для присоединения шланга 3/4" нар. Х20мм  (10 /150шт)</t>
  </si>
  <si>
    <t>182.00 руб.</t>
  </si>
  <si>
    <t>VLC-721227</t>
  </si>
  <si>
    <t>VTr.651.N.0004</t>
  </si>
  <si>
    <t>Ниппель под сгонный ключ 1/2" нар.  (10 /200шт)</t>
  </si>
  <si>
    <t>142.00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</si>
  <si>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</si>
  <si>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</si>
  <si>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</si>
  <si>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</si>
  <si>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</si>
  <si>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</si>
  <si>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219.00 руб.</t>
  </si>
  <si>
    <t>VLC-721230</t>
  </si>
  <si>
    <t>VTr.652.N.0408</t>
  </si>
  <si>
    <t>Бочонок 1/2" нар. Х80мм (10 /110шт)</t>
  </si>
  <si>
    <t>VLC-721231</t>
  </si>
  <si>
    <t>VTr.652.N.0410</t>
  </si>
  <si>
    <t>Бочонок 1/2" нар. Х100мм  (10 /100шт)</t>
  </si>
  <si>
    <t>369.00 руб.</t>
  </si>
  <si>
    <t>VLC-721232</t>
  </si>
  <si>
    <t>VTr.652.N.0415</t>
  </si>
  <si>
    <t>Бочонок 1/2" нар. Х150мм (10 /70шт)</t>
  </si>
  <si>
    <t>574.00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</si>
  <si>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</si>
  <si>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</si>
  <si>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</si>
  <si>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</si>
  <si>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</si>
  <si>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</si>
  <si>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1 038.00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</si>
  <si>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</si>
  <si>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</si>
  <si>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</si>
  <si>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</si>
  <si>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</si>
  <si>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</si>
  <si>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379.00 руб.</t>
  </si>
  <si>
    <t>VLC-721237</t>
  </si>
  <si>
    <t>VTr.653.N.0415</t>
  </si>
  <si>
    <t>Сгон 1/2" нар. Х150мм   (10 /70шт)</t>
  </si>
  <si>
    <t>535.00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</si>
  <si>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</si>
  <si>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</si>
  <si>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</si>
  <si>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</si>
  <si>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</si>
  <si>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</si>
  <si>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921.00 руб.</t>
  </si>
  <si>
    <t>VLC-721240</t>
  </si>
  <si>
    <t>VTr.654.N.0410</t>
  </si>
  <si>
    <t>Штуцер для присоединения шланга 1/2" внутр. Х10мм   (10 /300шт)</t>
  </si>
  <si>
    <t>109.00 руб.</t>
  </si>
  <si>
    <t>VLC-721241</t>
  </si>
  <si>
    <t>VTr.654.N.0412</t>
  </si>
  <si>
    <t>Штуцер для присоединения шланга 1/2" внутр. Х12мм (10 /280шт)</t>
  </si>
  <si>
    <t>115.00 руб.</t>
  </si>
  <si>
    <t>VLC-721242</t>
  </si>
  <si>
    <t>VTr.654.N.0414</t>
  </si>
  <si>
    <t>Штуцер для присоединения шланга 1/2" внутр. Х14мм (10 /280шт)</t>
  </si>
  <si>
    <t>120.00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</si>
  <si>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</si>
  <si>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</si>
  <si>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</si>
  <si>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</si>
  <si>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</si>
  <si>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</si>
  <si>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</si>
  <si>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</si>
  <si>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</si>
  <si>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</si>
  <si>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</si>
  <si>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</si>
  <si>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</si>
  <si>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</si>
  <si>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</si>
  <si>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37.00 руб.</t>
  </si>
  <si>
    <t>VLC-721248</t>
  </si>
  <si>
    <t>VTr.655.N.0005</t>
  </si>
  <si>
    <t>Контргайка 3/4" (10 /500шт)</t>
  </si>
  <si>
    <t>73.00 руб.</t>
  </si>
  <si>
    <t>VLC-721249</t>
  </si>
  <si>
    <t>VTr.655.N.0006</t>
  </si>
  <si>
    <t>Контргайка 1"   (10 /350шт)</t>
  </si>
  <si>
    <t>80.00 руб.</t>
  </si>
  <si>
    <t>VLC-721250</t>
  </si>
  <si>
    <t>VTr.655.N.0007</t>
  </si>
  <si>
    <t>Контргайка 1 1/4"  (10 2060шт)</t>
  </si>
  <si>
    <t>116.00 руб.</t>
  </si>
  <si>
    <t>VLC-721251</t>
  </si>
  <si>
    <t>VTr.655.N.0008</t>
  </si>
  <si>
    <t>Контргайка 1 1/2"   (10 /120шт)</t>
  </si>
  <si>
    <t>178.00 руб.</t>
  </si>
  <si>
    <t>VLC-721252</t>
  </si>
  <si>
    <t>VTr.655.N.0009</t>
  </si>
  <si>
    <t>Контргайка 2" (10 /60шт)</t>
  </si>
  <si>
    <t>VLC-721253</t>
  </si>
  <si>
    <t>VTr.656.N.0004</t>
  </si>
  <si>
    <t>Контргайка ГОСТ 1/2"  (10 /500шт)</t>
  </si>
  <si>
    <t>92.00 руб.</t>
  </si>
  <si>
    <t>VLC-721254</t>
  </si>
  <si>
    <t>VTr.656.N.0005</t>
  </si>
  <si>
    <t>Контргайка ГОСТ 3/4"  (10 /420шт)</t>
  </si>
  <si>
    <t>102.00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</si>
  <si>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</si>
  <si>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</si>
  <si>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</si>
  <si>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</si>
  <si>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</si>
  <si>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</si>
  <si>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290.00 руб.</t>
  </si>
  <si>
    <t>VLC-721257</t>
  </si>
  <si>
    <t>VTr.657.N.1010</t>
  </si>
  <si>
    <t>Соединитель шланга 10мм  (10 /680шт)</t>
  </si>
  <si>
    <t>48.00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</si>
  <si>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</si>
  <si>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</si>
  <si>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</si>
  <si>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</si>
  <si>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</si>
  <si>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</si>
  <si>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87.00 руб.</t>
  </si>
  <si>
    <t>VLC-721260</t>
  </si>
  <si>
    <t>VTr.657.N.1616</t>
  </si>
  <si>
    <t>Соединитель шланга 16мм   (10 /320шт)</t>
  </si>
  <si>
    <t>103.00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</si>
  <si>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</si>
  <si>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</si>
  <si>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</si>
  <si>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</si>
  <si>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</si>
  <si>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</si>
  <si>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141.00 руб.</t>
  </si>
  <si>
    <t>VLC-721263</t>
  </si>
  <si>
    <t>VTr.660.N.0605</t>
  </si>
  <si>
    <t>Футорка под шестигранник 1"х3/4" нар.-вн.   (10 /220шт)</t>
  </si>
  <si>
    <t>164.00 руб.</t>
  </si>
  <si>
    <t>VLC-721264</t>
  </si>
  <si>
    <t>VTr.660.N.0403</t>
  </si>
  <si>
    <t>Футорка под шестигранник 1/2"х3/8" нар.-вн. (10 /500шт)</t>
  </si>
  <si>
    <t>58.00 руб.</t>
  </si>
  <si>
    <t>VLC-721265</t>
  </si>
  <si>
    <t>VTr.660.N.0405</t>
  </si>
  <si>
    <t>Футорка под шестигранник 3/4"х1/2" нар.-вн.  (10 /350шт)</t>
  </si>
  <si>
    <t>96.00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</si>
  <si>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</si>
  <si>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</si>
  <si>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</si>
  <si>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</si>
  <si>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</si>
  <si>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</si>
  <si>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230.00 руб.</t>
  </si>
  <si>
    <t>VLC-721268</t>
  </si>
  <si>
    <t>VTr.728.N.0004</t>
  </si>
  <si>
    <t>Сгон прямой разъемный (американка) 1/2" нар.-нар.   (10 /120шт)</t>
  </si>
  <si>
    <t>VLC-721269</t>
  </si>
  <si>
    <t>VTr.728.N.0005</t>
  </si>
  <si>
    <t>Сгон прямой разъемный (американка) 3/4" нар.-нар. (10 /70шт)</t>
  </si>
  <si>
    <t>448.00 руб.</t>
  </si>
  <si>
    <t>VLC-721270</t>
  </si>
  <si>
    <t>VTr.728.N.0006</t>
  </si>
  <si>
    <t>Сгон прямой разъемный (американка) 1" нар.-нар.   (5 /40шт)</t>
  </si>
  <si>
    <t>901.00 руб.</t>
  </si>
  <si>
    <t>VLC-721271</t>
  </si>
  <si>
    <t>VTr.728.N.0007</t>
  </si>
  <si>
    <t>Сгон прямой разъемный (американка) 1 1/4" нар.-нар.   (5 /25шт)</t>
  </si>
  <si>
    <t>1 296.00 руб.</t>
  </si>
  <si>
    <t>VLC-721272</t>
  </si>
  <si>
    <t>VTr.728.N.0008</t>
  </si>
  <si>
    <t>Сгон прямой разъемный (американка) 1 1/2" нар.-нар.    (5 /15шт)</t>
  </si>
  <si>
    <t>1 744.00 руб.</t>
  </si>
  <si>
    <t>VLC-721273</t>
  </si>
  <si>
    <t>VTr.728.N.0009</t>
  </si>
  <si>
    <t>Сгон прямой разъемный (американка) 2" нар.-нар.   (1 /8шт)</t>
  </si>
  <si>
    <t>4 243.00 руб.</t>
  </si>
  <si>
    <t>VLC-721274</t>
  </si>
  <si>
    <t>VTr.750.N.0504</t>
  </si>
  <si>
    <t>Тройник переходной 3/4"х1/2"х3/4" вн.-вн.-вн.  (10 /50шт)</t>
  </si>
  <si>
    <t>424.00 руб.</t>
  </si>
  <si>
    <t>VLC-721275</t>
  </si>
  <si>
    <t>VTr.750.RN.040504</t>
  </si>
  <si>
    <t>Тройник переходной 1/2"х3/4"х1/2" вн.-вн.-вн.  (10 /70шт)</t>
  </si>
  <si>
    <t>347.00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</si>
  <si>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</si>
  <si>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</si>
  <si>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</si>
  <si>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</si>
  <si>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</si>
  <si>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</si>
  <si>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431.00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</si>
  <si>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</si>
  <si>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</si>
  <si>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</si>
  <si>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</si>
  <si>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</si>
  <si>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</si>
  <si>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606.00 руб.</t>
  </si>
  <si>
    <t>VLC-721280</t>
  </si>
  <si>
    <t>VTr.750.N.0706</t>
  </si>
  <si>
    <t>Тройник переходной 1 1/4"х1"х1 1/4" вн.-вн.-вн.    (5 /20шт)</t>
  </si>
  <si>
    <t>1 262.00 руб.</t>
  </si>
  <si>
    <t>VLC-721281</t>
  </si>
  <si>
    <t>VTr.750.N.0704</t>
  </si>
  <si>
    <t>Тройник переходной 1 1/4"х1/2"х1 1/4" вн.-вн.-вн. (10 /20шт)</t>
  </si>
  <si>
    <t>930.00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</si>
  <si>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</si>
  <si>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</si>
  <si>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</si>
  <si>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</si>
  <si>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</si>
  <si>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</si>
  <si>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285.00 руб.</t>
  </si>
  <si>
    <t>VLC-721284</t>
  </si>
  <si>
    <t>VTr.756.N.0004</t>
  </si>
  <si>
    <t>Переходник для греющего кабеля (с набором уплотнителей)  (10 /200шт)</t>
  </si>
  <si>
    <t>210.00 руб.</t>
  </si>
  <si>
    <t>VLC-721285</t>
  </si>
  <si>
    <t>VTr.760.N.0004</t>
  </si>
  <si>
    <t>Крестовина 1/2" вн.  (10 /80шт)</t>
  </si>
  <si>
    <t>321.00 руб.</t>
  </si>
  <si>
    <t>VLC-721286</t>
  </si>
  <si>
    <t>VTr.760.N.0005</t>
  </si>
  <si>
    <t>Крестовина 3/4" вн.  (10 /40шт)</t>
  </si>
  <si>
    <t>503.00 руб.</t>
  </si>
  <si>
    <t>VLC-721287</t>
  </si>
  <si>
    <t>VTr.760.N.0006</t>
  </si>
  <si>
    <t>Крестовина 1" вн.  (5 /20шт)</t>
  </si>
  <si>
    <t>924.00 руб.</t>
  </si>
  <si>
    <t>VLC-721288</t>
  </si>
  <si>
    <t>VTr.132.N.0004</t>
  </si>
  <si>
    <t>Тройник с переходом на нар. р. 1/2" вн.-нар.-вн.  (10 /100шт)</t>
  </si>
  <si>
    <t>322.00 руб.</t>
  </si>
  <si>
    <t>VLC-721289</t>
  </si>
  <si>
    <t>VTr.132.N.0005</t>
  </si>
  <si>
    <t>Тройник с переходом на нар. р. 3/4" вн.-нар.-вн.  (10 /50шт)</t>
  </si>
  <si>
    <t>475.00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</si>
  <si>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</si>
  <si>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</si>
  <si>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</si>
  <si>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</si>
  <si>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</si>
  <si>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</si>
  <si>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</si>
  <si>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</si>
  <si>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</si>
  <si>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486.00 руб.</t>
  </si>
  <si>
    <t>VLC-721293</t>
  </si>
  <si>
    <t>VTr.133.N.0004</t>
  </si>
  <si>
    <t>Тройник с двумя переходами на нар. р. 1/2" вн.-нар.-нар. (10 /80шт)</t>
  </si>
  <si>
    <t>355.00 руб.</t>
  </si>
  <si>
    <t>VLC-721294</t>
  </si>
  <si>
    <t>VTr.133.N.0005</t>
  </si>
  <si>
    <t>Тройник с двумя переходами на нар. р. 3/4" вн.-нар.-нар.  (10 /50шт)</t>
  </si>
  <si>
    <t>561.00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</si>
  <si>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</si>
  <si>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</si>
  <si>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</si>
  <si>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</si>
  <si>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</si>
  <si>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</si>
  <si>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</si>
  <si>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</si>
  <si>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</si>
  <si>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485.00 руб.</t>
  </si>
  <si>
    <t>VLC-721298</t>
  </si>
  <si>
    <t>VTr.134.N.0004</t>
  </si>
  <si>
    <t>Тройник с переходом на нар. р. 1/2" вн.-вн.-нар.  (10 /100шт)</t>
  </si>
  <si>
    <t>339.00 руб.</t>
  </si>
  <si>
    <t>VLC-721299</t>
  </si>
  <si>
    <t>VTr.134.N.0005</t>
  </si>
  <si>
    <t>Тройник с переходом на нар. р. 3/4" вн.-вн.-нар.  (10 /50шт)</t>
  </si>
  <si>
    <t>564.00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</si>
  <si>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</si>
  <si>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</si>
  <si>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</si>
  <si>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</si>
  <si>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</si>
  <si>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</si>
  <si>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463.00 руб.</t>
  </si>
  <si>
    <t>VLC-721302</t>
  </si>
  <si>
    <t>VTr.134.RN.050504</t>
  </si>
  <si>
    <t>Тройник с переходом на нар. р. 3/4"х3/4"х1/2" вн.-вн.-нар.  (10 /60шт)</t>
  </si>
  <si>
    <t>518.00 руб.</t>
  </si>
  <si>
    <t>VLC-721303</t>
  </si>
  <si>
    <t>VTr.134.RN.050405</t>
  </si>
  <si>
    <t>Тройник с переходом на нар. р. 3/4"х1/2"х3/4" вн.-вн.-нар.  (10 /60шт)</t>
  </si>
  <si>
    <t>479.00 руб.</t>
  </si>
  <si>
    <t>VLC-722001</t>
  </si>
  <si>
    <t>VTr.754.N.04</t>
  </si>
  <si>
    <t>Хомут ремонтный Ду15  (10 /60шт)</t>
  </si>
  <si>
    <t>575.00 руб.</t>
  </si>
  <si>
    <t>VLC-722002</t>
  </si>
  <si>
    <t>VTr.754.N.05</t>
  </si>
  <si>
    <t>Хомут ремонтный Ду20   (5 /50шт)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</si>
  <si>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</si>
  <si>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</si>
  <si>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</si>
  <si>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</si>
  <si>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</si>
  <si>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</si>
  <si>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</si>
  <si>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</si>
  <si>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</si>
  <si>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</si>
  <si>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676.00 руб.</t>
  </si>
  <si>
    <t>VLC-723002</t>
  </si>
  <si>
    <t>VTr.755.G.0504</t>
  </si>
  <si>
    <t>Обойма-тройник ремонтная 3/4"х1/2"х3/4" вн.  (10 /40шт)</t>
  </si>
  <si>
    <t>716.00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</si>
  <si>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</si>
  <si>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</si>
  <si>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</si>
  <si>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</si>
  <si>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</si>
  <si>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700.00 руб.</t>
  </si>
  <si>
    <t>VLC-999116</t>
  </si>
  <si>
    <t>VTr.424.N.D604</t>
  </si>
  <si>
    <t>Переходник для подключения датчика температуры 6мм * 1/2" нар.</t>
  </si>
  <si>
    <t>Фитинги резьбовые ZEGOR</t>
  </si>
  <si>
    <t>ZGR-000112</t>
  </si>
  <si>
    <t>WT-080</t>
  </si>
  <si>
    <t>Пятиходовой переходник (пятерник) для насосной станции, длинна 80 мм (1/100шт)</t>
  </si>
  <si>
    <t>479.12 руб.</t>
  </si>
  <si>
    <t>ZGR-000113</t>
  </si>
  <si>
    <t>WT-090</t>
  </si>
  <si>
    <t>Пятиходовой переходник (пятерник) для насосной станции, длинна 90 мм (1/100шт)</t>
  </si>
  <si>
    <t>623.47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</si>
  <si>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</si>
  <si>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</si>
  <si>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</si>
  <si>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</si>
  <si>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</si>
  <si>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</si>
  <si>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</si>
  <si>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603.68 руб.</t>
  </si>
  <si>
    <t>Фитинги резьбовые латунные VIEIR никелированные</t>
  </si>
  <si>
    <t>FRK-110001</t>
  </si>
  <si>
    <t>SHN22</t>
  </si>
  <si>
    <t>ниппель нар-нар 3/8 (20/500шт)</t>
  </si>
  <si>
    <t>69.91 руб.</t>
  </si>
  <si>
    <t>FRK-110002</t>
  </si>
  <si>
    <t>SHN33</t>
  </si>
  <si>
    <t>ниппель нар-нар 1/2" (20/400шт)</t>
  </si>
  <si>
    <t>62.48 руб.</t>
  </si>
  <si>
    <t>FRK-110003</t>
  </si>
  <si>
    <t>SHN44</t>
  </si>
  <si>
    <t>ниппель нар-нар 3/4" (20/220шт)</t>
  </si>
  <si>
    <t>98.18 руб.</t>
  </si>
  <si>
    <t>FRK-110004</t>
  </si>
  <si>
    <t>SHN55</t>
  </si>
  <si>
    <t>ниппель нар-нар 1" (10/120шт)</t>
  </si>
  <si>
    <t>181.48 руб.</t>
  </si>
  <si>
    <t>FRK-110005</t>
  </si>
  <si>
    <t>SHN66</t>
  </si>
  <si>
    <t>ниппель нар-нар 1 1/4" (10/50шт)</t>
  </si>
  <si>
    <t>258.83 руб.</t>
  </si>
  <si>
    <t>FRK-110006</t>
  </si>
  <si>
    <t>SHN77</t>
  </si>
  <si>
    <t>ниппель нар-нар 1 1/2" (5/45шт)</t>
  </si>
  <si>
    <t>348.08 руб.</t>
  </si>
  <si>
    <t>FRK-110007</t>
  </si>
  <si>
    <t>SHN88</t>
  </si>
  <si>
    <t>ниппель нар-нар 2" (2/30шт)</t>
  </si>
  <si>
    <t>584.59 руб.</t>
  </si>
  <si>
    <t>FRK-110008</t>
  </si>
  <si>
    <t>SHN34</t>
  </si>
  <si>
    <t>ниппель переходной нар-нар 3/4"-1/2" (20/260шт)</t>
  </si>
  <si>
    <t>93.71 руб.</t>
  </si>
  <si>
    <t>FRK-110009</t>
  </si>
  <si>
    <t>SHN53</t>
  </si>
  <si>
    <t>ниппель переходной нар-нар 1"-1/2" (20/140шт)</t>
  </si>
  <si>
    <t>147.26 руб.</t>
  </si>
  <si>
    <t>FRK-110010</t>
  </si>
  <si>
    <t>SHN54</t>
  </si>
  <si>
    <t>ниппель переходной нар-нар 1"-3/4" (20/140шт)</t>
  </si>
  <si>
    <t>177.01 руб.</t>
  </si>
  <si>
    <t>FRK-110011</t>
  </si>
  <si>
    <t>SHN63</t>
  </si>
  <si>
    <t>ниппель переходной нар-нар 1 1/4"-1/2" (20/100шт)</t>
  </si>
  <si>
    <t>221.64 руб.</t>
  </si>
  <si>
    <t>FRK-110012</t>
  </si>
  <si>
    <t>SHN64</t>
  </si>
  <si>
    <t>ниппель переходной нар-нар 1 1/4"-3/4" (20/100шт)</t>
  </si>
  <si>
    <t>245.44 руб.</t>
  </si>
  <si>
    <t>FRK-110013</t>
  </si>
  <si>
    <t>SHN65</t>
  </si>
  <si>
    <t>ниппель переходной нар-нар 1 1/4"-1" (20/80шт)</t>
  </si>
  <si>
    <t>263.29 руб.</t>
  </si>
  <si>
    <t>FRK-110014</t>
  </si>
  <si>
    <t>SHN75</t>
  </si>
  <si>
    <t>ниппель переходной нар-нар 1 1/2"-1" (5/60шт)</t>
  </si>
  <si>
    <t>354.03 руб.</t>
  </si>
  <si>
    <t>FRK-110015</t>
  </si>
  <si>
    <t>SHN76</t>
  </si>
  <si>
    <t>ниппель переходной нар-нар 1 1/2"-1 1/4" (5/60шт)</t>
  </si>
  <si>
    <t>358.49 руб.</t>
  </si>
  <si>
    <t>FRK-110016</t>
  </si>
  <si>
    <t>SHN86</t>
  </si>
  <si>
    <t>ниппель переходной нар-нар 2"-1 1/4" (5/40шт)</t>
  </si>
  <si>
    <t>541.45 руб.</t>
  </si>
  <si>
    <t>FRK-110017</t>
  </si>
  <si>
    <t>SHN85</t>
  </si>
  <si>
    <t>ниппель переходной нар-нар 2"-1" (5/40шт)</t>
  </si>
  <si>
    <t>507.24 руб.</t>
  </si>
  <si>
    <t>FRK-110018</t>
  </si>
  <si>
    <t>SHN87</t>
  </si>
  <si>
    <t>ниппель переходной нар-нар 2"-1 1/2" (5/40шт)</t>
  </si>
  <si>
    <t>554.84 руб.</t>
  </si>
  <si>
    <t>FRK-110019</t>
  </si>
  <si>
    <t>DTHN3</t>
  </si>
  <si>
    <t>пробка 1/2" нар (20/800шт)</t>
  </si>
  <si>
    <t>41.65 руб.</t>
  </si>
  <si>
    <t>FRK-110020</t>
  </si>
  <si>
    <t>DTHN4</t>
  </si>
  <si>
    <t>пробка 3/4" нар (20/360шт)</t>
  </si>
  <si>
    <t>FRK-110021</t>
  </si>
  <si>
    <t>DTHN5</t>
  </si>
  <si>
    <t>пробка 1" нар (20/240шт)</t>
  </si>
  <si>
    <t>127.93 руб.</t>
  </si>
  <si>
    <t>FRK-110022</t>
  </si>
  <si>
    <t>GMFN3</t>
  </si>
  <si>
    <t>заглушка 1/2" вн (20/800шт)</t>
  </si>
  <si>
    <t>46.11 руб.</t>
  </si>
  <si>
    <t>FRK-110023</t>
  </si>
  <si>
    <t>GMFN4</t>
  </si>
  <si>
    <t>заглушка 3/4" вн (20/360шт)</t>
  </si>
  <si>
    <t>FRK-110024</t>
  </si>
  <si>
    <t>GMFN5</t>
  </si>
  <si>
    <t>заглушка 1" вн (20/240шт)</t>
  </si>
  <si>
    <t>123.46 руб.</t>
  </si>
  <si>
    <t>FRK-110025</t>
  </si>
  <si>
    <t>GMFN6</t>
  </si>
  <si>
    <t>заглушка 1 1/4" вн (20/180шт)</t>
  </si>
  <si>
    <t>206.76 руб.</t>
  </si>
  <si>
    <t>FRK-110026</t>
  </si>
  <si>
    <t>GMFN7</t>
  </si>
  <si>
    <t>заглушка 1 1/2" вн (10/100шт)</t>
  </si>
  <si>
    <t>304.94 руб.</t>
  </si>
  <si>
    <t>FRK-110027</t>
  </si>
  <si>
    <t>GMFN8</t>
  </si>
  <si>
    <t>заглушка 2" вн (5/60шт)</t>
  </si>
  <si>
    <t>409.06 руб.</t>
  </si>
  <si>
    <t>FRK-110028</t>
  </si>
  <si>
    <t>DF3</t>
  </si>
  <si>
    <t>контргайка 1/2" без бортика (20/1200шт)</t>
  </si>
  <si>
    <t>23.80 руб.</t>
  </si>
  <si>
    <t>FRK-110029</t>
  </si>
  <si>
    <t>DF4</t>
  </si>
  <si>
    <t>контргайка 3/4" без бортика (20/900шт)</t>
  </si>
  <si>
    <t>35.70 руб.</t>
  </si>
  <si>
    <t>FRK-110030</t>
  </si>
  <si>
    <t>DF5</t>
  </si>
  <si>
    <t>контргайка 1" без бортика (20/600шт)</t>
  </si>
  <si>
    <t>59.50 руб.</t>
  </si>
  <si>
    <t>FRK-110031</t>
  </si>
  <si>
    <t>DFC3</t>
  </si>
  <si>
    <t>контргайка 1/2" с бортиком (20/800шт)</t>
  </si>
  <si>
    <t>56.53 руб.</t>
  </si>
  <si>
    <t>FRK-110032</t>
  </si>
  <si>
    <t>DFC4</t>
  </si>
  <si>
    <t>контргайка 3/4" с бортиком (20/500шт)</t>
  </si>
  <si>
    <t>84.79 руб.</t>
  </si>
  <si>
    <t>FRK-110033</t>
  </si>
  <si>
    <t>DFC5</t>
  </si>
  <si>
    <t>контргайка 1" с бортиком (20/400шт)</t>
  </si>
  <si>
    <t>105.61 руб.</t>
  </si>
  <si>
    <t>FRK-110034</t>
  </si>
  <si>
    <t>SFN33</t>
  </si>
  <si>
    <t>муфта вн-вн 1/2" (10/240шт)</t>
  </si>
  <si>
    <t>107.10 руб.</t>
  </si>
  <si>
    <t>FRK-110035</t>
  </si>
  <si>
    <t>SFN44</t>
  </si>
  <si>
    <t>муфта вн-вн 3/4" (10/160шт)</t>
  </si>
  <si>
    <t>159.16 руб.</t>
  </si>
  <si>
    <t>FRK-110036</t>
  </si>
  <si>
    <t>SFN55</t>
  </si>
  <si>
    <t>муфта вн-вн 1" (10/80шт)</t>
  </si>
  <si>
    <t>200.81 руб.</t>
  </si>
  <si>
    <t>FRK-110037</t>
  </si>
  <si>
    <t>SFN66</t>
  </si>
  <si>
    <t>муфта вн-вн 1 1/4" (10/40шт)</t>
  </si>
  <si>
    <t>FRK-110038</t>
  </si>
  <si>
    <t>SFN77</t>
  </si>
  <si>
    <t>муфта вн-вн 1 1/2" (10/40шт)</t>
  </si>
  <si>
    <t>523.60 руб.</t>
  </si>
  <si>
    <t>FRK-110039</t>
  </si>
  <si>
    <t>SFN88</t>
  </si>
  <si>
    <t>муфта вн-вн 2" (2/24шт)</t>
  </si>
  <si>
    <t>736.31 руб.</t>
  </si>
  <si>
    <t>FRK-110040</t>
  </si>
  <si>
    <t>SFN32</t>
  </si>
  <si>
    <t>муфта переходная вн-вн 1/2"-3/8" (10/260шт)</t>
  </si>
  <si>
    <t>FRK-110041</t>
  </si>
  <si>
    <t>SFN34</t>
  </si>
  <si>
    <t>муфта переходная вн-вн 3/4"-1/2" (10/300шт)</t>
  </si>
  <si>
    <t>121.98 руб.</t>
  </si>
  <si>
    <t>FRK-110042</t>
  </si>
  <si>
    <t>SFN53</t>
  </si>
  <si>
    <t>муфта переходная вн-вн 1"-1/2" (10/120шт)</t>
  </si>
  <si>
    <t>166.60 руб.</t>
  </si>
  <si>
    <t>FRK-110043</t>
  </si>
  <si>
    <t>SFN54</t>
  </si>
  <si>
    <t>муфта переходная вн-вн 1"-3/4" (10/120шт)</t>
  </si>
  <si>
    <t>185.94 руб.</t>
  </si>
  <si>
    <t>FRK-110044</t>
  </si>
  <si>
    <t>SFN74</t>
  </si>
  <si>
    <t>муфта переходная вн-вн 1 1/2"-3/4" (2/50шт)</t>
  </si>
  <si>
    <t>404.60 руб.</t>
  </si>
  <si>
    <t>FRK-110045</t>
  </si>
  <si>
    <t>SFN64</t>
  </si>
  <si>
    <t>муфта переходная вн-вн 1 1/4"-3/4"(2/70шт)</t>
  </si>
  <si>
    <t>281.14 руб.</t>
  </si>
  <si>
    <t>FRK-110046</t>
  </si>
  <si>
    <t>SFN65</t>
  </si>
  <si>
    <t>муфта переходная вн-вн 1 1/4"-1" (2/70шт)</t>
  </si>
  <si>
    <t>296.01 руб.</t>
  </si>
  <si>
    <t>FRK-110047</t>
  </si>
  <si>
    <t>SFN75</t>
  </si>
  <si>
    <t>муфта переходная вн-вн 1 1/2"-1" (2/80шт)</t>
  </si>
  <si>
    <t>380.80 руб.</t>
  </si>
  <si>
    <t>FRK-110048</t>
  </si>
  <si>
    <t>SFN76</t>
  </si>
  <si>
    <t>муфта переходная вн-вн 1 1/2"-1 1/4"(2/40шт)</t>
  </si>
  <si>
    <t>FRK-110049</t>
  </si>
  <si>
    <t>SFN86</t>
  </si>
  <si>
    <t>муфта переходная вн-вн 2"-1 1/4" (2/40шт)</t>
  </si>
  <si>
    <t>608.39 руб.</t>
  </si>
  <si>
    <t>FRK-110050</t>
  </si>
  <si>
    <t>SFN85</t>
  </si>
  <si>
    <t>муфта переходная вн-вн 2"-1" (2/40шт)</t>
  </si>
  <si>
    <t>586.08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</si>
  <si>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</si>
  <si>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</si>
  <si>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</si>
  <si>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</si>
  <si>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</si>
  <si>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</si>
  <si>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66.94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</si>
  <si>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</si>
  <si>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</si>
  <si>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</si>
  <si>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</si>
  <si>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</si>
  <si>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</si>
  <si>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</si>
  <si>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102.64 руб.</t>
  </si>
  <si>
    <t>FRK-110055</t>
  </si>
  <si>
    <t>SFHN44</t>
  </si>
  <si>
    <t>переходник 3/4"-3/4" вн-нар</t>
  </si>
  <si>
    <t>162.35 руб.</t>
  </si>
  <si>
    <t>FRK-110056</t>
  </si>
  <si>
    <t>SFHN53</t>
  </si>
  <si>
    <t>переходник 1"-1/2" вн-нар (20/180шт)</t>
  </si>
  <si>
    <t>168.09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</si>
  <si>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</si>
  <si>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</si>
  <si>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</si>
  <si>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</si>
  <si>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</si>
  <si>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</si>
  <si>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272.21 руб.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</si>
  <si>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</si>
  <si>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</si>
  <si>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</si>
  <si>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</si>
  <si>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</si>
  <si>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</si>
  <si>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300.48 руб.</t>
  </si>
  <si>
    <t>FRK-110061</t>
  </si>
  <si>
    <t>SFHN74</t>
  </si>
  <si>
    <t>переходник 1 1/2"-3/4" вн-нар (2/80шт)</t>
  </si>
  <si>
    <t>355.51 руб.</t>
  </si>
  <si>
    <t>FRK-110062</t>
  </si>
  <si>
    <t>SFHN75</t>
  </si>
  <si>
    <t>переходник 1 1/2"-1" вн-нар (2/60шт)</t>
  </si>
  <si>
    <t>400.14 руб.</t>
  </si>
  <si>
    <t>FRK-110063</t>
  </si>
  <si>
    <t>SFHN76</t>
  </si>
  <si>
    <t>переходник 1 1/2"-1 1/4" вн-нар (2/80шт)</t>
  </si>
  <si>
    <t>417.99 руб.</t>
  </si>
  <si>
    <t>FRK-110064</t>
  </si>
  <si>
    <t>SFHN87</t>
  </si>
  <si>
    <t>переходник 2"-1 1/2" вн-нар (2/50шт)</t>
  </si>
  <si>
    <t>633.68 руб.</t>
  </si>
  <si>
    <t>FRK-110065</t>
  </si>
  <si>
    <t>SFHN85</t>
  </si>
  <si>
    <t>переходник 2"-1" вн-нар (2/50шт)</t>
  </si>
  <si>
    <t>691.69 руб.</t>
  </si>
  <si>
    <t>FRK-110066</t>
  </si>
  <si>
    <t>SFHN86</t>
  </si>
  <si>
    <t>переходник 2"-1 1/4" вн-нар (2/50шт)</t>
  </si>
  <si>
    <t>629.21 руб.</t>
  </si>
  <si>
    <t>FRK-110067</t>
  </si>
  <si>
    <t>HJF33</t>
  </si>
  <si>
    <t>Сгон прямой разъемный (американка) латунь 1/2" вн-вн</t>
  </si>
  <si>
    <t>239.49 руб.</t>
  </si>
  <si>
    <t>FRK-110068</t>
  </si>
  <si>
    <t>HJF44</t>
  </si>
  <si>
    <t>Сгон прямой разъемный (американка) латунь 3/4" вн-вн (10/80шт)</t>
  </si>
  <si>
    <t>426.91 руб.</t>
  </si>
  <si>
    <t>FRK-110069</t>
  </si>
  <si>
    <t>HJF55</t>
  </si>
  <si>
    <t>Сгон прямой разъемный (американка) латунь 1" вн-вн (5/50шт)</t>
  </si>
  <si>
    <t>632.19 руб.</t>
  </si>
  <si>
    <t>FRK-110070</t>
  </si>
  <si>
    <t>HJKN33</t>
  </si>
  <si>
    <t>Сгон КОНУС разъемный прямой (американка) 1/2" вн-нар (10/150шт)</t>
  </si>
  <si>
    <t>197.84 руб.</t>
  </si>
  <si>
    <t>FRK-110071</t>
  </si>
  <si>
    <t>HJKN44</t>
  </si>
  <si>
    <t>Сгон КОНУС  разъемный прямой (американка) 3/4" вн-нар (10/80шт)</t>
  </si>
  <si>
    <t>319.81 руб.</t>
  </si>
  <si>
    <t>FRK-110072</t>
  </si>
  <si>
    <t>HJKN55</t>
  </si>
  <si>
    <t>Сгон КОНУС разъемный прямой (американка) 1" вн-нар (5/50шт)</t>
  </si>
  <si>
    <t>550.38 руб.</t>
  </si>
  <si>
    <t>FRK-110073</t>
  </si>
  <si>
    <t>HJKN66</t>
  </si>
  <si>
    <t>Сгон КОНУС разъемный прямой (американка) 1 1/4" вн-нар (4/36шт)</t>
  </si>
  <si>
    <t>819.61 руб.</t>
  </si>
  <si>
    <t>FRK-110074</t>
  </si>
  <si>
    <t>HJKN77</t>
  </si>
  <si>
    <t>Сгон КОНУС разъемный прямой (американка) 1 1/2" вн-нар (2/24шт)</t>
  </si>
  <si>
    <t>1 051.66 руб.</t>
  </si>
  <si>
    <t>FRK-110075</t>
  </si>
  <si>
    <t>TFN333</t>
  </si>
  <si>
    <t>тройник 1/2" вн-вн-вн (10/100шт)</t>
  </si>
  <si>
    <t>187.43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</si>
  <si>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</si>
  <si>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</si>
  <si>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</si>
  <si>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</si>
  <si>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</si>
  <si>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</si>
  <si>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449.23 руб.</t>
  </si>
  <si>
    <t>FRK-110078</t>
  </si>
  <si>
    <t>THN333</t>
  </si>
  <si>
    <t>тройник 1/2" нар-нар-нар (10/100шт)</t>
  </si>
  <si>
    <t>212.71 руб.</t>
  </si>
  <si>
    <t>FRK-110079</t>
  </si>
  <si>
    <t>THN444</t>
  </si>
  <si>
    <t>тройник 3/4" нар-нар-нар (5/60шт)</t>
  </si>
  <si>
    <t>FRK-110080</t>
  </si>
  <si>
    <t>THN555</t>
  </si>
  <si>
    <t>тройник 1" нар-нар-нар (3/30шт)</t>
  </si>
  <si>
    <t>440.30 руб.</t>
  </si>
  <si>
    <t>FRK-110081</t>
  </si>
  <si>
    <t>THFHN333</t>
  </si>
  <si>
    <t>тройник 1/2" нар-вн-нар (10/100шт)</t>
  </si>
  <si>
    <t>208.25 руб.</t>
  </si>
  <si>
    <t>FRK-110082</t>
  </si>
  <si>
    <t>TFN535</t>
  </si>
  <si>
    <t>тройник переходной 1"-1/2"-1" вн-вн-вн (5/60шт)</t>
  </si>
  <si>
    <t>368.90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</si>
  <si>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</si>
  <si>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</si>
  <si>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</si>
  <si>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</si>
  <si>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</si>
  <si>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</si>
  <si>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254.36 руб.</t>
  </si>
  <si>
    <t>FRK-110085</t>
  </si>
  <si>
    <t>LFN33</t>
  </si>
  <si>
    <t>угольник 1/2" вн-вн (10/160шт)</t>
  </si>
  <si>
    <t>157.68 руб.</t>
  </si>
  <si>
    <t>FRK-110086</t>
  </si>
  <si>
    <t>LFN44</t>
  </si>
  <si>
    <t>угольник 3/4" вн-вн (10/160шт)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</si>
  <si>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</si>
  <si>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</si>
  <si>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</si>
  <si>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</si>
  <si>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</si>
  <si>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</si>
  <si>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FRK-110089</t>
  </si>
  <si>
    <t>LFHN44</t>
  </si>
  <si>
    <t>угольник 3/4" вн-нар (10/100шт)</t>
  </si>
  <si>
    <t>232.05 руб.</t>
  </si>
  <si>
    <t>FRK-110090</t>
  </si>
  <si>
    <t>LFHN55</t>
  </si>
  <si>
    <t>угольник 1" вн-нар (5/50шт)</t>
  </si>
  <si>
    <t>410.55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</si>
  <si>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</si>
  <si>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</si>
  <si>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</si>
  <si>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</si>
  <si>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</si>
  <si>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</si>
  <si>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235.03 руб.</t>
  </si>
  <si>
    <t>FRK-110093</t>
  </si>
  <si>
    <t>LHHN55</t>
  </si>
  <si>
    <t>угольник 1" нар-нар (5/50шт)</t>
  </si>
  <si>
    <t>394.19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</si>
  <si>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</si>
  <si>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</si>
  <si>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</si>
  <si>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</si>
  <si>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</si>
  <si>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</si>
  <si>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</si>
  <si>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</si>
  <si>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</si>
  <si>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80.33 руб.</t>
  </si>
  <si>
    <t>FRK-110101</t>
  </si>
  <si>
    <t>SAX20</t>
  </si>
  <si>
    <t>удлинитель хром 1/2" 20 мм (10/400шт)</t>
  </si>
  <si>
    <t>89.25 руб.</t>
  </si>
  <si>
    <t>FRK-110102</t>
  </si>
  <si>
    <t>SAX25</t>
  </si>
  <si>
    <t>удлинитель хром 1/2" 25 мм (10/300шт)</t>
  </si>
  <si>
    <t>108.59 руб.</t>
  </si>
  <si>
    <t>FRK-110103</t>
  </si>
  <si>
    <t>SAX30</t>
  </si>
  <si>
    <t>удлинитель хром 1/2" 30 мм (10/300шт)</t>
  </si>
  <si>
    <t>132.39 руб.</t>
  </si>
  <si>
    <t>FRK-110104</t>
  </si>
  <si>
    <t>SAX40</t>
  </si>
  <si>
    <t>удлинитель хром 1/2" 40 мм (10/300шт)</t>
  </si>
  <si>
    <t>FRK-110105</t>
  </si>
  <si>
    <t>SAX50</t>
  </si>
  <si>
    <t>удлинитель хром 1/2" 50 мм (5/200шт)</t>
  </si>
  <si>
    <t>193.38 руб.</t>
  </si>
  <si>
    <t>FRK-110106</t>
  </si>
  <si>
    <t>SAX60</t>
  </si>
  <si>
    <t>удлинитель хром 1/2" 60 мм (5/200шт)</t>
  </si>
  <si>
    <t>230.56 руб.</t>
  </si>
  <si>
    <t>FRK-110107</t>
  </si>
  <si>
    <t>SAX70</t>
  </si>
  <si>
    <t>удлинитель хром 1/2" 70 мм (5/200шт)</t>
  </si>
  <si>
    <t>FRK-110108</t>
  </si>
  <si>
    <t>SAX80</t>
  </si>
  <si>
    <t>удлинитель хром 1/2" 80 мм (2/150шт)</t>
  </si>
  <si>
    <t>298.99 руб.</t>
  </si>
  <si>
    <t>FRK-110109</t>
  </si>
  <si>
    <t>SAX90</t>
  </si>
  <si>
    <t>удлинитель хром 1/2" 90 мм (2/120шт)</t>
  </si>
  <si>
    <t>FRK-110110</t>
  </si>
  <si>
    <t>SAX100</t>
  </si>
  <si>
    <t>удлинитель хром 1/2" 100 мм (2/100шт)</t>
  </si>
  <si>
    <t>362.95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</si>
  <si>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</si>
  <si>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</si>
  <si>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</si>
  <si>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</si>
  <si>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</si>
  <si>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</si>
  <si>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FRK-110113</t>
  </si>
  <si>
    <t>BXHFN54</t>
  </si>
  <si>
    <t>футорка 1"-3/4" нар-вн (20/200шт)</t>
  </si>
  <si>
    <t>174.04 руб.</t>
  </si>
  <si>
    <t>FRK-110114</t>
  </si>
  <si>
    <t>BXHFN53</t>
  </si>
  <si>
    <t>футорка 1"-1/2" нар-вн (20/200шт)</t>
  </si>
  <si>
    <t>FRK-110116</t>
  </si>
  <si>
    <t>BXHFN65</t>
  </si>
  <si>
    <t>футорка 1 1/4"-1" нар-вн (10/100шт)</t>
  </si>
  <si>
    <t>227.59 руб.</t>
  </si>
  <si>
    <t>FRK-110117</t>
  </si>
  <si>
    <t>BXHFN75</t>
  </si>
  <si>
    <t>футорка 1 1/2"-1" нар-вн (2/50шт)</t>
  </si>
  <si>
    <t>374.85 руб.</t>
  </si>
  <si>
    <t>FRK-110118</t>
  </si>
  <si>
    <t>BXHFN64</t>
  </si>
  <si>
    <t>футорка 1 1/4"-3/4" нар-вн (10/100шт)</t>
  </si>
  <si>
    <t>321.30 руб.</t>
  </si>
  <si>
    <t>FRK-110119</t>
  </si>
  <si>
    <t>BXHFN87</t>
  </si>
  <si>
    <t>футорка 2"-1 1/2" нар-вн (1/35шт)</t>
  </si>
  <si>
    <t>499.80 руб.</t>
  </si>
  <si>
    <t>FRK-110120</t>
  </si>
  <si>
    <t>BXHFN86</t>
  </si>
  <si>
    <t>футорка 2"-1 1/4" нар-вн (1/35шт)</t>
  </si>
  <si>
    <t>539.96 руб.</t>
  </si>
  <si>
    <t>FRK-110121</t>
  </si>
  <si>
    <t>BXHFN85</t>
  </si>
  <si>
    <t>футорка 2"-1" нар-вн (1/35шт)</t>
  </si>
  <si>
    <t>636.65 руб.</t>
  </si>
  <si>
    <t>FRK-110122</t>
  </si>
  <si>
    <t>VRF310</t>
  </si>
  <si>
    <t>штуцер для шланга 1/2"-10мм  вн (10/400шт)</t>
  </si>
  <si>
    <t>78.84 руб.</t>
  </si>
  <si>
    <t>FRK-110123</t>
  </si>
  <si>
    <t>VRF312</t>
  </si>
  <si>
    <t>штуцер для шланга 1/2"-12мм  вн (10/400шт)</t>
  </si>
  <si>
    <t>FRK-110124</t>
  </si>
  <si>
    <t>VRF314</t>
  </si>
  <si>
    <t>штуцер для шланга 1/2"-14мм  вн (10/400шт)</t>
  </si>
  <si>
    <t>90.74 руб.</t>
  </si>
  <si>
    <t>FRK-110125</t>
  </si>
  <si>
    <t>VRF316</t>
  </si>
  <si>
    <t>штуцер для шланга 1/2"-16мм  вн (10/350шт)</t>
  </si>
  <si>
    <t>99.66 руб.</t>
  </si>
  <si>
    <t>FRK-110126</t>
  </si>
  <si>
    <t>VRF318</t>
  </si>
  <si>
    <t>штуцер для шланга 1/2"-18мм  вн (10/350шт)</t>
  </si>
  <si>
    <t>FRK-110127</t>
  </si>
  <si>
    <t>VRF320</t>
  </si>
  <si>
    <t>штуцер для шланга 1/2"-20мм  вн (10/300шт)</t>
  </si>
  <si>
    <t>FRK-110128</t>
  </si>
  <si>
    <t>VRF420</t>
  </si>
  <si>
    <t>штуцер для шланга 3/4"-20мм  вн (10/240шт)</t>
  </si>
  <si>
    <t>FRK-110129</t>
  </si>
  <si>
    <t>VRF425</t>
  </si>
  <si>
    <t>штуцер для шланга 3/4"-25мм  вн (10/200шт)</t>
  </si>
  <si>
    <t>175.53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</si>
  <si>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</si>
  <si>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</si>
  <si>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</si>
  <si>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</si>
  <si>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</si>
  <si>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</si>
  <si>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334.69 руб.</t>
  </si>
  <si>
    <t>FRK-110132</t>
  </si>
  <si>
    <t>VRF740</t>
  </si>
  <si>
    <t>штуцер для шланга 1 1/2"-40 мм вн (5/50шт)</t>
  </si>
  <si>
    <t>470.05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</si>
  <si>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</si>
  <si>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</si>
  <si>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</si>
  <si>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</si>
  <si>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</si>
  <si>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</si>
  <si>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</si>
  <si>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</si>
  <si>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</si>
  <si>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81.81 руб.</t>
  </si>
  <si>
    <t>FRK-110136</t>
  </si>
  <si>
    <t>VRM316</t>
  </si>
  <si>
    <t>штуцер для шланга 1/2"-16мм  нар (10/350шт)</t>
  </si>
  <si>
    <t>87.76 руб.</t>
  </si>
  <si>
    <t>FRK-110137</t>
  </si>
  <si>
    <t>VRM318</t>
  </si>
  <si>
    <t>штуцер для шланга 1/2"-18мм  нар (10/350шт)</t>
  </si>
  <si>
    <t>92.23 руб.</t>
  </si>
  <si>
    <t>FRK-110138</t>
  </si>
  <si>
    <t>VRM320</t>
  </si>
  <si>
    <t>штуцер для шланга 1/2"-20мм  нар (10/300шт)</t>
  </si>
  <si>
    <t>96.69 руб.</t>
  </si>
  <si>
    <t>FRK-110139</t>
  </si>
  <si>
    <t>VRM420</t>
  </si>
  <si>
    <t>штуцер для шланга 3/4"-20мм  нар (10/240шт)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</si>
  <si>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</si>
  <si>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</si>
  <si>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</si>
  <si>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</si>
  <si>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</si>
  <si>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</si>
  <si>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285.60 руб.</t>
  </si>
  <si>
    <t>FRK-110142</t>
  </si>
  <si>
    <t>VRM520</t>
  </si>
  <si>
    <t>штуцер для шланга 1"- 20мм  нар (10/180шт)</t>
  </si>
  <si>
    <t>FRK-110143</t>
  </si>
  <si>
    <t>VRM525</t>
  </si>
  <si>
    <t>штуцер для шланга 1"- 25мм  нар (10/150шт)</t>
  </si>
  <si>
    <t>214.20 руб.</t>
  </si>
  <si>
    <t>FRK-110144</t>
  </si>
  <si>
    <t>VRM632</t>
  </si>
  <si>
    <t>штуцер для шланга 1 1/4"-32мм нар (10/90шт)</t>
  </si>
  <si>
    <t>310.89 руб.</t>
  </si>
  <si>
    <t>FRK-110145</t>
  </si>
  <si>
    <t>VRM740</t>
  </si>
  <si>
    <t>штуцер для шланга 1 1/2"-40 мм нар (10/60шт)</t>
  </si>
  <si>
    <t>416.50 руб.</t>
  </si>
  <si>
    <t>FRK-110146</t>
  </si>
  <si>
    <t>VRM850</t>
  </si>
  <si>
    <t>штуцер для шланга 2"-50мм  нар (2/30шт)</t>
  </si>
  <si>
    <t>755.65 руб.</t>
  </si>
  <si>
    <t>FRK-110147</t>
  </si>
  <si>
    <t>XSB603</t>
  </si>
  <si>
    <t>соединитель шланга 1/2 (10/500шт)</t>
  </si>
  <si>
    <t>55.04 руб.</t>
  </si>
  <si>
    <t>FRK-110148</t>
  </si>
  <si>
    <t>XSB604</t>
  </si>
  <si>
    <t>соединитель шланга 3/4 (10/250шт)</t>
  </si>
  <si>
    <t>74.38 руб.</t>
  </si>
  <si>
    <t>FRK-110149</t>
  </si>
  <si>
    <t>XSB605</t>
  </si>
  <si>
    <t>соединитель шланга 1 (10/180шт)</t>
  </si>
  <si>
    <t>114.54 руб.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</si>
  <si>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</si>
  <si>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</si>
  <si>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</si>
  <si>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</si>
  <si>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</si>
  <si>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</si>
  <si>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</si>
  <si>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</si>
  <si>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</si>
  <si>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</si>
  <si>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</si>
  <si>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</si>
  <si>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FRK-110154</t>
  </si>
  <si>
    <t>SDF4</t>
  </si>
  <si>
    <t>врезка штуцер для емкости ЛАТУНЬ 3/4 (10/150шт)</t>
  </si>
  <si>
    <t>FRK-110155</t>
  </si>
  <si>
    <t>SDF5</t>
  </si>
  <si>
    <t>врезка штуцер для емкости ЛАТУНЬ 1 (5/100 шт)</t>
  </si>
  <si>
    <t>FRK-110156</t>
  </si>
  <si>
    <t>HJSN33</t>
  </si>
  <si>
    <t>Сгон ПЛОСКИЙ разъемный прямой (американка) прокладка паранит 1/2" вн-нар (10/150шт)</t>
  </si>
  <si>
    <t>FRK-110157</t>
  </si>
  <si>
    <t>HJSN44</t>
  </si>
  <si>
    <t>Сгон ПЛОСКИЙ разъемный прямой (американка) прокладка паранит 3/4" вн-нар (10/80шт)</t>
  </si>
  <si>
    <t>315.35 руб.</t>
  </si>
  <si>
    <t>FRK-110158</t>
  </si>
  <si>
    <t>HJSN55</t>
  </si>
  <si>
    <t>Сгон ПЛОСКИЙ разъемный прямой (американка) прокладка паранит 1" вн-нар (5/50шт)</t>
  </si>
  <si>
    <t>545.91 руб.</t>
  </si>
  <si>
    <t>FRK-110159</t>
  </si>
  <si>
    <t>HJSN66</t>
  </si>
  <si>
    <t>Сгон ПЛОСКИЙ разъемный прямой (американка)  прокладка паранит 1 1/4" вн-нар (4/36шт)</t>
  </si>
  <si>
    <t>804.74 руб.</t>
  </si>
  <si>
    <t>FRK-110160</t>
  </si>
  <si>
    <t>HJSN77</t>
  </si>
  <si>
    <t>Сгон ПЛОСКИЙ разъемный прямой (американка) прокладка паранит 1 1/2" вн-нар (2/24шт)</t>
  </si>
  <si>
    <t>1 123.06 руб.</t>
  </si>
  <si>
    <t>FRK-110161</t>
  </si>
  <si>
    <t>HJSN88</t>
  </si>
  <si>
    <t>Сгон ПЛОСКИЙ разъемный прямой (американка) прокладка паранит 2" вн-нар (2/16шт)</t>
  </si>
  <si>
    <t>1 527.66 руб.</t>
  </si>
  <si>
    <t>FRK-110162</t>
  </si>
  <si>
    <t>SMC80</t>
  </si>
  <si>
    <t>Сгон удлинитель латунный 1/2 80мм (5/300шт)</t>
  </si>
  <si>
    <t>205.28 руб.</t>
  </si>
  <si>
    <t>FRK-110163</t>
  </si>
  <si>
    <t>SMC100</t>
  </si>
  <si>
    <t>Сгон удлинитель латунный 1/2 100мм (2/250шт)</t>
  </si>
  <si>
    <t>266.26 руб.</t>
  </si>
  <si>
    <t>FRK-110164</t>
  </si>
  <si>
    <t>SMC150</t>
  </si>
  <si>
    <t>Сгон удлинитель латунный 1/2 150мм (2/200шт)</t>
  </si>
  <si>
    <t>413.53 руб.</t>
  </si>
  <si>
    <t>FRK-110165</t>
  </si>
  <si>
    <t>SMC200</t>
  </si>
  <si>
    <t>Сгон удлинитель латунный 1/2 200мм (2/150шт)</t>
  </si>
  <si>
    <t>548.89 руб.</t>
  </si>
  <si>
    <t>FRK-110166</t>
  </si>
  <si>
    <t>SMC250</t>
  </si>
  <si>
    <t>Сгон удлинитель латунный 1/2 250мм (2/100шт)</t>
  </si>
  <si>
    <t>667.89 руб.</t>
  </si>
  <si>
    <t>FRK-110167</t>
  </si>
  <si>
    <t>SFH99</t>
  </si>
  <si>
    <t>Переходник для фильтра (резьба-обжим трубки)</t>
  </si>
  <si>
    <t>FRK-110168</t>
  </si>
  <si>
    <t>VER108</t>
  </si>
  <si>
    <t>Пятиходовое соединение для насоса 1"*80  (2/30шт)</t>
  </si>
  <si>
    <t>474.51 руб.</t>
  </si>
  <si>
    <t>FRK-110169</t>
  </si>
  <si>
    <t>VER109</t>
  </si>
  <si>
    <t>Пятиходовое соединение для насоса 1"*100 (2/30шт)</t>
  </si>
  <si>
    <t>560.79 руб.</t>
  </si>
  <si>
    <t>FRK-110170</t>
  </si>
  <si>
    <t>VR30</t>
  </si>
  <si>
    <t>Планка установочная с водорозетками 1/2 вн-вн (2/50шт)</t>
  </si>
  <si>
    <t>529.55 руб.</t>
  </si>
  <si>
    <t>FRK-110175</t>
  </si>
  <si>
    <t>SHN21</t>
  </si>
  <si>
    <t>ниппель переходной нар-нар 3/8"-1/4"  (20/600шт)</t>
  </si>
  <si>
    <t>43.14 руб.</t>
  </si>
  <si>
    <t>FRK-110176</t>
  </si>
  <si>
    <t>SHN31</t>
  </si>
  <si>
    <t>ниппель переходной нар-нар 1/2"-1/4" (20/600шт)</t>
  </si>
  <si>
    <t>FRK-110177</t>
  </si>
  <si>
    <t>SHN32</t>
  </si>
  <si>
    <t>ниппель переходной нар-нар 1/2"-3/8" (20/550шт)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</si>
  <si>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</si>
  <si>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</si>
  <si>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</si>
  <si>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</si>
  <si>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</si>
  <si>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</si>
  <si>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</si>
  <si>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</si>
  <si>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</si>
  <si>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136.85 руб.</t>
  </si>
  <si>
    <t>FRK-110181</t>
  </si>
  <si>
    <t>VRF418</t>
  </si>
  <si>
    <t>штуцер для шланга 3/4"-18мм  вн (10/240шт)</t>
  </si>
  <si>
    <t>138.34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</si>
  <si>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</si>
  <si>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</si>
  <si>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</si>
  <si>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</si>
  <si>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</si>
  <si>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</si>
  <si>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52.06 руб.</t>
  </si>
  <si>
    <t>FRK-110184</t>
  </si>
  <si>
    <t>VRM114</t>
  </si>
  <si>
    <t>штуцер для шланга 1/4"-14мм  нар (10/600шт)</t>
  </si>
  <si>
    <t>FRK-110185</t>
  </si>
  <si>
    <t>VRM308</t>
  </si>
  <si>
    <t>штуцер для шланга 1/2"-8мм  нар (10/400шт)</t>
  </si>
  <si>
    <t>68.43 руб.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</si>
  <si>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</si>
  <si>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</si>
  <si>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</si>
  <si>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</si>
  <si>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</si>
  <si>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</si>
  <si>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</si>
  <si>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</si>
  <si>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</si>
  <si>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</si>
  <si>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</si>
  <si>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</si>
  <si>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FRK-110190</t>
  </si>
  <si>
    <t>VRM532</t>
  </si>
  <si>
    <t>штуцер для шланга 1"- 32мм  нар (10/130шт)</t>
  </si>
  <si>
    <t>252.88 руб.</t>
  </si>
  <si>
    <t>FRK-110203</t>
  </si>
  <si>
    <t>VRFM33-10</t>
  </si>
  <si>
    <t>эксцентрик 1/2"вн x 1/2"нар - 10мм   (10/300шт)</t>
  </si>
  <si>
    <t>233.54 руб.</t>
  </si>
  <si>
    <t>FRK-110204</t>
  </si>
  <si>
    <t>VRFM33-20</t>
  </si>
  <si>
    <t>эксцентрик 1/2"вн x 1/2"нар - 20мм   (10/300шт)</t>
  </si>
  <si>
    <t>FRK-110205</t>
  </si>
  <si>
    <t>VRFM33-30</t>
  </si>
  <si>
    <t>эксцентрик 1/2"вн x 1/2"нар - 30мм   (10/300шт)</t>
  </si>
  <si>
    <t>340.64 руб.</t>
  </si>
  <si>
    <t>FRK-110206</t>
  </si>
  <si>
    <t>VRFM33-40</t>
  </si>
  <si>
    <t>эксцентрик 1/2"вн x 1/2"нар - 40мм   (10/300шт)</t>
  </si>
  <si>
    <t>403.11 руб.</t>
  </si>
  <si>
    <t>FRK-110207</t>
  </si>
  <si>
    <t>VRFM33-50</t>
  </si>
  <si>
    <t>эксцентрик 1/2"вн x 1/2"нар - 50мм   (10/300шт)</t>
  </si>
  <si>
    <t>446.25 руб.</t>
  </si>
  <si>
    <t>FRK-110208</t>
  </si>
  <si>
    <t>VRFM43-10</t>
  </si>
  <si>
    <t>эксцентрик 3/4"вн x 1/2"нар - 10мм   (10/300шт)</t>
  </si>
  <si>
    <t>243.95 руб.</t>
  </si>
  <si>
    <t>FRK-110209</t>
  </si>
  <si>
    <t>VRFM43-20</t>
  </si>
  <si>
    <t>эксцентрик 3/4"вн x 1/2"нар - 20мм   (10/300шт)</t>
  </si>
  <si>
    <t>293.04 руб.</t>
  </si>
  <si>
    <t>FRK-110210</t>
  </si>
  <si>
    <t>VRFM43-30</t>
  </si>
  <si>
    <t>эксцентрик 3/4"вн x 1/2"нар - 30мм   (10/300шт)</t>
  </si>
  <si>
    <t>461.13 руб.</t>
  </si>
  <si>
    <t>FRK-110211</t>
  </si>
  <si>
    <t>VRFM44-10</t>
  </si>
  <si>
    <t>эксцентрик 3/4"вн x 3/4"нар - 10мм   (10/300шт)</t>
  </si>
  <si>
    <t>275.19 руб.</t>
  </si>
  <si>
    <t>FRK-110212</t>
  </si>
  <si>
    <t>VRFM44-20</t>
  </si>
  <si>
    <t>эксцентрик 3/4"вн x 3/4"нар - 20мм   (10/300шт)</t>
  </si>
  <si>
    <t>477.49 руб.</t>
  </si>
  <si>
    <t>FRK-110213</t>
  </si>
  <si>
    <t>VRFM44-30</t>
  </si>
  <si>
    <t>эксцентрик 3/4"вн x 3/4"нар - 30мм   (10/300шт)</t>
  </si>
  <si>
    <t>FRK-110214</t>
  </si>
  <si>
    <t>VRFM44-40</t>
  </si>
  <si>
    <t>эксцентрик 3/4"вн x 3/4"нар - 40мм   (10/300шт)</t>
  </si>
  <si>
    <t>578.64 руб.</t>
  </si>
  <si>
    <t>FRK-110215</t>
  </si>
  <si>
    <t>VRFM44-50</t>
  </si>
  <si>
    <t>эксцентрик 3/4"вн x 3/4"нар - 50мм   (10/300шт)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</si>
  <si>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</si>
  <si>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</si>
  <si>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</si>
  <si>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</si>
  <si>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</si>
  <si>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</si>
  <si>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FRK-110218</t>
  </si>
  <si>
    <t>VRMM43-30</t>
  </si>
  <si>
    <t>эксцентрик 3/4"нар x 1/2"нар - 30мм   (10/300шт)</t>
  </si>
  <si>
    <t>357.00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</si>
  <si>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</si>
  <si>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</si>
  <si>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</si>
  <si>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</si>
  <si>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</si>
  <si>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</si>
  <si>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444.76 руб.</t>
  </si>
  <si>
    <t>FRK-110221</t>
  </si>
  <si>
    <t>SHN33A</t>
  </si>
  <si>
    <t>ниппель нар-нар 1/2" удлиненный (10/350шт)</t>
  </si>
  <si>
    <t>FRK-110300</t>
  </si>
  <si>
    <t>DTHN6</t>
  </si>
  <si>
    <t>пробка 11/4" нар (20/180шт)</t>
  </si>
  <si>
    <t>220.15 руб.</t>
  </si>
  <si>
    <t>FRK-110301</t>
  </si>
  <si>
    <t>DTHN7</t>
  </si>
  <si>
    <t>пробка 11/2" нар (10/100шт)</t>
  </si>
  <si>
    <t>318.33 руб.</t>
  </si>
  <si>
    <t>FRK-110302</t>
  </si>
  <si>
    <t>DTHN8</t>
  </si>
  <si>
    <t>пробка 2" нар (5/60шт)</t>
  </si>
  <si>
    <t>FRK-110303</t>
  </si>
  <si>
    <t>HJKN88</t>
  </si>
  <si>
    <t>Сгон КОНУС разъемный прямой (американка) 2" вн-нар (2/16шт)</t>
  </si>
  <si>
    <t>1 512.79 руб.</t>
  </si>
  <si>
    <t>FRK-110304</t>
  </si>
  <si>
    <t>LFHN45</t>
  </si>
  <si>
    <t>угольник переходной 3/4"-1" вн-нар (10/60шт)</t>
  </si>
  <si>
    <t>423.94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</si>
  <si>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</si>
  <si>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</si>
  <si>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</si>
  <si>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</si>
  <si>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</si>
  <si>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</si>
  <si>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215.69 руб.</t>
  </si>
  <si>
    <t>FRK-110307</t>
  </si>
  <si>
    <t>TFFHN333</t>
  </si>
  <si>
    <t>тройник 1/2" вн-вн-нар (10/100шт)</t>
  </si>
  <si>
    <t>FRK-110308</t>
  </si>
  <si>
    <t>HJL33</t>
  </si>
  <si>
    <t>Сгон УГЛОВОЙ разъемный (американка) латунь 1/2" вн-нар (10/100шт)</t>
  </si>
  <si>
    <t>FRK-110309</t>
  </si>
  <si>
    <t>HJL44</t>
  </si>
  <si>
    <t>Сгон УГЛОВОЙ разъемный (американка) латунь 3/4" вн-нар (10/70шт)</t>
  </si>
  <si>
    <t>456.66 руб.</t>
  </si>
  <si>
    <t>FRK-110310</t>
  </si>
  <si>
    <t>HJL55</t>
  </si>
  <si>
    <t>Сгон УГЛОВОЙ разъемный (американка) латунь 1" вн-нар (4/32шт)</t>
  </si>
  <si>
    <t>789.86 руб.</t>
  </si>
  <si>
    <t>FRK-110311</t>
  </si>
  <si>
    <t>HJL66</t>
  </si>
  <si>
    <t>Сгон УГЛОВОЙ разъемный (американка) латунь 1 1/4" вн-нар (2/20шт)</t>
  </si>
  <si>
    <t>1 133.48 руб.</t>
  </si>
  <si>
    <t>FRK-110315</t>
  </si>
  <si>
    <t>HJF66</t>
  </si>
  <si>
    <t>Сгон прямой разъемный (американка) латунь 11/4" вн-вн (4/36шт)</t>
  </si>
  <si>
    <t>998.11 руб.</t>
  </si>
  <si>
    <t>FRK-110316</t>
  </si>
  <si>
    <t>HJF77</t>
  </si>
  <si>
    <t>Сгон прямой разъемный (американка) латунь 11/2" вн-вн (2/24шт)</t>
  </si>
  <si>
    <t>1 777.56 руб.</t>
  </si>
  <si>
    <t>FRK-110317</t>
  </si>
  <si>
    <t>HJF88</t>
  </si>
  <si>
    <t>Сгон прямой разъемный (американка) латунь 2" вн-вн (2/16шт)</t>
  </si>
  <si>
    <t>2 710.23 руб.</t>
  </si>
  <si>
    <t>FRK-110318</t>
  </si>
  <si>
    <t>HJH33</t>
  </si>
  <si>
    <t>Сгон прямой разъемный (американка) латунь 1/2" нар-нар (10/150шт)</t>
  </si>
  <si>
    <t>191.89 руб.</t>
  </si>
  <si>
    <t>FRK-110319</t>
  </si>
  <si>
    <t>HJH44</t>
  </si>
  <si>
    <t>Сгон прямой разъемный (американка) латунь 3/4" нар-нар (10/150шт)</t>
  </si>
  <si>
    <t>309.40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</si>
  <si>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</si>
  <si>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</si>
  <si>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</si>
  <si>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</si>
  <si>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</si>
  <si>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</si>
  <si>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401.63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</si>
  <si>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</si>
  <si>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</si>
  <si>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</si>
  <si>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</si>
  <si>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</si>
  <si>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</si>
  <si>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367.41 руб.</t>
  </si>
  <si>
    <t>FRK-110400</t>
  </si>
  <si>
    <t>SHN73</t>
  </si>
  <si>
    <t>ниппель переходной нар-нар 1 1/2"-1/2" (5/60шт)</t>
  </si>
  <si>
    <t>301.96 руб.</t>
  </si>
  <si>
    <t>FRK-110401</t>
  </si>
  <si>
    <t>SHN74</t>
  </si>
  <si>
    <t>ниппель переходной нар-нар 1 1/2"-3/4" (5/60шт)</t>
  </si>
  <si>
    <t>FRK-110402</t>
  </si>
  <si>
    <t>SFN63</t>
  </si>
  <si>
    <t>муфта переходная вн-вн 1 1/4"-1/2" (2/100шт)</t>
  </si>
  <si>
    <t>246.93 руб.</t>
  </si>
  <si>
    <t>FRK-110403</t>
  </si>
  <si>
    <t>SFHN73</t>
  </si>
  <si>
    <t>переходник 1 1/2"-1/2" вн-нар (2/80шт)</t>
  </si>
  <si>
    <t>352.54 руб.</t>
  </si>
  <si>
    <t>FRK-110404</t>
  </si>
  <si>
    <t>SFHN84</t>
  </si>
  <si>
    <t>переходник 2"-3/4" вн-нар (2/50шт)</t>
  </si>
  <si>
    <t>696.15 руб.</t>
  </si>
  <si>
    <t>FRK-110405</t>
  </si>
  <si>
    <t>TFN666</t>
  </si>
  <si>
    <t>тройник 11/4" вн-вн-вн (2/30шт)</t>
  </si>
  <si>
    <t>783.91 руб.</t>
  </si>
  <si>
    <t>FRK-110406</t>
  </si>
  <si>
    <t>TFN777</t>
  </si>
  <si>
    <t>тройник 11/2" вн-вн-вн (2/22шт)</t>
  </si>
  <si>
    <t>1 112.65 руб.</t>
  </si>
  <si>
    <t>FRK-110407</t>
  </si>
  <si>
    <t>TFN888</t>
  </si>
  <si>
    <t>тройник 2" вн-вн-вн (2/12шт)</t>
  </si>
  <si>
    <t>1 657.08 руб.</t>
  </si>
  <si>
    <t>FRK-110411</t>
  </si>
  <si>
    <t>LFN66</t>
  </si>
  <si>
    <t>угольник 11/4" вн-вн (3/30шт)</t>
  </si>
  <si>
    <t>718.46 руб.</t>
  </si>
  <si>
    <t>FRK-110412</t>
  </si>
  <si>
    <t>LFN77</t>
  </si>
  <si>
    <t>угольник 11/2" вн-вн (2/24шт)</t>
  </si>
  <si>
    <t>1 056.13 руб.</t>
  </si>
  <si>
    <t>FRK-110413</t>
  </si>
  <si>
    <t>LFN88</t>
  </si>
  <si>
    <t>угольник 2" вн-вн (2/12шт)</t>
  </si>
  <si>
    <t>1 701.70 руб.</t>
  </si>
  <si>
    <t>FRK-110414</t>
  </si>
  <si>
    <t>LFHN66</t>
  </si>
  <si>
    <t>угольник 11/4" вн-нар (2/20шт)</t>
  </si>
  <si>
    <t>699.13 руб.</t>
  </si>
  <si>
    <t>FRK-110415</t>
  </si>
  <si>
    <t>LFHN77</t>
  </si>
  <si>
    <t>угольник 11/2" вн-нар (3/15шт)</t>
  </si>
  <si>
    <t>892.50 руб.</t>
  </si>
  <si>
    <t>FRK-110416</t>
  </si>
  <si>
    <t>LFHN88</t>
  </si>
  <si>
    <t>угольник 2" вн-нар (3/15шт)</t>
  </si>
  <si>
    <t>1 326.85 руб.</t>
  </si>
  <si>
    <t>FRK-110417</t>
  </si>
  <si>
    <t>SHN84</t>
  </si>
  <si>
    <t>ниппель переходной нар-нар 2"-3/4" (20/50шт)</t>
  </si>
  <si>
    <t>453.69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</si>
  <si>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</si>
  <si>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</si>
  <si>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</si>
  <si>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</si>
  <si>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</si>
  <si>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</si>
  <si>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</si>
  <si>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</si>
  <si>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</si>
  <si>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835.98 руб.</t>
  </si>
  <si>
    <t>FRK-110421</t>
  </si>
  <si>
    <t>BXHFN63</t>
  </si>
  <si>
    <t>футорка 1 1/4"-1/2" нар-вн (10/100шт)</t>
  </si>
  <si>
    <t>316.84 руб.</t>
  </si>
  <si>
    <t>FRK-110422</t>
  </si>
  <si>
    <t>BXHFN73</t>
  </si>
  <si>
    <t>футорка 1 1/2"-1/2" нар-вн (2/50шт)</t>
  </si>
  <si>
    <t>462.61 руб.</t>
  </si>
  <si>
    <t>FRK-110423</t>
  </si>
  <si>
    <t>BXHFN74</t>
  </si>
  <si>
    <t>футорка 1 1/2"-3/4" нар-вн (2/50шт)</t>
  </si>
  <si>
    <t>476.00 руб.</t>
  </si>
  <si>
    <t>FRK-110424</t>
  </si>
  <si>
    <t>BXHFN76</t>
  </si>
  <si>
    <t>футорка 1 1/2"-1 1/4" нар-вн</t>
  </si>
  <si>
    <t>224.61 руб.</t>
  </si>
  <si>
    <t>FRK-110425</t>
  </si>
  <si>
    <t>XFN333</t>
  </si>
  <si>
    <t>Крестовина 1/2г*1/2г*1/2г*1/2г (10/100шт)</t>
  </si>
  <si>
    <t>226.10 руб.</t>
  </si>
  <si>
    <t>FRK-110426</t>
  </si>
  <si>
    <t>XFN444</t>
  </si>
  <si>
    <t>Крестовина 3/4г*3/4г*3/4г*3/4г (5/60шт)</t>
  </si>
  <si>
    <t>346.59 руб.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</si>
  <si>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</si>
  <si>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</si>
  <si>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</si>
  <si>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</si>
  <si>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</si>
  <si>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</si>
  <si>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544.43 руб.</t>
  </si>
  <si>
    <t>FRK-110471</t>
  </si>
  <si>
    <t>SDF7</t>
  </si>
  <si>
    <t>врезка штуцер для емкости ЛАТУНЬ 11/2" (2/36шт)</t>
  </si>
  <si>
    <t>763.09 руб.</t>
  </si>
  <si>
    <t>FRK-110472</t>
  </si>
  <si>
    <t>SDF8</t>
  </si>
  <si>
    <t>врезка штуцер для емкости ЛАТУНЬ 2" (2/25шт)</t>
  </si>
  <si>
    <t>1 264.38 руб.</t>
  </si>
  <si>
    <t>FRK-110500</t>
  </si>
  <si>
    <t>DFC6</t>
  </si>
  <si>
    <t>контргайка 1 1/4" с бортиком (20/250шт)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</si>
  <si>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</si>
  <si>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</si>
  <si>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</si>
  <si>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</si>
  <si>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</si>
  <si>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</si>
  <si>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</si>
  <si>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</si>
  <si>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</si>
  <si>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FRK-110504</t>
  </si>
  <si>
    <t>TFN636</t>
  </si>
  <si>
    <t>Тройник НИКЕЛЬ T11/4г*1/2г*11/4г  ViEiR (30/2шт)</t>
  </si>
  <si>
    <t>551.86 руб.</t>
  </si>
  <si>
    <t>FRK-110505</t>
  </si>
  <si>
    <t>TFN646</t>
  </si>
  <si>
    <t>Тройник НИКЕЛЬ T11/4г*3/4г*11/4г  ViEiR (30/5шт)</t>
  </si>
  <si>
    <t>513.19 руб.</t>
  </si>
  <si>
    <t>FRK-110506</t>
  </si>
  <si>
    <t>TFN656</t>
  </si>
  <si>
    <t>Тройник НИКЕЛЬ T11/4г*1г*11/4г  ViEiR (30/2шт)</t>
  </si>
  <si>
    <t>528.06 руб.</t>
  </si>
  <si>
    <t>FRK-110507</t>
  </si>
  <si>
    <t>THFHN434</t>
  </si>
  <si>
    <t>Тройник  НИКЕЛЬ T3/4ш*1/2г*3/4ш  ViEiR (80/5шт)</t>
  </si>
  <si>
    <t>345.10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</si>
  <si>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</si>
  <si>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</si>
  <si>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</si>
  <si>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</si>
  <si>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</si>
  <si>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</si>
  <si>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</si>
  <si>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</si>
  <si>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</si>
  <si>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359.98 руб.</t>
  </si>
  <si>
    <t>FRK-110511</t>
  </si>
  <si>
    <t>TFHFN444</t>
  </si>
  <si>
    <t>Тройник  НИКЕЛЬ T3/4г*3/4ш*3/4г ViEiR (80/5шт)</t>
  </si>
  <si>
    <t>373.36 руб.</t>
  </si>
  <si>
    <t>FRK-110512</t>
  </si>
  <si>
    <t>BXHFN31</t>
  </si>
  <si>
    <t>футорка 1/2"-1/4" нар-вн (20/600шт)</t>
  </si>
  <si>
    <t>60.99 руб.</t>
  </si>
  <si>
    <t>FRK-130150</t>
  </si>
  <si>
    <t>VRF520</t>
  </si>
  <si>
    <t>Штуцер  1  г х 20латунь  ViEiR  (180/10шт)</t>
  </si>
  <si>
    <t>203.79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</si>
  <si>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</si>
  <si>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</si>
  <si>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</si>
  <si>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</si>
  <si>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</si>
  <si>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</si>
  <si>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797.30 руб.</t>
  </si>
  <si>
    <t>FRK-130153</t>
  </si>
  <si>
    <t>VRG55N</t>
  </si>
  <si>
    <t>Штуцер с накидной гайкой 1F*1M  ViEiR  (100/10шт)</t>
  </si>
  <si>
    <t>279.65 руб.</t>
  </si>
  <si>
    <t>FRK-130154</t>
  </si>
  <si>
    <t>VRG45N</t>
  </si>
  <si>
    <t>Штуцер с накидной гайкой 1F*3/4M  ViEiR  (100/10шт)</t>
  </si>
  <si>
    <t>255.85 руб.</t>
  </si>
  <si>
    <t>FRK-130155</t>
  </si>
  <si>
    <t>VSFH550</t>
  </si>
  <si>
    <t>Переходник соединительный с накидной гайкой 1F*1F  ViEiR  (100/10шт)</t>
  </si>
  <si>
    <t>282.63 руб.</t>
  </si>
  <si>
    <t>VER-000146</t>
  </si>
  <si>
    <t>THHFN444</t>
  </si>
  <si>
    <t>Тройник  T3/4ш*3/4ш*3/4г "ViEiR"(80/5шт)</t>
  </si>
  <si>
    <t>Фитинги ХРОМИРОВАННЫЕ резьбовые латунные VIEIR</t>
  </si>
  <si>
    <t>FRK-120001</t>
  </si>
  <si>
    <t>HJX33</t>
  </si>
  <si>
    <t>американка прямая S1/2F*1/2M "(ХРОМ.) VR (4/40шт)</t>
  </si>
  <si>
    <t>FRK-120002</t>
  </si>
  <si>
    <t>HJX44</t>
  </si>
  <si>
    <t>американка прямая S3/4F*3/4M "(ХРОМ.) VR (4/40шт)</t>
  </si>
  <si>
    <t>306.43 руб.</t>
  </si>
  <si>
    <t>FRK-120003</t>
  </si>
  <si>
    <t>HJX55</t>
  </si>
  <si>
    <t>американка прямая S1F*1M "(ХРОМ.) VR (4/40шт)</t>
  </si>
  <si>
    <t>480.46 руб.</t>
  </si>
  <si>
    <t>FRK-120004</t>
  </si>
  <si>
    <t>SHX33</t>
  </si>
  <si>
    <t>ниппель  VR S1/2"M * 1/2"M хром.(10/360шт)</t>
  </si>
  <si>
    <t>FRK-120005</t>
  </si>
  <si>
    <t>SHX44</t>
  </si>
  <si>
    <t>ниппель  VR  S3/4"M * 3/4M хром.(10/300шт)</t>
  </si>
  <si>
    <t>110.08 руб.</t>
  </si>
  <si>
    <t>FRK-120006</t>
  </si>
  <si>
    <t>SHX55</t>
  </si>
  <si>
    <t>ниппель  VR S1"M * 1"M хром.(10/180шт)</t>
  </si>
  <si>
    <t>FRK-120007</t>
  </si>
  <si>
    <t>SFHX32</t>
  </si>
  <si>
    <t>переходник  VR S1/2"F * 3/8"M хром(10/300шт)</t>
  </si>
  <si>
    <t>FRK-120008</t>
  </si>
  <si>
    <t>SFHX43</t>
  </si>
  <si>
    <t>переходник  VR S3/4"F * 1/2"M хром(10/180шт)</t>
  </si>
  <si>
    <t>135.36 руб.</t>
  </si>
  <si>
    <t>FRK-120009</t>
  </si>
  <si>
    <t>SFHX53</t>
  </si>
  <si>
    <t>переходник  VR  S1"F * 1/2"M хром(10/144шт)</t>
  </si>
  <si>
    <t>209.74 руб.</t>
  </si>
  <si>
    <t>FRK-120010</t>
  </si>
  <si>
    <t>SFHX54</t>
  </si>
  <si>
    <t>переходник VR S1"F * 3/4"M хром(10/120 шт)</t>
  </si>
  <si>
    <t>FRK-120011</t>
  </si>
  <si>
    <t>SFX33</t>
  </si>
  <si>
    <t>муфта VR S1/2"F * 1/2"F хром(10/300шт)</t>
  </si>
  <si>
    <t>120.49 руб.</t>
  </si>
  <si>
    <t>FRK-120012</t>
  </si>
  <si>
    <t>SFX43</t>
  </si>
  <si>
    <t>муфта  VR S3/4"F * 1/2"F хром(10/180шт)</t>
  </si>
  <si>
    <t>156.19 руб.</t>
  </si>
  <si>
    <t>FRK-120013</t>
  </si>
  <si>
    <t>SFX44</t>
  </si>
  <si>
    <t>муфта  VR S3/4"F * 3/4"F хром(10/180шт)</t>
  </si>
  <si>
    <t>FRK-120014</t>
  </si>
  <si>
    <t>SFX53</t>
  </si>
  <si>
    <t>муфта  VR S1"F * 1/2"F хром(10/120шт)</t>
  </si>
  <si>
    <t>229.08 руб.</t>
  </si>
  <si>
    <t>FRK-120015</t>
  </si>
  <si>
    <t>SFX54</t>
  </si>
  <si>
    <t>муфта  VR S1"F * 3/4"F хром(10/120шт)</t>
  </si>
  <si>
    <t>FRK-120016</t>
  </si>
  <si>
    <t>SFX55</t>
  </si>
  <si>
    <t>муфта  VR S1"F * 1"F хром(10/120шт)</t>
  </si>
  <si>
    <t>287.09 руб.</t>
  </si>
  <si>
    <t>FRK-120017</t>
  </si>
  <si>
    <t>LFX33</t>
  </si>
  <si>
    <t>уголок  VR 1/2"F * 1/2"F хром(10/192шт)</t>
  </si>
  <si>
    <t>FRK-120018</t>
  </si>
  <si>
    <t>LFHX33</t>
  </si>
  <si>
    <t>уголок  VR 1/2"F * 1/2"M хром(6/192шт)</t>
  </si>
  <si>
    <t>FRK-120019</t>
  </si>
  <si>
    <t>LFX44</t>
  </si>
  <si>
    <t>уголок  VR 3/4"F * 3/4"F хром(6/144шт)</t>
  </si>
  <si>
    <t>FRK-120020</t>
  </si>
  <si>
    <t>LFHX44</t>
  </si>
  <si>
    <t>уголок  VR 3/4"F * 3/4"M хром(12/120шт)</t>
  </si>
  <si>
    <t>365.93 руб.</t>
  </si>
  <si>
    <t>FRK-120021</t>
  </si>
  <si>
    <t>LFX55</t>
  </si>
  <si>
    <t>уголок  VR 1"F * 1"F хром(12/72шт)</t>
  </si>
  <si>
    <t>502.78 руб.</t>
  </si>
  <si>
    <t>FRK-120022</t>
  </si>
  <si>
    <t>LFHX55</t>
  </si>
  <si>
    <t>уголок  VR 1"F * 1"M хром(12/72шт)</t>
  </si>
  <si>
    <t>547.40 руб.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</si>
  <si>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</si>
  <si>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</si>
  <si>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</si>
  <si>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</si>
  <si>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</si>
  <si>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</si>
  <si>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343.61 руб.</t>
  </si>
  <si>
    <t>FRK-120025</t>
  </si>
  <si>
    <t>TFX555</t>
  </si>
  <si>
    <t>тройник  VR 1"F  хром(6/60шт)</t>
  </si>
  <si>
    <t>602.44 руб.</t>
  </si>
  <si>
    <t>FRK-120026</t>
  </si>
  <si>
    <t>BXX43</t>
  </si>
  <si>
    <t>футорка  VR 3/4"M * 1/2"F хром(12/504шт)</t>
  </si>
  <si>
    <t>83.30 руб.</t>
  </si>
  <si>
    <t>FRK-120027</t>
  </si>
  <si>
    <t>BXX53</t>
  </si>
  <si>
    <t>футорка  VR 1"M * 1/2"F хром(10/360шт)</t>
  </si>
  <si>
    <t>218.66 руб.</t>
  </si>
  <si>
    <t>FRK-120028</t>
  </si>
  <si>
    <t>BXX54</t>
  </si>
  <si>
    <t>футорка  VR 1"M * 3/4"F хром(6/360шт)</t>
  </si>
  <si>
    <t>FRK-120029</t>
  </si>
  <si>
    <t>SMCX80</t>
  </si>
  <si>
    <t>сгон удлинитель хромированный 1/2" 80 мм VR (2/600шт)</t>
  </si>
  <si>
    <t>FRK-120030</t>
  </si>
  <si>
    <t>SMCX100</t>
  </si>
  <si>
    <t>сгон удлинитель хромированный 1/2" 100 мм VR (2/300шт)</t>
  </si>
  <si>
    <t>278.16 руб.</t>
  </si>
  <si>
    <t>FRK-120031</t>
  </si>
  <si>
    <t>SMCX150</t>
  </si>
  <si>
    <t>сгон удлинитель хромированный 1/2" 150 мм VR (2/200шт)</t>
  </si>
  <si>
    <t>435.84 руб.</t>
  </si>
  <si>
    <t>FRK-120032</t>
  </si>
  <si>
    <t>SMCX200</t>
  </si>
  <si>
    <t>сгон удлинитель хромированный 1/2" 200 мм VR (2/200шт)</t>
  </si>
  <si>
    <t>590.54 руб.</t>
  </si>
  <si>
    <t>FRK-120033</t>
  </si>
  <si>
    <t>SMCX250</t>
  </si>
  <si>
    <t>сгон удлинитель хромированный 1/2" 250 мм VR (2/100шт)</t>
  </si>
  <si>
    <t>FRK-120034</t>
  </si>
  <si>
    <t>SMX50</t>
  </si>
  <si>
    <t>бочонок хромированный  1/2" 50 мм   VR (2/500шт)</t>
  </si>
  <si>
    <t>FRK-120035</t>
  </si>
  <si>
    <t>SMX80</t>
  </si>
  <si>
    <t>бочонок хромированный  1/2" 80  мм  VR (2/300шт)</t>
  </si>
  <si>
    <t>FRK-120036</t>
  </si>
  <si>
    <t>SMX100</t>
  </si>
  <si>
    <t>бочонок хромированный  1/2"100 мм VR (2/200шт)</t>
  </si>
  <si>
    <t>FRK-120037</t>
  </si>
  <si>
    <t>SMX150</t>
  </si>
  <si>
    <t>бочонок хромированный  1/2" 150  мм  VR (2/200шт)</t>
  </si>
  <si>
    <t>398.65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</si>
  <si>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</si>
  <si>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</si>
  <si>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</si>
  <si>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</si>
  <si>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</si>
  <si>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</si>
  <si>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FRK-121002</t>
  </si>
  <si>
    <t>SBX15</t>
  </si>
  <si>
    <t>удлинитель хромированный 3/4" 15  мм (10/500шт)</t>
  </si>
  <si>
    <t>FRK-121003</t>
  </si>
  <si>
    <t>SBX20</t>
  </si>
  <si>
    <t>удлинитель хромированный 3/4" 20  мм (10/500шт)</t>
  </si>
  <si>
    <t>141.31 руб.</t>
  </si>
  <si>
    <t>FRK-121004</t>
  </si>
  <si>
    <t>SBX25</t>
  </si>
  <si>
    <t>удлинитель хромированный 3/4" 25  мм (10/300шт)</t>
  </si>
  <si>
    <t>160.65 руб.</t>
  </si>
  <si>
    <t>FRK-121005</t>
  </si>
  <si>
    <t>SBX30</t>
  </si>
  <si>
    <t>удлинитель хромированный 3/4" 30  мм (10/300шт)</t>
  </si>
  <si>
    <t>184.45 руб.</t>
  </si>
  <si>
    <t>FRK-121006</t>
  </si>
  <si>
    <t>SBX40</t>
  </si>
  <si>
    <t>удлинитель хромированный 3/4" 40  мм (10/300шт)</t>
  </si>
  <si>
    <t>242.46 руб.</t>
  </si>
  <si>
    <t>FRK-121007</t>
  </si>
  <si>
    <t>SBX50</t>
  </si>
  <si>
    <t>удлинитель хромированный 3/4" 50 мм (5/200шт)</t>
  </si>
  <si>
    <t>FRK-121008</t>
  </si>
  <si>
    <t>SBX60</t>
  </si>
  <si>
    <t>удлинитель хромированный 3/4" 60  мм (5/200шт)</t>
  </si>
  <si>
    <t>FRK-121009</t>
  </si>
  <si>
    <t>SBX70</t>
  </si>
  <si>
    <t>удлинитель хромированный 3/4" 70  мм (5/200шт)</t>
  </si>
  <si>
    <t>377.83 руб.</t>
  </si>
  <si>
    <t>FRK-121010</t>
  </si>
  <si>
    <t>SBX80</t>
  </si>
  <si>
    <t>удлинитель хромированный 3/4" 80  мм (2/100шт)</t>
  </si>
  <si>
    <t>431.38 руб.</t>
  </si>
  <si>
    <t>FRK-121011</t>
  </si>
  <si>
    <t>SBX90</t>
  </si>
  <si>
    <t>удлинитель хромированный 3/4" 90  мм (2/100шт)</t>
  </si>
  <si>
    <t>471.54 руб.</t>
  </si>
  <si>
    <t>FRK-121012</t>
  </si>
  <si>
    <t>SBX100</t>
  </si>
  <si>
    <t>удлинитель хромированный 3/4" 100 мм (2/100шт)</t>
  </si>
  <si>
    <t>517.65 руб.</t>
  </si>
  <si>
    <t>FRK-121013</t>
  </si>
  <si>
    <t>SCX10</t>
  </si>
  <si>
    <t>удлинитель хромированный 1" 10  мм (10/500шт)</t>
  </si>
  <si>
    <t>150.24 руб.</t>
  </si>
  <si>
    <t>FRK-121014</t>
  </si>
  <si>
    <t>SCX15</t>
  </si>
  <si>
    <t>удлинитель хромированный 1" 15  мм (10/500шт)</t>
  </si>
  <si>
    <t>172.55 руб.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</si>
  <si>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</si>
  <si>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</si>
  <si>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</si>
  <si>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</si>
  <si>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</si>
  <si>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</si>
  <si>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FRK-121017</t>
  </si>
  <si>
    <t>SCX30</t>
  </si>
  <si>
    <t>удлинитель хромированный 1" 30  мм (10/300шт)</t>
  </si>
  <si>
    <t>267.75 руб.</t>
  </si>
  <si>
    <t>FRK-121018</t>
  </si>
  <si>
    <t>SCX40</t>
  </si>
  <si>
    <t>удлинитель хромированный 1" 40  мм (10/300шт)</t>
  </si>
  <si>
    <t>FRK-121019</t>
  </si>
  <si>
    <t>SCX50</t>
  </si>
  <si>
    <t>удлинитель хромированный 1" 50 мм (5/200шт)</t>
  </si>
  <si>
    <t>407.58 руб.</t>
  </si>
  <si>
    <t>FRK-121020</t>
  </si>
  <si>
    <t>SCX60</t>
  </si>
  <si>
    <t>удлинитель хромированный 1" 60  мм (5/200шт)</t>
  </si>
  <si>
    <t>478.98 руб.</t>
  </si>
  <si>
    <t>FRK-121021</t>
  </si>
  <si>
    <t>SCX70</t>
  </si>
  <si>
    <t>удлинитель хромированный 1" 70  мм (5/200шт)</t>
  </si>
  <si>
    <t>FRK-121022</t>
  </si>
  <si>
    <t>SCX80</t>
  </si>
  <si>
    <t>удлинитель хромированный 1" 80  мм (2/100шт)</t>
  </si>
  <si>
    <t>627.73 руб.</t>
  </si>
  <si>
    <t>FRK-121023</t>
  </si>
  <si>
    <t>SCX90</t>
  </si>
  <si>
    <t>удлинитель хромированный 1" 90  мм (2/100шт)</t>
  </si>
  <si>
    <t>FRK-121024</t>
  </si>
  <si>
    <t>SCX100</t>
  </si>
  <si>
    <t>удлинитель хромированный 1" 100 мм (2/100шт)</t>
  </si>
  <si>
    <t>752.68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</si>
</sst>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4_86a5_11e9_8101_003048fd731b_ad77ae66_a585_11ee_a526_047c1617b143134.jpeg"/><Relationship Id="rId135" Type="http://schemas.openxmlformats.org/officeDocument/2006/relationships/image" Target="../media/e0aa4158_86a5_11e9_8101_003048fd731b_ad77ae62_a585_11ee_a526_047c1617b143135.jpeg"/><Relationship Id="rId136" Type="http://schemas.openxmlformats.org/officeDocument/2006/relationships/image" Target="../media/e0aa415c_86a5_11e9_8101_003048fd731b_ad77ae1a_a585_11ee_a526_047c1617b143136.jpeg"/><Relationship Id="rId137" Type="http://schemas.openxmlformats.org/officeDocument/2006/relationships/image" Target="../media/e0aa4160_86a5_11e9_8101_003048fd731b_ad77ae1e_a585_11ee_a526_047c1617b143137.jpeg"/><Relationship Id="rId138" Type="http://schemas.openxmlformats.org/officeDocument/2006/relationships/image" Target="../media/e0aa4164_86a5_11e9_8101_003048fd731b_ad77ae22_a585_11ee_a526_047c1617b143138.jpeg"/><Relationship Id="rId139" Type="http://schemas.openxmlformats.org/officeDocument/2006/relationships/image" Target="../media/e0aa4168_86a5_11e9_8101_003048fd731b_ad77ae26_a585_11ee_a526_047c1617b143139.jpeg"/><Relationship Id="rId140" Type="http://schemas.openxmlformats.org/officeDocument/2006/relationships/image" Target="../media/e0aa416c_86a5_11e9_8101_003048fd731b_ad77ae2a_a585_11ee_a526_047c1617b143140.jpeg"/><Relationship Id="rId141" Type="http://schemas.openxmlformats.org/officeDocument/2006/relationships/image" Target="../media/e0aa4170_86a5_11e9_8101_003048fd731b_ad77ae2e_a585_11ee_a526_047c1617b143141.jpeg"/><Relationship Id="rId142" Type="http://schemas.openxmlformats.org/officeDocument/2006/relationships/image" Target="../media/e0aa4174_86a5_11e9_8101_003048fd731b_ad77ae36_a585_11ee_a526_047c1617b143142.jpeg"/><Relationship Id="rId143" Type="http://schemas.openxmlformats.org/officeDocument/2006/relationships/image" Target="../media/e0aa4178_86a5_11e9_8101_003048fd731b_ad77ae3a_a585_11ee_a526_047c1617b143143.jpeg"/><Relationship Id="rId144" Type="http://schemas.openxmlformats.org/officeDocument/2006/relationships/image" Target="../media/e0aa417c_86a5_11e9_8101_003048fd731b_ad77ae32_a585_11ee_a526_047c1617b143144.jpeg"/><Relationship Id="rId145" Type="http://schemas.openxmlformats.org/officeDocument/2006/relationships/image" Target="../media/e0aa4180_86a5_11e9_8101_003048fd731b_ad77ae3e_a585_11ee_a526_047c1617b143145.jpeg"/><Relationship Id="rId146" Type="http://schemas.openxmlformats.org/officeDocument/2006/relationships/image" Target="../media/e0aa4184_86a5_11e9_8101_003048fd731b_ad77ae46_a585_11ee_a526_047c1617b143146.jpeg"/><Relationship Id="rId147" Type="http://schemas.openxmlformats.org/officeDocument/2006/relationships/image" Target="../media/e0aa4188_86a5_11e9_8101_003048fd731b_ad77ae4a_a585_11ee_a526_047c1617b143147.jpeg"/><Relationship Id="rId148" Type="http://schemas.openxmlformats.org/officeDocument/2006/relationships/image" Target="../media/e0aa418c_86a5_11e9_8101_003048fd731b_ad77ae42_a585_11ee_a526_047c1617b143148.jpeg"/><Relationship Id="rId149" Type="http://schemas.openxmlformats.org/officeDocument/2006/relationships/image" Target="../media/e0aa4190_86a5_11e9_8101_003048fd731b_ad77ae56_a585_11ee_a526_047c1617b143149.jpeg"/><Relationship Id="rId150" Type="http://schemas.openxmlformats.org/officeDocument/2006/relationships/image" Target="../media/e0aa4194_86a5_11e9_8101_003048fd731b_ad77ae5a_a585_11ee_a526_047c1617b143150.jpeg"/><Relationship Id="rId151" Type="http://schemas.openxmlformats.org/officeDocument/2006/relationships/image" Target="../media/e0aa4198_86a5_11e9_8101_003048fd731b_ad77ae5e_a585_11ee_a526_047c1617b143151.jpeg"/><Relationship Id="rId152" Type="http://schemas.openxmlformats.org/officeDocument/2006/relationships/image" Target="../media/e0aa419c_86a5_11e9_8101_003048fd731b_ad77ae52_a585_11ee_a526_047c1617b143152.jpeg"/><Relationship Id="rId153" Type="http://schemas.openxmlformats.org/officeDocument/2006/relationships/image" Target="../media/e0aa41a0_86a5_11e9_8101_003048fd731b_ad77ae4e_a585_11ee_a526_047c1617b143153.jpeg"/><Relationship Id="rId154" Type="http://schemas.openxmlformats.org/officeDocument/2006/relationships/image" Target="../media/e0aa41a4_86a5_11e9_8101_003048fd731b_ad77ae6a_a585_11ee_a526_047c1617b143154.jpeg"/><Relationship Id="rId155" Type="http://schemas.openxmlformats.org/officeDocument/2006/relationships/image" Target="../media/e0aa41a8_86a5_11e9_8101_003048fd731b_ad77ae6e_a585_11ee_a526_047c1617b143155.jpeg"/><Relationship Id="rId156" Type="http://schemas.openxmlformats.org/officeDocument/2006/relationships/image" Target="../media/e0aa41ac_86a5_11e9_8101_003048fd731b_ad77ae72_a585_11ee_a526_047c1617b143156.jpeg"/><Relationship Id="rId157" Type="http://schemas.openxmlformats.org/officeDocument/2006/relationships/image" Target="../media/e0aa41b0_86a5_11e9_8101_003048fd731b_ad77ae76_a585_11ee_a526_047c1617b143157.jpeg"/><Relationship Id="rId158" Type="http://schemas.openxmlformats.org/officeDocument/2006/relationships/image" Target="../media/e0aa41b4_86a5_11e9_8101_003048fd731b_ad77ae7a_a585_11ee_a526_047c1617b143158.jpeg"/><Relationship Id="rId159" Type="http://schemas.openxmlformats.org/officeDocument/2006/relationships/image" Target="../media/e0aa41b8_86a5_11e9_8101_003048fd731b_ad77ae7e_a585_11ee_a526_047c1617b143159.jpeg"/><Relationship Id="rId160" Type="http://schemas.openxmlformats.org/officeDocument/2006/relationships/image" Target="../media/e0aa41bc_86a5_11e9_8101_003048fd731b_ad77ae82_a585_11ee_a526_047c1617b143160.jpeg"/><Relationship Id="rId161" Type="http://schemas.openxmlformats.org/officeDocument/2006/relationships/image" Target="../media/e0aa41c0_86a5_11e9_8101_003048fd731b_ad77ae86_a585_11ee_a526_047c1617b143161.jpeg"/><Relationship Id="rId162" Type="http://schemas.openxmlformats.org/officeDocument/2006/relationships/image" Target="../media/e0aa41c4_86a5_11e9_8101_003048fd731b_ad77ae8a_a585_11ee_a526_047c1617b143162.jpeg"/><Relationship Id="rId163" Type="http://schemas.openxmlformats.org/officeDocument/2006/relationships/image" Target="../media/e0aa41c8_86a5_11e9_8101_003048fd731b_ad77ae8e_a585_11ee_a526_047c1617b143163.jpeg"/><Relationship Id="rId164" Type="http://schemas.openxmlformats.org/officeDocument/2006/relationships/image" Target="../media/e0aa41cc_86a5_11e9_8101_003048fd731b_ad77ae92_a585_11ee_a526_047c1617b143164.jpeg"/><Relationship Id="rId165" Type="http://schemas.openxmlformats.org/officeDocument/2006/relationships/image" Target="../media/e0aa41d0_86a5_11e9_8101_003048fd731b_ad77ae96_a585_11ee_a526_047c1617b143165.jpeg"/><Relationship Id="rId166" Type="http://schemas.openxmlformats.org/officeDocument/2006/relationships/image" Target="../media/e0aa41d4_86a5_11e9_8101_003048fd731b_ad77ae9a_a585_11ee_a526_047c1617b143166.jpeg"/><Relationship Id="rId167" Type="http://schemas.openxmlformats.org/officeDocument/2006/relationships/image" Target="../media/e0aa41d8_86a5_11e9_8101_003048fd731b_ad77ae9e_a585_11ee_a526_047c1617b143167.jpeg"/><Relationship Id="rId168" Type="http://schemas.openxmlformats.org/officeDocument/2006/relationships/image" Target="../media/e0aa41dc_86a5_11e9_8101_003048fd731b_ad77aea2_a585_11ee_a526_047c1617b143168.jpeg"/><Relationship Id="rId169" Type="http://schemas.openxmlformats.org/officeDocument/2006/relationships/image" Target="../media/e0aa41e0_86a5_11e9_8101_003048fd731b_ad77aeaa_a585_11ee_a526_047c1617b143169.jpeg"/><Relationship Id="rId170" Type="http://schemas.openxmlformats.org/officeDocument/2006/relationships/image" Target="../media/e0aa41e4_86a5_11e9_8101_003048fd731b_ad77aeae_a585_11ee_a526_047c1617b143170.jpeg"/><Relationship Id="rId171" Type="http://schemas.openxmlformats.org/officeDocument/2006/relationships/image" Target="../media/e0aa41e8_86a5_11e9_8101_003048fd731b_ad77aea6_a585_11ee_a526_047c1617b143171.jpeg"/><Relationship Id="rId172" Type="http://schemas.openxmlformats.org/officeDocument/2006/relationships/image" Target="../media/e0aa41ec_86a5_11e9_8101_003048fd731b_ad77aeb2_a585_11ee_a526_047c1617b143172.jpeg"/><Relationship Id="rId173" Type="http://schemas.openxmlformats.org/officeDocument/2006/relationships/image" Target="../media/e0aa41f0_86a5_11e9_8101_003048fd731b_ad77aeb6_a585_11ee_a526_047c1617b143173.jpeg"/><Relationship Id="rId174" Type="http://schemas.openxmlformats.org/officeDocument/2006/relationships/image" Target="../media/e0aa41f4_86a5_11e9_8101_003048fd731b_ad77aeba_a585_11ee_a526_047c1617b143174.jpeg"/><Relationship Id="rId175" Type="http://schemas.openxmlformats.org/officeDocument/2006/relationships/image" Target="../media/e0aa41f8_86a5_11e9_8101_003048fd731b_ad77aebe_a585_11ee_a526_047c1617b143175.jpeg"/><Relationship Id="rId176" Type="http://schemas.openxmlformats.org/officeDocument/2006/relationships/image" Target="../media/e0aa41fc_86a5_11e9_8101_003048fd731b_ad77aec2_a585_11ee_a526_047c1617b143176.jpeg"/><Relationship Id="rId177" Type="http://schemas.openxmlformats.org/officeDocument/2006/relationships/image" Target="../media/e0aa4200_86a5_11e9_8101_003048fd731b_ad77aec6_a585_11ee_a526_047c1617b143177.jpeg"/><Relationship Id="rId178" Type="http://schemas.openxmlformats.org/officeDocument/2006/relationships/image" Target="../media/e0aa4204_86a5_11e9_8101_003048fd731b_ad77aeca_a585_11ee_a526_047c1617b143178.jpeg"/><Relationship Id="rId179" Type="http://schemas.openxmlformats.org/officeDocument/2006/relationships/image" Target="../media/e0aa4208_86a5_11e9_8101_003048fd731b_ad77aece_a585_11ee_a526_047c1617b143179.jpeg"/><Relationship Id="rId180" Type="http://schemas.openxmlformats.org/officeDocument/2006/relationships/image" Target="../media/e0aa420c_86a5_11e9_8101_003048fd731b_ad77aed2_a585_11ee_a526_047c1617b143180.jpeg"/><Relationship Id="rId181" Type="http://schemas.openxmlformats.org/officeDocument/2006/relationships/image" Target="../media/e0aa4210_86a5_11e9_8101_003048fd731b_ad77aed6_a585_11ee_a526_047c1617b143181.jpeg"/><Relationship Id="rId182" Type="http://schemas.openxmlformats.org/officeDocument/2006/relationships/image" Target="../media/e0aa4214_86a5_11e9_8101_003048fd731b_ad77aeda_a585_11ee_a526_047c1617b143182.jpeg"/><Relationship Id="rId183" Type="http://schemas.openxmlformats.org/officeDocument/2006/relationships/image" Target="../media/e0aa4218_86a5_11e9_8101_003048fd731b_ad77aede_a585_11ee_a526_047c1617b143183.jpeg"/><Relationship Id="rId184" Type="http://schemas.openxmlformats.org/officeDocument/2006/relationships/image" Target="../media/e0aa421c_86a5_11e9_8101_003048fd731b_ad77aeea_a585_11ee_a526_047c1617b143184.jpeg"/><Relationship Id="rId185" Type="http://schemas.openxmlformats.org/officeDocument/2006/relationships/image" Target="../media/e0aa4220_86a5_11e9_8101_003048fd731b_ad77aeee_a585_11ee_a526_047c1617b143185.jpeg"/><Relationship Id="rId186" Type="http://schemas.openxmlformats.org/officeDocument/2006/relationships/image" Target="../media/e0aa4224_86a5_11e9_8101_003048fd731b_ad77aef2_a585_11ee_a526_047c1617b143186.jpeg"/><Relationship Id="rId187" Type="http://schemas.openxmlformats.org/officeDocument/2006/relationships/image" Target="../media/e0aa4228_86a5_11e9_8101_003048fd731b_ad77aef6_a585_11ee_a526_047c1617b143187.jpeg"/><Relationship Id="rId188" Type="http://schemas.openxmlformats.org/officeDocument/2006/relationships/image" Target="../media/e0aa422c_86a5_11e9_8101_003048fd731b_ad77aefa_a585_11ee_a526_047c1617b143188.jpeg"/><Relationship Id="rId189" Type="http://schemas.openxmlformats.org/officeDocument/2006/relationships/image" Target="../media/e0aa4230_86a5_11e9_8101_003048fd731b_ad77aefe_a585_11ee_a526_047c1617b143189.jpeg"/><Relationship Id="rId190" Type="http://schemas.openxmlformats.org/officeDocument/2006/relationships/image" Target="../media/e0aa4234_86a5_11e9_8101_003048fd731b_ad77af3a_a585_11ee_a526_047c1617b143190.jpeg"/><Relationship Id="rId191" Type="http://schemas.openxmlformats.org/officeDocument/2006/relationships/image" Target="../media/e0aa4238_86a5_11e9_8101_003048fd731b_ad77af3e_a585_11ee_a526_047c1617b143191.jpeg"/><Relationship Id="rId192" Type="http://schemas.openxmlformats.org/officeDocument/2006/relationships/image" Target="../media/e0aa423c_86a5_11e9_8101_003048fd731b_ad77af02_a585_11ee_a526_047c1617b143192.jpeg"/><Relationship Id="rId193" Type="http://schemas.openxmlformats.org/officeDocument/2006/relationships/image" Target="../media/e0aa4240_86a5_11e9_8101_003048fd731b_ad77af06_a585_11ee_a526_047c1617b143193.jpeg"/><Relationship Id="rId194" Type="http://schemas.openxmlformats.org/officeDocument/2006/relationships/image" Target="../media/e0aa4244_86a5_11e9_8101_003048fd731b_ad77af0a_a585_11ee_a526_047c1617b143194.jpeg"/><Relationship Id="rId195" Type="http://schemas.openxmlformats.org/officeDocument/2006/relationships/image" Target="../media/e0aa4248_86a5_11e9_8101_003048fd731b_ad77af0e_a585_11ee_a526_047c1617b143195.jpeg"/><Relationship Id="rId196" Type="http://schemas.openxmlformats.org/officeDocument/2006/relationships/image" Target="../media/e0aa424c_86a5_11e9_8101_003048fd731b_ad77af12_a585_11ee_a526_047c1617b143196.jpeg"/><Relationship Id="rId197" Type="http://schemas.openxmlformats.org/officeDocument/2006/relationships/image" Target="../media/e0aa4250_86a5_11e9_8101_003048fd731b_ad77af16_a585_11ee_a526_047c1617b143197.jpeg"/><Relationship Id="rId198" Type="http://schemas.openxmlformats.org/officeDocument/2006/relationships/image" Target="../media/e0aa4254_86a5_11e9_8101_003048fd731b_ad77af1a_a585_11ee_a526_047c1617b143198.jpeg"/><Relationship Id="rId199" Type="http://schemas.openxmlformats.org/officeDocument/2006/relationships/image" Target="../media/e6d59f4f_86a5_11e9_8101_003048fd731b_ad77af22_a585_11ee_a526_047c1617b143199.jpeg"/><Relationship Id="rId200" Type="http://schemas.openxmlformats.org/officeDocument/2006/relationships/image" Target="../media/e6d59f53_86a5_11e9_8101_003048fd731b_ad77af1e_a585_11ee_a526_047c1617b143200.jpeg"/><Relationship Id="rId201" Type="http://schemas.openxmlformats.org/officeDocument/2006/relationships/image" Target="../media/e6d59f57_86a5_11e9_8101_003048fd731b_ad77af26_a585_11ee_a526_047c1617b143201.jpeg"/><Relationship Id="rId202" Type="http://schemas.openxmlformats.org/officeDocument/2006/relationships/image" Target="../media/e6d59f5b_86a5_11e9_8101_003048fd731b_ad77af2a_a585_11ee_a526_047c1617b143202.jpeg"/><Relationship Id="rId203" Type="http://schemas.openxmlformats.org/officeDocument/2006/relationships/image" Target="../media/e6d59f5f_86a5_11e9_8101_003048fd731b_ad77af2e_a585_11ee_a526_047c1617b143203.jpeg"/><Relationship Id="rId204" Type="http://schemas.openxmlformats.org/officeDocument/2006/relationships/image" Target="../media/e6d59f63_86a5_11e9_8101_003048fd731b_ad77af32_a585_11ee_a526_047c1617b143204.jpeg"/><Relationship Id="rId205" Type="http://schemas.openxmlformats.org/officeDocument/2006/relationships/image" Target="../media/e6d59f67_86a5_11e9_8101_003048fd731b_ad77af36_a585_11ee_a526_047c1617b143205.jpeg"/><Relationship Id="rId206" Type="http://schemas.openxmlformats.org/officeDocument/2006/relationships/image" Target="../media/e6d59f6b_86a5_11e9_8101_003048fd731b_ad77af46_a585_11ee_a526_047c1617b143206.jpeg"/><Relationship Id="rId207" Type="http://schemas.openxmlformats.org/officeDocument/2006/relationships/image" Target="../media/e6d59f6f_86a5_11e9_8101_003048fd731b_ad77af42_a585_11ee_a526_047c1617b143207.jpeg"/><Relationship Id="rId208" Type="http://schemas.openxmlformats.org/officeDocument/2006/relationships/image" Target="../media/e6d59f73_86a5_11e9_8101_003048fd731b_ad77af4a_a585_11ee_a526_047c1617b143208.jpeg"/><Relationship Id="rId209" Type="http://schemas.openxmlformats.org/officeDocument/2006/relationships/image" Target="../media/e6d59f77_86a5_11e9_8101_003048fd731b_ad77af4e_a585_11ee_a526_047c1617b143209.jpeg"/><Relationship Id="rId210" Type="http://schemas.openxmlformats.org/officeDocument/2006/relationships/image" Target="../media/e6d59f7b_86a5_11e9_8101_003048fd731b_ad77af52_a585_11ee_a526_047c1617b143210.jpeg"/><Relationship Id="rId211" Type="http://schemas.openxmlformats.org/officeDocument/2006/relationships/image" Target="../media/e6d59f7f_86a5_11e9_8101_003048fd731b_ad77af56_a585_11ee_a526_047c1617b143211.jpeg"/><Relationship Id="rId212" Type="http://schemas.openxmlformats.org/officeDocument/2006/relationships/image" Target="../media/e6d59f83_86a5_11e9_8101_003048fd731b_ad77af5a_a585_11ee_a526_047c1617b143212.jpeg"/><Relationship Id="rId213" Type="http://schemas.openxmlformats.org/officeDocument/2006/relationships/image" Target="../media/e6d59f87_86a5_11e9_8101_003048fd731b_ad77af6e_a585_11ee_a526_047c1617b143213.jpeg"/><Relationship Id="rId214" Type="http://schemas.openxmlformats.org/officeDocument/2006/relationships/image" Target="../media/e6d59f8b_86a5_11e9_8101_003048fd731b_ad77af6a_a585_11ee_a526_047c1617b143214.jpeg"/><Relationship Id="rId215" Type="http://schemas.openxmlformats.org/officeDocument/2006/relationships/image" Target="../media/e6d59f8f_86a5_11e9_8101_003048fd731b_ad77af5e_a585_11ee_a526_047c1617b143215.jpeg"/><Relationship Id="rId216" Type="http://schemas.openxmlformats.org/officeDocument/2006/relationships/image" Target="../media/e6d59f93_86a5_11e9_8101_003048fd731b_ad77af62_a585_11ee_a526_047c1617b143216.jpeg"/><Relationship Id="rId217" Type="http://schemas.openxmlformats.org/officeDocument/2006/relationships/image" Target="../media/e6d59f97_86a5_11e9_8101_003048fd731b_ad77af66_a585_11ee_a526_047c1617b143217.jpeg"/><Relationship Id="rId218" Type="http://schemas.openxmlformats.org/officeDocument/2006/relationships/image" Target="../media/e6d59f9b_86a5_11e9_8101_003048fd731b_ad77af72_a585_11ee_a526_047c1617b143218.jpeg"/><Relationship Id="rId219" Type="http://schemas.openxmlformats.org/officeDocument/2006/relationships/image" Target="../media/e6d59f9f_86a5_11e9_8101_003048fd731b_ad77af76_a585_11ee_a526_047c1617b143219.jpeg"/><Relationship Id="rId220" Type="http://schemas.openxmlformats.org/officeDocument/2006/relationships/image" Target="../media/e6d59fa3_86a5_11e9_8101_003048fd731b_ad77af7a_a585_11ee_a526_047c1617b143220.jpeg"/><Relationship Id="rId221" Type="http://schemas.openxmlformats.org/officeDocument/2006/relationships/image" Target="../media/e6d59fa7_86a5_11e9_8101_003048fd731b_ad77af7e_a585_11ee_a526_047c1617b143221.jpeg"/><Relationship Id="rId222" Type="http://schemas.openxmlformats.org/officeDocument/2006/relationships/image" Target="../media/e6d59fab_86a5_11e9_8101_003048fd731b_ad77af82_a585_11ee_a526_047c1617b143222.jpeg"/><Relationship Id="rId223" Type="http://schemas.openxmlformats.org/officeDocument/2006/relationships/image" Target="../media/e6d59faf_86a5_11e9_8101_003048fd731b_ad77af86_a585_11ee_a526_047c1617b143223.jpeg"/><Relationship Id="rId224" Type="http://schemas.openxmlformats.org/officeDocument/2006/relationships/image" Target="../media/e6d59fb3_86a5_11e9_8101_003048fd731b_ad77af8a_a585_11ee_a526_047c1617b143224.jpeg"/><Relationship Id="rId225" Type="http://schemas.openxmlformats.org/officeDocument/2006/relationships/image" Target="../media/e6d59fb7_86a5_11e9_8101_003048fd731b_ad77af8e_a585_11ee_a526_047c1617b143225.jpeg"/><Relationship Id="rId226" Type="http://schemas.openxmlformats.org/officeDocument/2006/relationships/image" Target="../media/e6d59fbb_86a5_11e9_8101_003048fd731b_ad77af92_a585_11ee_a526_047c1617b143226.jpeg"/><Relationship Id="rId227" Type="http://schemas.openxmlformats.org/officeDocument/2006/relationships/image" Target="../media/e6d59fbf_86a5_11e9_8101_003048fd731b_b380f7f4_a585_11ee_a526_047c1617b143227.jpeg"/><Relationship Id="rId228" Type="http://schemas.openxmlformats.org/officeDocument/2006/relationships/image" Target="../media/e6d59fc3_86a5_11e9_8101_003048fd731b_b380f7f8_a585_11ee_a526_047c1617b143228.jpeg"/><Relationship Id="rId229" Type="http://schemas.openxmlformats.org/officeDocument/2006/relationships/image" Target="../media/e6d59fc7_86a5_11e9_8101_003048fd731b_b380f7fc_a585_11ee_a526_047c1617b143229.jpeg"/><Relationship Id="rId230" Type="http://schemas.openxmlformats.org/officeDocument/2006/relationships/image" Target="../media/e6d59fcb_86a5_11e9_8101_003048fd731b_b380f800_a585_11ee_a526_047c1617b143230.jpeg"/><Relationship Id="rId231" Type="http://schemas.openxmlformats.org/officeDocument/2006/relationships/image" Target="../media/e6d59fcf_86a5_11e9_8101_003048fd731b_b380f804_a585_11ee_a526_047c1617b143231.jpeg"/><Relationship Id="rId232" Type="http://schemas.openxmlformats.org/officeDocument/2006/relationships/image" Target="../media/e6d59fd3_86a5_11e9_8101_003048fd731b_b380f808_a585_11ee_a526_047c1617b143232.jpeg"/><Relationship Id="rId233" Type="http://schemas.openxmlformats.org/officeDocument/2006/relationships/image" Target="../media/e6d59fd7_86a5_11e9_8101_003048fd731b_b380f80c_a585_11ee_a526_047c1617b143233.jpeg"/><Relationship Id="rId234" Type="http://schemas.openxmlformats.org/officeDocument/2006/relationships/image" Target="../media/e6d59fdb_86a5_11e9_8101_003048fd731b_b380f810_a585_11ee_a526_047c1617b143234.jpeg"/><Relationship Id="rId235" Type="http://schemas.openxmlformats.org/officeDocument/2006/relationships/image" Target="../media/e6d59fdf_86a5_11e9_8101_003048fd731b_b380f814_a585_11ee_a526_047c1617b143235.jpeg"/><Relationship Id="rId236" Type="http://schemas.openxmlformats.org/officeDocument/2006/relationships/image" Target="../media/e6d59fe3_86a5_11e9_8101_003048fd731b_b380f818_a585_11ee_a526_047c1617b143236.jpeg"/><Relationship Id="rId237" Type="http://schemas.openxmlformats.org/officeDocument/2006/relationships/image" Target="../media/e6d59fe7_86a5_11e9_8101_003048fd731b_b380f81c_a585_11ee_a526_047c1617b143237.jpeg"/><Relationship Id="rId238" Type="http://schemas.openxmlformats.org/officeDocument/2006/relationships/image" Target="../media/e6d59feb_86a5_11e9_8101_003048fd731b_b380f820_a585_11ee_a526_047c1617b143238.jpeg"/><Relationship Id="rId239" Type="http://schemas.openxmlformats.org/officeDocument/2006/relationships/image" Target="../media/e6d59fef_86a5_11e9_8101_003048fd731b_b380f824_a585_11ee_a526_047c1617b143239.jpeg"/><Relationship Id="rId240" Type="http://schemas.openxmlformats.org/officeDocument/2006/relationships/image" Target="../media/e6d59ff3_86a5_11e9_8101_003048fd731b_b380f828_a585_11ee_a526_047c1617b143240.jpeg"/><Relationship Id="rId241" Type="http://schemas.openxmlformats.org/officeDocument/2006/relationships/image" Target="../media/e6d59ff7_86a5_11e9_8101_003048fd731b_b380f82c_a585_11ee_a526_047c1617b143241.jpeg"/><Relationship Id="rId242" Type="http://schemas.openxmlformats.org/officeDocument/2006/relationships/image" Target="../media/e6d59ffb_86a5_11e9_8101_003048fd731b_b380f830_a585_11ee_a526_047c1617b143242.jpeg"/><Relationship Id="rId243" Type="http://schemas.openxmlformats.org/officeDocument/2006/relationships/image" Target="../media/e6d59fff_86a5_11e9_8101_003048fd731b_b380f834_a585_11ee_a526_047c1617b143243.jpeg"/><Relationship Id="rId244" Type="http://schemas.openxmlformats.org/officeDocument/2006/relationships/image" Target="../media/e6d5a003_86a5_11e9_8101_003048fd731b_b380f838_a585_11ee_a526_047c1617b143244.jpeg"/><Relationship Id="rId245" Type="http://schemas.openxmlformats.org/officeDocument/2006/relationships/image" Target="../media/e6d5a007_86a5_11e9_8101_003048fd731b_b380f83c_a585_11ee_a526_047c1617b143245.jpeg"/><Relationship Id="rId246" Type="http://schemas.openxmlformats.org/officeDocument/2006/relationships/image" Target="../media/e6d5a00b_86a5_11e9_8101_003048fd731b_b380f840_a585_11ee_a526_047c1617b143246.jpeg"/><Relationship Id="rId247" Type="http://schemas.openxmlformats.org/officeDocument/2006/relationships/image" Target="../media/e6d5a00f_86a5_11e9_8101_003048fd731b_b380f844_a585_11ee_a526_047c1617b143247.jpeg"/><Relationship Id="rId248" Type="http://schemas.openxmlformats.org/officeDocument/2006/relationships/image" Target="../media/e6d5a013_86a5_11e9_8101_003048fd731b_b380f848_a585_11ee_a526_047c1617b143248.jpeg"/><Relationship Id="rId249" Type="http://schemas.openxmlformats.org/officeDocument/2006/relationships/image" Target="../media/e6d5a017_86a5_11e9_8101_003048fd731b_b380f84c_a585_11ee_a526_047c1617b143249.jpeg"/><Relationship Id="rId250" Type="http://schemas.openxmlformats.org/officeDocument/2006/relationships/image" Target="../media/e6d5a01b_86a5_11e9_8101_003048fd731b_b380f850_a585_11ee_a526_047c1617b143250.jpeg"/><Relationship Id="rId251" Type="http://schemas.openxmlformats.org/officeDocument/2006/relationships/image" Target="../media/e6d5a01f_86a5_11e9_8101_003048fd731b_b380f854_a585_11ee_a526_047c1617b143251.jpeg"/><Relationship Id="rId252" Type="http://schemas.openxmlformats.org/officeDocument/2006/relationships/image" Target="../media/e6d5a023_86a5_11e9_8101_003048fd731b_b380f858_a585_11ee_a526_047c1617b143252.jpeg"/><Relationship Id="rId253" Type="http://schemas.openxmlformats.org/officeDocument/2006/relationships/image" Target="../media/e6d5a027_86a5_11e9_8101_003048fd731b_b380f85c_a585_11ee_a526_047c1617b143253.jpeg"/><Relationship Id="rId254" Type="http://schemas.openxmlformats.org/officeDocument/2006/relationships/image" Target="../media/e6d5a02b_86a5_11e9_8101_003048fd731b_b380f860_a585_11ee_a526_047c1617b143254.jpeg"/><Relationship Id="rId255" Type="http://schemas.openxmlformats.org/officeDocument/2006/relationships/image" Target="../media/e6d5a02f_86a5_11e9_8101_003048fd731b_b380f864_a585_11ee_a526_047c1617b143255.jpeg"/><Relationship Id="rId256" Type="http://schemas.openxmlformats.org/officeDocument/2006/relationships/image" Target="../media/e6d5a033_86a5_11e9_8101_003048fd731b_b380f868_a585_11ee_a526_047c1617b143256.jpeg"/><Relationship Id="rId257" Type="http://schemas.openxmlformats.org/officeDocument/2006/relationships/image" Target="../media/e6d5a037_86a5_11e9_8101_003048fd731b_b380f86c_a585_11ee_a526_047c1617b143257.jpeg"/><Relationship Id="rId258" Type="http://schemas.openxmlformats.org/officeDocument/2006/relationships/image" Target="../media/e6d5a03b_86a5_11e9_8101_003048fd731b_b380f870_a585_11ee_a526_047c1617b143258.jpeg"/><Relationship Id="rId259" Type="http://schemas.openxmlformats.org/officeDocument/2006/relationships/image" Target="../media/e6d5a03f_86a5_11e9_8101_003048fd731b_b380f874_a585_11ee_a526_047c1617b143259.jpeg"/><Relationship Id="rId260" Type="http://schemas.openxmlformats.org/officeDocument/2006/relationships/image" Target="../media/e6d5a043_86a5_11e9_8101_003048fd731b_b380f878_a585_11ee_a526_047c1617b143260.jpeg"/><Relationship Id="rId261" Type="http://schemas.openxmlformats.org/officeDocument/2006/relationships/image" Target="../media/e6d5a047_86a5_11e9_8101_003048fd731b_b380f87c_a585_11ee_a526_047c1617b143261.jpeg"/><Relationship Id="rId262" Type="http://schemas.openxmlformats.org/officeDocument/2006/relationships/image" Target="../media/e6d5a04b_86a5_11e9_8101_003048fd731b_b380f880_a585_11ee_a526_047c1617b143262.jpeg"/><Relationship Id="rId263" Type="http://schemas.openxmlformats.org/officeDocument/2006/relationships/image" Target="../media/e6d5a04f_86a5_11e9_8101_003048fd731b_b380f88c_a585_11ee_a526_047c1617b143263.jpeg"/><Relationship Id="rId264" Type="http://schemas.openxmlformats.org/officeDocument/2006/relationships/image" Target="../media/e6d5a053_86a5_11e9_8101_003048fd731b_b380f884_a585_11ee_a526_047c1617b143264.jpeg"/><Relationship Id="rId265" Type="http://schemas.openxmlformats.org/officeDocument/2006/relationships/image" Target="../media/e6d5a057_86a5_11e9_8101_003048fd731b_b380f888_a585_11ee_a526_047c1617b143265.jpeg"/><Relationship Id="rId266" Type="http://schemas.openxmlformats.org/officeDocument/2006/relationships/image" Target="../media/e6d5a05b_86a5_11e9_8101_003048fd731b_b380f890_a585_11ee_a526_047c1617b143266.jpeg"/><Relationship Id="rId267" Type="http://schemas.openxmlformats.org/officeDocument/2006/relationships/image" Target="../media/e6d5a05f_86a5_11e9_8101_003048fd731b_b380f894_a585_11ee_a526_047c1617b143267.jpeg"/><Relationship Id="rId268" Type="http://schemas.openxmlformats.org/officeDocument/2006/relationships/image" Target="../media/e6d5a063_86a5_11e9_8101_003048fd731b_b380f898_a585_11ee_a526_047c1617b143268.jpeg"/><Relationship Id="rId269" Type="http://schemas.openxmlformats.org/officeDocument/2006/relationships/image" Target="../media/e6d5a067_86a5_11e9_8101_003048fd731b_b380f89c_a585_11ee_a526_047c1617b143269.jpeg"/><Relationship Id="rId270" Type="http://schemas.openxmlformats.org/officeDocument/2006/relationships/image" Target="../media/e6d5a06b_86a5_11e9_8101_003048fd731b_b380f8a0_a585_11ee_a526_047c1617b143270.jpeg"/><Relationship Id="rId271" Type="http://schemas.openxmlformats.org/officeDocument/2006/relationships/image" Target="../media/e6d5a06f_86a5_11e9_8101_003048fd731b_b380f8a4_a585_11ee_a526_047c1617b143271.jpeg"/><Relationship Id="rId272" Type="http://schemas.openxmlformats.org/officeDocument/2006/relationships/image" Target="../media/e6d5a073_86a5_11e9_8101_003048fd731b_b380f8a8_a585_11ee_a526_047c1617b143272.jpeg"/><Relationship Id="rId273" Type="http://schemas.openxmlformats.org/officeDocument/2006/relationships/image" Target="../media/e6d5a077_86a5_11e9_8101_003048fd731b_b380f8ac_a585_11ee_a526_047c1617b143273.jpeg"/><Relationship Id="rId274" Type="http://schemas.openxmlformats.org/officeDocument/2006/relationships/image" Target="../media/e6d5a07b_86a5_11e9_8101_003048fd731b_b380f8b0_a585_11ee_a526_047c1617b143274.jpeg"/><Relationship Id="rId275" Type="http://schemas.openxmlformats.org/officeDocument/2006/relationships/image" Target="../media/e6d5a07f_86a5_11e9_8101_003048fd731b_b380f8c8_a585_11ee_a526_047c1617b143275.jpeg"/><Relationship Id="rId276" Type="http://schemas.openxmlformats.org/officeDocument/2006/relationships/image" Target="../media/e6d5a083_86a5_11e9_8101_003048fd731b_b380f8cc_a585_11ee_a526_047c1617b143276.jpeg"/><Relationship Id="rId277" Type="http://schemas.openxmlformats.org/officeDocument/2006/relationships/image" Target="../media/e6d5a087_86a5_11e9_8101_003048fd731b_b380f8d0_a585_11ee_a526_047c1617b143277.jpeg"/><Relationship Id="rId278" Type="http://schemas.openxmlformats.org/officeDocument/2006/relationships/image" Target="../media/e6d5a08b_86a5_11e9_8101_003048fd731b_b380f8b4_a585_11ee_a526_047c1617b143278.jpeg"/><Relationship Id="rId279" Type="http://schemas.openxmlformats.org/officeDocument/2006/relationships/image" Target="../media/ecd57f4d_86a5_11e9_8101_003048fd731b_b380f8b8_a585_11ee_a526_047c1617b143279.jpeg"/><Relationship Id="rId280" Type="http://schemas.openxmlformats.org/officeDocument/2006/relationships/image" Target="../media/ecd57f51_86a5_11e9_8101_003048fd731b_b380f8c4_a585_11ee_a526_047c1617b143280.jpeg"/><Relationship Id="rId281" Type="http://schemas.openxmlformats.org/officeDocument/2006/relationships/image" Target="../media/ecd57f55_86a5_11e9_8101_003048fd731b_b380f8bc_a585_11ee_a526_047c1617b143281.jpeg"/><Relationship Id="rId282" Type="http://schemas.openxmlformats.org/officeDocument/2006/relationships/image" Target="../media/ecd57f59_86a5_11e9_8101_003048fd731b_b380f8c0_a585_11ee_a526_047c1617b143282.jpeg"/><Relationship Id="rId283" Type="http://schemas.openxmlformats.org/officeDocument/2006/relationships/image" Target="../media/ecd57f5d_86a5_11e9_8101_003048fd731b_b380f8d4_a585_11ee_a526_047c1617b143283.jpeg"/><Relationship Id="rId284" Type="http://schemas.openxmlformats.org/officeDocument/2006/relationships/image" Target="../media/ecd57f61_86a5_11e9_8101_003048fd731b_b380f8ec_a585_11ee_a526_047c1617b143284.jpeg"/><Relationship Id="rId285" Type="http://schemas.openxmlformats.org/officeDocument/2006/relationships/image" Target="../media/ecd57f65_86a5_11e9_8101_003048fd731b_b380f8f0_a585_11ee_a526_047c1617b143285.jpeg"/><Relationship Id="rId286" Type="http://schemas.openxmlformats.org/officeDocument/2006/relationships/image" Target="../media/ecd57f69_86a5_11e9_8101_003048fd731b_b380f8f4_a585_11ee_a526_047c1617b143286.jpeg"/><Relationship Id="rId287" Type="http://schemas.openxmlformats.org/officeDocument/2006/relationships/image" Target="../media/ecd57f6d_86a5_11e9_8101_003048fd731b_b380f8f8_a585_11ee_a526_047c1617b143287.jpeg"/><Relationship Id="rId288" Type="http://schemas.openxmlformats.org/officeDocument/2006/relationships/image" Target="../media/ecd57f71_86a5_11e9_8101_003048fd731b_a69cf89a_a585_11ee_a526_047c1617b143288.jpeg"/><Relationship Id="rId289" Type="http://schemas.openxmlformats.org/officeDocument/2006/relationships/image" Target="../media/ecd57f75_86a5_11e9_8101_003048fd731b_a69cf89e_a585_11ee_a526_047c1617b143289.jpeg"/><Relationship Id="rId290" Type="http://schemas.openxmlformats.org/officeDocument/2006/relationships/image" Target="../media/ecd57f79_86a5_11e9_8101_003048fd731b_a69cf8a2_a585_11ee_a526_047c1617b143290.jpeg"/><Relationship Id="rId291" Type="http://schemas.openxmlformats.org/officeDocument/2006/relationships/image" Target="../media/ecd57f7d_86a5_11e9_8101_003048fd731b_a69cf8a6_a585_11ee_a526_047c1617b143291.jpeg"/><Relationship Id="rId292" Type="http://schemas.openxmlformats.org/officeDocument/2006/relationships/image" Target="../media/ecd57f81_86a5_11e9_8101_003048fd731b_a69cf8aa_a585_11ee_a526_047c1617b143292.jpeg"/><Relationship Id="rId293" Type="http://schemas.openxmlformats.org/officeDocument/2006/relationships/image" Target="../media/ecd57f84_86a5_11e9_8101_003048fd731b_a69cf8ae_a585_11ee_a526_047c1617b143293.jpeg"/><Relationship Id="rId294" Type="http://schemas.openxmlformats.org/officeDocument/2006/relationships/image" Target="../media/ecd57f88_86a5_11e9_8101_003048fd731b_a69cf8b2_a585_11ee_a526_047c1617b143294.jpeg"/><Relationship Id="rId295" Type="http://schemas.openxmlformats.org/officeDocument/2006/relationships/image" Target="../media/ecd57f8c_86a5_11e9_8101_003048fd731b_a69cf8b6_a585_11ee_a526_047c1617b143295.jpeg"/><Relationship Id="rId296" Type="http://schemas.openxmlformats.org/officeDocument/2006/relationships/image" Target="../media/ecd57f90_86a5_11e9_8101_003048fd731b_a69cf8ba_a585_11ee_a526_047c1617b143296.jpeg"/><Relationship Id="rId297" Type="http://schemas.openxmlformats.org/officeDocument/2006/relationships/image" Target="../media/ecd57f94_86a5_11e9_8101_003048fd731b_a69cf8be_a585_11ee_a526_047c1617b143297.jpeg"/><Relationship Id="rId298" Type="http://schemas.openxmlformats.org/officeDocument/2006/relationships/image" Target="../media/ecd57f98_86a5_11e9_8101_003048fd731b_a69cf8c2_a585_11ee_a526_047c1617b143298.jpeg"/><Relationship Id="rId299" Type="http://schemas.openxmlformats.org/officeDocument/2006/relationships/image" Target="../media/ecd57f9c_86a5_11e9_8101_003048fd731b_a69cf8c6_a585_11ee_a526_047c1617b143299.jpeg"/><Relationship Id="rId300" Type="http://schemas.openxmlformats.org/officeDocument/2006/relationships/image" Target="../media/ecd57fa0_86a5_11e9_8101_003048fd731b_a69cf8ca_a585_11ee_a526_047c1617b143300.jpeg"/><Relationship Id="rId301" Type="http://schemas.openxmlformats.org/officeDocument/2006/relationships/image" Target="../media/ecd57fa4_86a5_11e9_8101_003048fd731b_a69cf8ce_a585_11ee_a526_047c1617b143301.jpeg"/><Relationship Id="rId302" Type="http://schemas.openxmlformats.org/officeDocument/2006/relationships/image" Target="../media/ecd57fa8_86a5_11e9_8101_003048fd731b_a69cf8d6_a585_11ee_a526_047c1617b143302.jpeg"/><Relationship Id="rId303" Type="http://schemas.openxmlformats.org/officeDocument/2006/relationships/image" Target="../media/ecd57fac_86a5_11e9_8101_003048fd731b_a69cf8d2_a585_11ee_a526_047c1617b143303.jpeg"/><Relationship Id="rId304" Type="http://schemas.openxmlformats.org/officeDocument/2006/relationships/image" Target="../media/ecd57fb0_86a5_11e9_8101_003048fd731b_b380f8d8_a585_11ee_a526_047c1617b143304.jpeg"/><Relationship Id="rId305" Type="http://schemas.openxmlformats.org/officeDocument/2006/relationships/image" Target="../media/ecd57fb4_86a5_11e9_8101_003048fd731b_b380f8dc_a585_11ee_a526_047c1617b143305.jpeg"/><Relationship Id="rId306" Type="http://schemas.openxmlformats.org/officeDocument/2006/relationships/image" Target="../media/ecd57fb8_86a5_11e9_8101_003048fd731b_b380f8e0_a585_11ee_a526_047c1617b143306.jpeg"/><Relationship Id="rId307" Type="http://schemas.openxmlformats.org/officeDocument/2006/relationships/image" Target="../media/ecd57fc4_86a5_11e9_8101_003048fd731b_634a4251_f953_11e9_810b_003048fd731b307.jpeg"/><Relationship Id="rId308" Type="http://schemas.openxmlformats.org/officeDocument/2006/relationships/image" Target="../media/ecd57fd8_86a5_11e9_8101_003048fd731b_b380f8e4_a585_11ee_a526_047c1617b143308.jpeg"/><Relationship Id="rId309" Type="http://schemas.openxmlformats.org/officeDocument/2006/relationships/image" Target="../media/ecd57fdc_86a5_11e9_8101_003048fd731b_b380f8e8_a585_11ee_a526_047c1617b143309.jpeg"/><Relationship Id="rId310" Type="http://schemas.openxmlformats.org/officeDocument/2006/relationships/image" Target="../media/662b1518_3466_11eb_81f3_003048fd731b_ad77ae0e_a585_11ee_a526_047c1617b143310.jpeg"/><Relationship Id="rId311" Type="http://schemas.openxmlformats.org/officeDocument/2006/relationships/image" Target="../media/6d083a69_3466_11eb_81f3_003048fd731b_ef6721db_a584_11ee_a526_047c1617b143311.jpeg"/><Relationship Id="rId312" Type="http://schemas.openxmlformats.org/officeDocument/2006/relationships/image" Target="../media/65637d9a_0b65_11ec_831e_003048fd731b_ad77ae01_a585_11ee_a526_047c1617b143312.jpeg"/><Relationship Id="rId313" Type="http://schemas.openxmlformats.org/officeDocument/2006/relationships/image" Target="../media/5540d7bd_f5a0_11eb_8302_003048fd731b_a15553bc_602e_11ec_a20b_00259070b487313.jpeg"/><Relationship Id="rId314" Type="http://schemas.openxmlformats.org/officeDocument/2006/relationships/image" Target="../media/5540d7bf_f5a0_11eb_8302_003048fd731b_a15553bd_602e_11ec_a20b_00259070b487314.jpeg"/><Relationship Id="rId315" Type="http://schemas.openxmlformats.org/officeDocument/2006/relationships/image" Target="../media/29b1cbd5_3e5b_11ec_836e_003048fd731b_a15553be_602e_11ec_a20b_00259070b487315.jpeg"/><Relationship Id="rId316" Type="http://schemas.openxmlformats.org/officeDocument/2006/relationships/image" Target="../media/29b1cbd7_3e5b_11ec_836e_003048fd731b_a15553bf_602e_11ec_a20b_00259070b487316.jpeg"/><Relationship Id="rId317" Type="http://schemas.openxmlformats.org/officeDocument/2006/relationships/image" Target="../media/ecd57fe1_86a5_11e9_8101_003048fd731b_b380f986_a585_11ee_a526_047c1617b143317.jpeg"/><Relationship Id="rId318" Type="http://schemas.openxmlformats.org/officeDocument/2006/relationships/image" Target="../media/ecd57fe3_86a5_11e9_8101_003048fd731b_b380f989_a585_11ee_a526_047c1617b143318.jpeg"/><Relationship Id="rId319" Type="http://schemas.openxmlformats.org/officeDocument/2006/relationships/image" Target="../media/ecd57fe5_86a5_11e9_8101_003048fd731b_b380f98c_a585_11ee_a526_047c1617b143319.jpeg"/><Relationship Id="rId320" Type="http://schemas.openxmlformats.org/officeDocument/2006/relationships/image" Target="../media/ecd57fe7_86a5_11e9_8101_003048fd731b_b380f98f_a585_11ee_a526_047c1617b143320.jpeg"/><Relationship Id="rId321" Type="http://schemas.openxmlformats.org/officeDocument/2006/relationships/image" Target="../media/ecd57fe9_86a5_11e9_8101_003048fd731b_b380f993_a585_11ee_a526_047c1617b143321.jpeg"/><Relationship Id="rId322" Type="http://schemas.openxmlformats.org/officeDocument/2006/relationships/image" Target="../media/ecd57feb_86a5_11e9_8101_003048fd731b_b380f998_a585_11ee_a526_047c1617b143322.jpeg"/><Relationship Id="rId323" Type="http://schemas.openxmlformats.org/officeDocument/2006/relationships/image" Target="../media/ecd57fed_86a5_11e9_8101_003048fd731b_b380f99d_a585_11ee_a526_047c1617b143323.jpeg"/><Relationship Id="rId324" Type="http://schemas.openxmlformats.org/officeDocument/2006/relationships/image" Target="../media/ecd57fef_86a5_11e9_8101_003048fd731b_b380f98b_a585_11ee_a526_047c1617b143324.jpeg"/><Relationship Id="rId325" Type="http://schemas.openxmlformats.org/officeDocument/2006/relationships/image" Target="../media/ecd57ff1_86a5_11e9_8101_003048fd731b_b380f98d_a585_11ee_a526_047c1617b143325.jpeg"/><Relationship Id="rId326" Type="http://schemas.openxmlformats.org/officeDocument/2006/relationships/image" Target="../media/ecd57ff3_86a5_11e9_8101_003048fd731b_b380f98e_a585_11ee_a526_047c1617b143326.jpeg"/><Relationship Id="rId327" Type="http://schemas.openxmlformats.org/officeDocument/2006/relationships/image" Target="../media/ecd57ff5_86a5_11e9_8101_003048fd731b_b380f990_a585_11ee_a526_047c1617b143327.jpeg"/><Relationship Id="rId328" Type="http://schemas.openxmlformats.org/officeDocument/2006/relationships/image" Target="../media/ecd57ff7_86a5_11e9_8101_003048fd731b_b380f991_a585_11ee_a526_047c1617b143328.jpeg"/><Relationship Id="rId329" Type="http://schemas.openxmlformats.org/officeDocument/2006/relationships/image" Target="../media/ecd57ff9_86a5_11e9_8101_003048fd731b_b380f992_a585_11ee_a526_047c1617b143329.jpeg"/><Relationship Id="rId330" Type="http://schemas.openxmlformats.org/officeDocument/2006/relationships/image" Target="../media/ecd57ffb_86a5_11e9_8101_003048fd731b_b380f996_a585_11ee_a526_047c1617b143330.jpeg"/><Relationship Id="rId331" Type="http://schemas.openxmlformats.org/officeDocument/2006/relationships/image" Target="../media/ecd57ffd_86a5_11e9_8101_003048fd731b_b380f997_a585_11ee_a526_047c1617b143331.jpeg"/><Relationship Id="rId332" Type="http://schemas.openxmlformats.org/officeDocument/2006/relationships/image" Target="../media/ecd57fff_86a5_11e9_8101_003048fd731b_b380f99b_a585_11ee_a526_047c1617b143332.jpeg"/><Relationship Id="rId333" Type="http://schemas.openxmlformats.org/officeDocument/2006/relationships/image" Target="../media/ecd58001_86a5_11e9_8101_003048fd731b_b380f99a_a585_11ee_a526_047c1617b143333.jpeg"/><Relationship Id="rId334" Type="http://schemas.openxmlformats.org/officeDocument/2006/relationships/image" Target="../media/ecd58003_86a5_11e9_8101_003048fd731b_b380f99c_a585_11ee_a526_047c1617b143334.jpeg"/><Relationship Id="rId335" Type="http://schemas.openxmlformats.org/officeDocument/2006/relationships/image" Target="../media/ecd58005_86a5_11e9_8101_003048fd731b_b380f916_a585_11ee_a526_047c1617b143335.jpeg"/><Relationship Id="rId336" Type="http://schemas.openxmlformats.org/officeDocument/2006/relationships/image" Target="../media/ecd58007_86a5_11e9_8101_003048fd731b_b380f917_a585_11ee_a526_047c1617b143336.jpeg"/><Relationship Id="rId337" Type="http://schemas.openxmlformats.org/officeDocument/2006/relationships/image" Target="../media/ecd58009_86a5_11e9_8101_003048fd731b_b380f918_a585_11ee_a526_047c1617b143337.jpeg"/><Relationship Id="rId338" Type="http://schemas.openxmlformats.org/officeDocument/2006/relationships/image" Target="../media/ecd5800b_86a5_11e9_8101_003048fd731b_b380f91c_a585_11ee_a526_047c1617b143338.jpeg"/><Relationship Id="rId339" Type="http://schemas.openxmlformats.org/officeDocument/2006/relationships/image" Target="../media/ecd5800d_86a5_11e9_8101_003048fd731b_b380f91d_a585_11ee_a526_047c1617b143339.jpeg"/><Relationship Id="rId340" Type="http://schemas.openxmlformats.org/officeDocument/2006/relationships/image" Target="../media/ecd5800f_86a5_11e9_8101_003048fd731b_b380f91e_a585_11ee_a526_047c1617b143340.jpeg"/><Relationship Id="rId341" Type="http://schemas.openxmlformats.org/officeDocument/2006/relationships/image" Target="../media/ecd58011_86a5_11e9_8101_003048fd731b_b380f91f_a585_11ee_a526_047c1617b143341.jpeg"/><Relationship Id="rId342" Type="http://schemas.openxmlformats.org/officeDocument/2006/relationships/image" Target="../media/ecd58013_86a5_11e9_8101_003048fd731b_b380f920_a585_11ee_a526_047c1617b143342.jpeg"/><Relationship Id="rId343" Type="http://schemas.openxmlformats.org/officeDocument/2006/relationships/image" Target="../media/ecd58015_86a5_11e9_8101_003048fd731b_b380f921_a585_11ee_a526_047c1617b143343.jpeg"/><Relationship Id="rId344" Type="http://schemas.openxmlformats.org/officeDocument/2006/relationships/image" Target="../media/ecd58017_86a5_11e9_8101_003048fd731b_b380f90d_a585_11ee_a526_047c1617b143344.jpeg"/><Relationship Id="rId345" Type="http://schemas.openxmlformats.org/officeDocument/2006/relationships/image" Target="../media/ecd58019_86a5_11e9_8101_003048fd731b_b380f90e_a585_11ee_a526_047c1617b143345.jpeg"/><Relationship Id="rId346" Type="http://schemas.openxmlformats.org/officeDocument/2006/relationships/image" Target="../media/ecd5801b_86a5_11e9_8101_003048fd731b_b380f90f_a585_11ee_a526_047c1617b143346.jpeg"/><Relationship Id="rId347" Type="http://schemas.openxmlformats.org/officeDocument/2006/relationships/image" Target="../media/ecd5801d_86a5_11e9_8101_003048fd731b_b380f910_a585_11ee_a526_047c1617b143347.jpeg"/><Relationship Id="rId348" Type="http://schemas.openxmlformats.org/officeDocument/2006/relationships/image" Target="../media/ecd5801f_86a5_11e9_8101_003048fd731b_b380f911_a585_11ee_a526_047c1617b143348.jpeg"/><Relationship Id="rId349" Type="http://schemas.openxmlformats.org/officeDocument/2006/relationships/image" Target="../media/ecd58021_86a5_11e9_8101_003048fd731b_b380f912_a585_11ee_a526_047c1617b143349.jpeg"/><Relationship Id="rId350" Type="http://schemas.openxmlformats.org/officeDocument/2006/relationships/image" Target="../media/ecd58023_86a5_11e9_8101_003048fd731b_b380f973_a585_11ee_a526_047c1617b143350.jpeg"/><Relationship Id="rId351" Type="http://schemas.openxmlformats.org/officeDocument/2006/relationships/image" Target="../media/ecd58025_86a5_11e9_8101_003048fd731b_b380f975_a585_11ee_a526_047c1617b143351.jpeg"/><Relationship Id="rId352" Type="http://schemas.openxmlformats.org/officeDocument/2006/relationships/image" Target="../media/ecd58027_86a5_11e9_8101_003048fd731b_b380f978_a585_11ee_a526_047c1617b143352.jpeg"/><Relationship Id="rId353" Type="http://schemas.openxmlformats.org/officeDocument/2006/relationships/image" Target="../media/ecd58029_86a5_11e9_8101_003048fd731b_b380f97c_a585_11ee_a526_047c1617b143353.jpeg"/><Relationship Id="rId354" Type="http://schemas.openxmlformats.org/officeDocument/2006/relationships/image" Target="../media/ecd5802b_86a5_11e9_8101_003048fd731b_b380f980_a585_11ee_a526_047c1617b143354.jpeg"/><Relationship Id="rId355" Type="http://schemas.openxmlformats.org/officeDocument/2006/relationships/image" Target="../media/ecd5802d_86a5_11e9_8101_003048fd731b_b380f984_a585_11ee_a526_047c1617b143355.jpeg"/><Relationship Id="rId356" Type="http://schemas.openxmlformats.org/officeDocument/2006/relationships/image" Target="../media/ecd5802f_86a5_11e9_8101_003048fd731b_b380f972_a585_11ee_a526_047c1617b143356.jpeg"/><Relationship Id="rId357" Type="http://schemas.openxmlformats.org/officeDocument/2006/relationships/image" Target="../media/ecd58031_86a5_11e9_8101_003048fd731b_b380f974_a585_11ee_a526_047c1617b143357.jpeg"/><Relationship Id="rId358" Type="http://schemas.openxmlformats.org/officeDocument/2006/relationships/image" Target="../media/ecd58033_86a5_11e9_8101_003048fd731b_b380f976_a585_11ee_a526_047c1617b143358.jpeg"/><Relationship Id="rId359" Type="http://schemas.openxmlformats.org/officeDocument/2006/relationships/image" Target="../media/ecd58035_86a5_11e9_8101_003048fd731b_b380f977_a585_11ee_a526_047c1617b143359.jpeg"/><Relationship Id="rId360" Type="http://schemas.openxmlformats.org/officeDocument/2006/relationships/image" Target="../media/ecd58037_86a5_11e9_8101_003048fd731b_b380f97d_a585_11ee_a526_047c1617b143360.jpeg"/><Relationship Id="rId361" Type="http://schemas.openxmlformats.org/officeDocument/2006/relationships/image" Target="../media/ecd58039_86a5_11e9_8101_003048fd731b_b380f97a_a585_11ee_a526_047c1617b143361.jpeg"/><Relationship Id="rId362" Type="http://schemas.openxmlformats.org/officeDocument/2006/relationships/image" Target="../media/ecd5803b_86a5_11e9_8101_003048fd731b_b380f97b_a585_11ee_a526_047c1617b143362.jpeg"/><Relationship Id="rId363" Type="http://schemas.openxmlformats.org/officeDocument/2006/relationships/image" Target="../media/ecd5803d_86a5_11e9_8101_003048fd731b_b380f97e_a585_11ee_a526_047c1617b143363.jpeg"/><Relationship Id="rId364" Type="http://schemas.openxmlformats.org/officeDocument/2006/relationships/image" Target="../media/ecd5803f_86a5_11e9_8101_003048fd731b_b380f97f_a585_11ee_a526_047c1617b143364.jpeg"/><Relationship Id="rId365" Type="http://schemas.openxmlformats.org/officeDocument/2006/relationships/image" Target="../media/ecd58041_86a5_11e9_8101_003048fd731b_b380f982_a585_11ee_a526_047c1617b143365.jpeg"/><Relationship Id="rId366" Type="http://schemas.openxmlformats.org/officeDocument/2006/relationships/image" Target="../media/ecd58043_86a5_11e9_8101_003048fd731b_b380f981_a585_11ee_a526_047c1617b143366.jpeg"/><Relationship Id="rId367" Type="http://schemas.openxmlformats.org/officeDocument/2006/relationships/image" Target="../media/ecd58045_86a5_11e9_8101_003048fd731b_b380f983_a585_11ee_a526_047c1617b143367.jpeg"/><Relationship Id="rId368" Type="http://schemas.openxmlformats.org/officeDocument/2006/relationships/image" Target="../media/ecd58047_86a5_11e9_8101_003048fd731b_c181b98c_c05a_11ee_a549_047c1617b143368.jpeg"/><Relationship Id="rId369" Type="http://schemas.openxmlformats.org/officeDocument/2006/relationships/image" Target="../media/ecd58049_86a5_11e9_8101_003048fd731b_c181b98d_c05a_11ee_a549_047c1617b143369.jpeg"/><Relationship Id="rId370" Type="http://schemas.openxmlformats.org/officeDocument/2006/relationships/image" Target="../media/ecd5804b_86a5_11e9_8101_003048fd731b_c181b98e_c05a_11ee_a549_047c1617b143370.jpeg"/><Relationship Id="rId371" Type="http://schemas.openxmlformats.org/officeDocument/2006/relationships/image" Target="../media/ecd5804d_86a5_11e9_8101_003048fd731b_c181b9a1_c05a_11ee_a549_047c1617b143371.jpeg"/><Relationship Id="rId372" Type="http://schemas.openxmlformats.org/officeDocument/2006/relationships/image" Target="../media/ecd5804f_86a5_11e9_8101_003048fd731b_c181b98f_c05a_11ee_a549_047c1617b143372.jpeg"/><Relationship Id="rId373" Type="http://schemas.openxmlformats.org/officeDocument/2006/relationships/image" Target="../media/ecd58051_86a5_11e9_8101_003048fd731b_c181b990_c05a_11ee_a549_047c1617b143373.jpeg"/><Relationship Id="rId374" Type="http://schemas.openxmlformats.org/officeDocument/2006/relationships/image" Target="../media/ecd58053_86a5_11e9_8101_003048fd731b_c181b991_c05a_11ee_a549_047c1617b143374.jpeg"/><Relationship Id="rId375" Type="http://schemas.openxmlformats.org/officeDocument/2006/relationships/image" Target="../media/ecd58055_86a5_11e9_8101_003048fd731b_c181b992_c05a_11ee_a549_047c1617b143375.jpeg"/><Relationship Id="rId376" Type="http://schemas.openxmlformats.org/officeDocument/2006/relationships/image" Target="../media/ecd58057_86a5_11e9_8101_003048fd731b_c181b993_c05a_11ee_a549_047c1617b143376.jpeg"/><Relationship Id="rId377" Type="http://schemas.openxmlformats.org/officeDocument/2006/relationships/image" Target="../media/ecd58059_86a5_11e9_8101_003048fd731b_c181b995_c05a_11ee_a549_047c1617b143377.jpeg"/><Relationship Id="rId378" Type="http://schemas.openxmlformats.org/officeDocument/2006/relationships/image" Target="../media/ecd5805b_86a5_11e9_8101_003048fd731b_c181b996_c05a_11ee_a549_047c1617b143378.jpeg"/><Relationship Id="rId379" Type="http://schemas.openxmlformats.org/officeDocument/2006/relationships/image" Target="../media/ecd5805d_86a5_11e9_8101_003048fd731b_c181b997_c05a_11ee_a549_047c1617b143379.jpeg"/><Relationship Id="rId380" Type="http://schemas.openxmlformats.org/officeDocument/2006/relationships/image" Target="../media/ecd5805f_86a5_11e9_8101_003048fd731b_c181b99b_c05a_11ee_a549_047c1617b143380.jpeg"/><Relationship Id="rId381" Type="http://schemas.openxmlformats.org/officeDocument/2006/relationships/image" Target="../media/ecd58061_86a5_11e9_8101_003048fd731b_c181b999_c05a_11ee_a549_047c1617b143381.jpeg"/><Relationship Id="rId382" Type="http://schemas.openxmlformats.org/officeDocument/2006/relationships/image" Target="../media/ecd58063_86a5_11e9_8101_003048fd731b_c181b99a_c05a_11ee_a549_047c1617b143382.jpeg"/><Relationship Id="rId383" Type="http://schemas.openxmlformats.org/officeDocument/2006/relationships/image" Target="../media/ecd58065_86a5_11e9_8101_003048fd731b_ba744397_a585_11ee_a526_047c1617b143383.jpeg"/><Relationship Id="rId384" Type="http://schemas.openxmlformats.org/officeDocument/2006/relationships/image" Target="../media/ecd58067_86a5_11e9_8101_003048fd731b_b380f922_a585_11ee_a526_047c1617b143384.jpeg"/><Relationship Id="rId385" Type="http://schemas.openxmlformats.org/officeDocument/2006/relationships/image" Target="../media/ecd58069_86a5_11e9_8101_003048fd731b_b380f923_a585_11ee_a526_047c1617b143385.jpeg"/><Relationship Id="rId386" Type="http://schemas.openxmlformats.org/officeDocument/2006/relationships/image" Target="../media/ecd5806b_86a5_11e9_8101_003048fd731b_b380f929_a585_11ee_a526_047c1617b143386.jpeg"/><Relationship Id="rId387" Type="http://schemas.openxmlformats.org/officeDocument/2006/relationships/image" Target="../media/ecd5806d_86a5_11e9_8101_003048fd731b_b380f92a_a585_11ee_a526_047c1617b143387.jpeg"/><Relationship Id="rId388" Type="http://schemas.openxmlformats.org/officeDocument/2006/relationships/image" Target="../media/ecd5806f_86a5_11e9_8101_003048fd731b_b380f92b_a585_11ee_a526_047c1617b143388.jpeg"/><Relationship Id="rId389" Type="http://schemas.openxmlformats.org/officeDocument/2006/relationships/image" Target="../media/ecd58071_86a5_11e9_8101_003048fd731b_b380f92c_a585_11ee_a526_047c1617b143389.jpeg"/><Relationship Id="rId390" Type="http://schemas.openxmlformats.org/officeDocument/2006/relationships/image" Target="../media/ecd58073_86a5_11e9_8101_003048fd731b_b380f92d_a585_11ee_a526_047c1617b143390.jpeg"/><Relationship Id="rId391" Type="http://schemas.openxmlformats.org/officeDocument/2006/relationships/image" Target="../media/ecd58075_86a5_11e9_8101_003048fd731b_6b95d457_5a46_11f0_a775_047c1617b143391.jpeg"/><Relationship Id="rId392" Type="http://schemas.openxmlformats.org/officeDocument/2006/relationships/image" Target="../media/ecd58077_86a5_11e9_8101_003048fd731b_6b95d459_5a46_11f0_a775_047c1617b143392.jpeg"/><Relationship Id="rId393" Type="http://schemas.openxmlformats.org/officeDocument/2006/relationships/image" Target="../media/ecd58079_86a5_11e9_8101_003048fd731b_6b95d45c_5a46_11f0_a775_047c1617b143393.jpeg"/><Relationship Id="rId394" Type="http://schemas.openxmlformats.org/officeDocument/2006/relationships/image" Target="../media/ecd5807b_86a5_11e9_8101_003048fd731b_ba74434c_a585_11ee_a526_047c1617b143394.jpeg"/><Relationship Id="rId395" Type="http://schemas.openxmlformats.org/officeDocument/2006/relationships/image" Target="../media/ecd5807d_86a5_11e9_8101_003048fd731b_ba74434d_a585_11ee_a526_047c1617b143395.jpeg"/><Relationship Id="rId396" Type="http://schemas.openxmlformats.org/officeDocument/2006/relationships/image" Target="../media/ecd5807f_86a5_11e9_8101_003048fd731b_ba74434e_a585_11ee_a526_047c1617b143396.jpeg"/><Relationship Id="rId397" Type="http://schemas.openxmlformats.org/officeDocument/2006/relationships/image" Target="../media/ecd58081_86a5_11e9_8101_003048fd731b_1b5db486_f93d_11ef_a6ea_047c1617b143397.jpeg"/><Relationship Id="rId398" Type="http://schemas.openxmlformats.org/officeDocument/2006/relationships/image" Target="../media/ecd58083_86a5_11e9_8101_003048fd731b_6b95d45a_5a46_11f0_a775_047c1617b143398.jpeg"/><Relationship Id="rId399" Type="http://schemas.openxmlformats.org/officeDocument/2006/relationships/image" Target="../media/ecd58085_86a5_11e9_8101_003048fd731b_6b95d45b_5a46_11f0_a775_047c1617b143399.jpeg"/><Relationship Id="rId400" Type="http://schemas.openxmlformats.org/officeDocument/2006/relationships/image" Target="../media/ecd58087_86a5_11e9_8101_003048fd731b_6b95d458_5a46_11f0_a775_047c1617b143400.jpeg"/><Relationship Id="rId401" Type="http://schemas.openxmlformats.org/officeDocument/2006/relationships/image" Target="../media/ecd58089_86a5_11e9_8101_003048fd731b_b380f943_a585_11ee_a526_047c1617b143401.jpeg"/><Relationship Id="rId402" Type="http://schemas.openxmlformats.org/officeDocument/2006/relationships/image" Target="../media/f3cdce69_86a5_11e9_8101_003048fd731b_b380f945_a585_11ee_a526_047c1617b143402.jpeg"/><Relationship Id="rId403" Type="http://schemas.openxmlformats.org/officeDocument/2006/relationships/image" Target="../media/f3cdce6b_86a5_11e9_8101_003048fd731b_b380f947_a585_11ee_a526_047c1617b143403.jpeg"/><Relationship Id="rId404" Type="http://schemas.openxmlformats.org/officeDocument/2006/relationships/image" Target="../media/f3cdce6d_86a5_11e9_8101_003048fd731b_b380f939_a585_11ee_a526_047c1617b143404.jpeg"/><Relationship Id="rId405" Type="http://schemas.openxmlformats.org/officeDocument/2006/relationships/image" Target="../media/f3cdce6f_86a5_11e9_8101_003048fd731b_b380f93c_a585_11ee_a526_047c1617b143405.jpeg"/><Relationship Id="rId406" Type="http://schemas.openxmlformats.org/officeDocument/2006/relationships/image" Target="../media/f3cdce71_86a5_11e9_8101_003048fd731b_b380f93e_a585_11ee_a526_047c1617b143406.jpeg"/><Relationship Id="rId407" Type="http://schemas.openxmlformats.org/officeDocument/2006/relationships/image" Target="../media/f3cdce73_86a5_11e9_8101_003048fd731b_b380f94b_a585_11ee_a526_047c1617b143407.jpeg"/><Relationship Id="rId408" Type="http://schemas.openxmlformats.org/officeDocument/2006/relationships/image" Target="../media/f3cdce75_86a5_11e9_8101_003048fd731b_b380f94c_a585_11ee_a526_047c1617b143408.jpeg"/><Relationship Id="rId409" Type="http://schemas.openxmlformats.org/officeDocument/2006/relationships/image" Target="../media/f3cdce77_86a5_11e9_8101_003048fd731b_b380f94d_a585_11ee_a526_047c1617b143409.jpeg"/><Relationship Id="rId410" Type="http://schemas.openxmlformats.org/officeDocument/2006/relationships/image" Target="../media/f3cdce81_86a5_11e9_8101_003048fd731b_b380f942_a585_11ee_a526_047c1617b143410.jpeg"/><Relationship Id="rId411" Type="http://schemas.openxmlformats.org/officeDocument/2006/relationships/image" Target="../media/f3cdce83_86a5_11e9_8101_003048fd731b_b380f95f_a585_11ee_a526_047c1617b143411.jpeg"/><Relationship Id="rId412" Type="http://schemas.openxmlformats.org/officeDocument/2006/relationships/image" Target="../media/f3cdce85_86a5_11e9_8101_003048fd731b_b380f961_a585_11ee_a526_047c1617b143412.jpeg"/><Relationship Id="rId413" Type="http://schemas.openxmlformats.org/officeDocument/2006/relationships/image" Target="../media/f3cdce87_86a5_11e9_8101_003048fd731b_b380f962_a585_11ee_a526_047c1617b143413.jpeg"/><Relationship Id="rId414" Type="http://schemas.openxmlformats.org/officeDocument/2006/relationships/image" Target="../media/f3cdce89_86a5_11e9_8101_003048fd731b_b380f963_a585_11ee_a526_047c1617b143414.jpeg"/><Relationship Id="rId415" Type="http://schemas.openxmlformats.org/officeDocument/2006/relationships/image" Target="../media/f3cdce8b_86a5_11e9_8101_003048fd731b_b380f964_a585_11ee_a526_047c1617b143415.jpeg"/><Relationship Id="rId416" Type="http://schemas.openxmlformats.org/officeDocument/2006/relationships/image" Target="../media/f3cdce8d_86a5_11e9_8101_003048fd731b_b380f965_a585_11ee_a526_047c1617b143416.jpeg"/><Relationship Id="rId417" Type="http://schemas.openxmlformats.org/officeDocument/2006/relationships/image" Target="../media/f3cdce8f_86a5_11e9_8101_003048fd731b_b380f966_a585_11ee_a526_047c1617b143417.jpeg"/><Relationship Id="rId418" Type="http://schemas.openxmlformats.org/officeDocument/2006/relationships/image" Target="../media/f3cdce91_86a5_11e9_8101_003048fd731b_b380f967_a585_11ee_a526_047c1617b143418.jpeg"/><Relationship Id="rId419" Type="http://schemas.openxmlformats.org/officeDocument/2006/relationships/image" Target="../media/f3cdce93_86a5_11e9_8101_003048fd731b_b380f968_a585_11ee_a526_047c1617b143419.jpeg"/><Relationship Id="rId420" Type="http://schemas.openxmlformats.org/officeDocument/2006/relationships/image" Target="../media/f3cdce95_86a5_11e9_8101_003048fd731b_b380f969_a585_11ee_a526_047c1617b143420.jpeg"/><Relationship Id="rId421" Type="http://schemas.openxmlformats.org/officeDocument/2006/relationships/image" Target="../media/f3cdce97_86a5_11e9_8101_003048fd731b_b380f96a_a585_11ee_a526_047c1617b143421.jpeg"/><Relationship Id="rId422" Type="http://schemas.openxmlformats.org/officeDocument/2006/relationships/image" Target="../media/f3cdce99_86a5_11e9_8101_003048fd731b_b380f960_a585_11ee_a526_047c1617b143422.jpeg"/><Relationship Id="rId423" Type="http://schemas.openxmlformats.org/officeDocument/2006/relationships/image" Target="../media/f3cdce9b_86a5_11e9_8101_003048fd731b_b380f8fe_a585_11ee_a526_047c1617b143423.jpeg"/><Relationship Id="rId424" Type="http://schemas.openxmlformats.org/officeDocument/2006/relationships/image" Target="../media/f3cdce9d_86a5_11e9_8101_003048fd731b_b380f8ff_a585_11ee_a526_047c1617b143424.jpeg"/><Relationship Id="rId425" Type="http://schemas.openxmlformats.org/officeDocument/2006/relationships/image" Target="../media/f3cdce9f_86a5_11e9_8101_003048fd731b_b380f901_a585_11ee_a526_047c1617b143425.jpeg"/><Relationship Id="rId426" Type="http://schemas.openxmlformats.org/officeDocument/2006/relationships/image" Target="../media/f3cdcea1_86a5_11e9_8101_003048fd731b_b380f900_a585_11ee_a526_047c1617b143426.jpeg"/><Relationship Id="rId427" Type="http://schemas.openxmlformats.org/officeDocument/2006/relationships/image" Target="../media/f3cdcea5_86a5_11e9_8101_003048fd731b_b380f904_a585_11ee_a526_047c1617b143427.jpeg"/><Relationship Id="rId428" Type="http://schemas.openxmlformats.org/officeDocument/2006/relationships/image" Target="../media/f3cdcea7_86a5_11e9_8101_003048fd731b_b380f907_a585_11ee_a526_047c1617b143428.jpeg"/><Relationship Id="rId429" Type="http://schemas.openxmlformats.org/officeDocument/2006/relationships/image" Target="../media/f3cdcea9_86a5_11e9_8101_003048fd731b_b380f903_a585_11ee_a526_047c1617b143429.jpeg"/><Relationship Id="rId430" Type="http://schemas.openxmlformats.org/officeDocument/2006/relationships/image" Target="../media/f3cdceab_86a5_11e9_8101_003048fd731b_b380f90c_a585_11ee_a526_047c1617b143430.jpeg"/><Relationship Id="rId431" Type="http://schemas.openxmlformats.org/officeDocument/2006/relationships/image" Target="../media/f3cdcead_86a5_11e9_8101_003048fd731b_b380f90b_a585_11ee_a526_047c1617b143431.jpeg"/><Relationship Id="rId432" Type="http://schemas.openxmlformats.org/officeDocument/2006/relationships/image" Target="../media/f3cdceaf_86a5_11e9_8101_003048fd731b_b380f90a_a585_11ee_a526_047c1617b143432.jpeg"/><Relationship Id="rId433" Type="http://schemas.openxmlformats.org/officeDocument/2006/relationships/image" Target="../media/f3cdceb1_86a5_11e9_8101_003048fd731b_ba744351_a585_11ee_a526_047c1617b143433.jpeg"/><Relationship Id="rId434" Type="http://schemas.openxmlformats.org/officeDocument/2006/relationships/image" Target="../media/f3cdceb3_86a5_11e9_8101_003048fd731b_ba744352_a585_11ee_a526_047c1617b143434.jpeg"/><Relationship Id="rId435" Type="http://schemas.openxmlformats.org/officeDocument/2006/relationships/image" Target="../media/f3cdceb5_86a5_11e9_8101_003048fd731b_ba744353_a585_11ee_a526_047c1617b143435.jpeg"/><Relationship Id="rId436" Type="http://schemas.openxmlformats.org/officeDocument/2006/relationships/image" Target="../media/f3cdceb7_86a5_11e9_8101_003048fd731b_ba744354_a585_11ee_a526_047c1617b143436.jpeg"/><Relationship Id="rId437" Type="http://schemas.openxmlformats.org/officeDocument/2006/relationships/image" Target="../media/f3cdceb9_86a5_11e9_8101_003048fd731b_ba744355_a585_11ee_a526_047c1617b143437.jpeg"/><Relationship Id="rId438" Type="http://schemas.openxmlformats.org/officeDocument/2006/relationships/image" Target="../media/f3cdcebb_86a5_11e9_8101_003048fd731b_ba744356_a585_11ee_a526_047c1617b143438.jpeg"/><Relationship Id="rId439" Type="http://schemas.openxmlformats.org/officeDocument/2006/relationships/image" Target="../media/f3cdcebd_86a5_11e9_8101_003048fd731b_ba74435a_a585_11ee_a526_047c1617b143439.jpeg"/><Relationship Id="rId440" Type="http://schemas.openxmlformats.org/officeDocument/2006/relationships/image" Target="../media/f3cdcebf_86a5_11e9_8101_003048fd731b_ba74435b_a585_11ee_a526_047c1617b143440.jpeg"/><Relationship Id="rId441" Type="http://schemas.openxmlformats.org/officeDocument/2006/relationships/image" Target="../media/f3cdcec1_86a5_11e9_8101_003048fd731b_ba74435d_a585_11ee_a526_047c1617b143441.jpeg"/><Relationship Id="rId442" Type="http://schemas.openxmlformats.org/officeDocument/2006/relationships/image" Target="../media/f3cdcec3_86a5_11e9_8101_003048fd731b_ba74435f_a585_11ee_a526_047c1617b143442.jpeg"/><Relationship Id="rId443" Type="http://schemas.openxmlformats.org/officeDocument/2006/relationships/image" Target="../media/f3cdcec5_86a5_11e9_8101_003048fd731b_ba744360_a585_11ee_a526_047c1617b143443.jpeg"/><Relationship Id="rId444" Type="http://schemas.openxmlformats.org/officeDocument/2006/relationships/image" Target="../media/f3cdcec7_86a5_11e9_8101_003048fd731b_ba744376_a585_11ee_a526_047c1617b143444.jpeg"/><Relationship Id="rId445" Type="http://schemas.openxmlformats.org/officeDocument/2006/relationships/image" Target="../media/f3cdcec9_86a5_11e9_8101_003048fd731b_ba744377_a585_11ee_a526_047c1617b143445.jpeg"/><Relationship Id="rId446" Type="http://schemas.openxmlformats.org/officeDocument/2006/relationships/image" Target="../media/f3cdcecb_86a5_11e9_8101_003048fd731b_ba744378_a585_11ee_a526_047c1617b143446.jpeg"/><Relationship Id="rId447" Type="http://schemas.openxmlformats.org/officeDocument/2006/relationships/image" Target="../media/f3cdcecd_86a5_11e9_8101_003048fd731b_ba744379_a585_11ee_a526_047c1617b143447.jpeg"/><Relationship Id="rId448" Type="http://schemas.openxmlformats.org/officeDocument/2006/relationships/image" Target="../media/f3cdcecf_86a5_11e9_8101_003048fd731b_ba74437a_a585_11ee_a526_047c1617b143448.jpeg"/><Relationship Id="rId449" Type="http://schemas.openxmlformats.org/officeDocument/2006/relationships/image" Target="../media/f3cdced1_86a5_11e9_8101_003048fd731b_ba74437b_a585_11ee_a526_047c1617b143449.jpeg"/><Relationship Id="rId450" Type="http://schemas.openxmlformats.org/officeDocument/2006/relationships/image" Target="../media/f3cdced3_86a5_11e9_8101_003048fd731b_ba74437f_a585_11ee_a526_047c1617b143450.jpeg"/><Relationship Id="rId451" Type="http://schemas.openxmlformats.org/officeDocument/2006/relationships/image" Target="../media/f3cdced5_86a5_11e9_8101_003048fd731b_ba744380_a585_11ee_a526_047c1617b143451.jpeg"/><Relationship Id="rId452" Type="http://schemas.openxmlformats.org/officeDocument/2006/relationships/image" Target="../media/f3cdced7_86a5_11e9_8101_003048fd731b_ba744381_a585_11ee_a526_047c1617b143452.jpeg"/><Relationship Id="rId453" Type="http://schemas.openxmlformats.org/officeDocument/2006/relationships/image" Target="../media/f3cdced9_86a5_11e9_8101_003048fd731b_ba744382_a585_11ee_a526_047c1617b143453.jpeg"/><Relationship Id="rId454" Type="http://schemas.openxmlformats.org/officeDocument/2006/relationships/image" Target="../media/f3cdcedb_86a5_11e9_8101_003048fd731b_ba744383_a585_11ee_a526_047c1617b143454.jpeg"/><Relationship Id="rId455" Type="http://schemas.openxmlformats.org/officeDocument/2006/relationships/image" Target="../media/f3cdcedd_86a5_11e9_8101_003048fd731b_ba744385_a585_11ee_a526_047c1617b143455.jpeg"/><Relationship Id="rId456" Type="http://schemas.openxmlformats.org/officeDocument/2006/relationships/image" Target="../media/f3cdcedf_86a5_11e9_8101_003048fd731b_ba744386_a585_11ee_a526_047c1617b143456.jpeg"/><Relationship Id="rId457" Type="http://schemas.openxmlformats.org/officeDocument/2006/relationships/image" Target="../media/f3cdcee1_86a5_11e9_8101_003048fd731b_ba744387_a585_11ee_a526_047c1617b143457.jpeg"/><Relationship Id="rId458" Type="http://schemas.openxmlformats.org/officeDocument/2006/relationships/image" Target="../media/f3cdcee3_86a5_11e9_8101_003048fd731b_ba744394_a585_11ee_a526_047c1617b143458.jpeg"/><Relationship Id="rId459" Type="http://schemas.openxmlformats.org/officeDocument/2006/relationships/image" Target="../media/f3cdcee5_86a5_11e9_8101_003048fd731b_ba744395_a585_11ee_a526_047c1617b143459.jpeg"/><Relationship Id="rId460" Type="http://schemas.openxmlformats.org/officeDocument/2006/relationships/image" Target="../media/f3cdcee7_86a5_11e9_8101_003048fd731b_ba744396_a585_11ee_a526_047c1617b143460.jpeg"/><Relationship Id="rId461" Type="http://schemas.openxmlformats.org/officeDocument/2006/relationships/image" Target="../media/f3cdcee9_86a5_11e9_8101_003048fd731b_ba744391_a585_11ee_a526_047c1617b143461.jpeg"/><Relationship Id="rId462" Type="http://schemas.openxmlformats.org/officeDocument/2006/relationships/image" Target="../media/f3cdceeb_86a5_11e9_8101_003048fd731b_ba744392_a585_11ee_a526_047c1617b143462.jpeg"/><Relationship Id="rId463" Type="http://schemas.openxmlformats.org/officeDocument/2006/relationships/image" Target="../media/f3cdceed_86a5_11e9_8101_003048fd731b_ba744393_a585_11ee_a526_047c1617b143463.jpeg"/><Relationship Id="rId464" Type="http://schemas.openxmlformats.org/officeDocument/2006/relationships/image" Target="../media/f3cdceef_86a5_11e9_8101_003048fd731b_b380f96b_a585_11ee_a526_047c1617b143464.jpeg"/><Relationship Id="rId465" Type="http://schemas.openxmlformats.org/officeDocument/2006/relationships/image" Target="../media/f3cdcef1_86a5_11e9_8101_003048fd731b_b380f96c_a585_11ee_a526_047c1617b143465.jpeg"/><Relationship Id="rId466" Type="http://schemas.openxmlformats.org/officeDocument/2006/relationships/image" Target="../media/f3cdcef3_86a5_11e9_8101_003048fd731b_b380f96d_a585_11ee_a526_047c1617b143466.jpeg"/><Relationship Id="rId467" Type="http://schemas.openxmlformats.org/officeDocument/2006/relationships/image" Target="../media/ddda6e27_d148_11e9_8109_003048fd731b_b380f933_a585_11ee_a526_047c1617b143467.jpeg"/><Relationship Id="rId468" Type="http://schemas.openxmlformats.org/officeDocument/2006/relationships/image" Target="../media/a908969c_d540_11e9_8109_003048fd731b_b380f934_a585_11ee_a526_047c1617b143468.jpeg"/><Relationship Id="rId469" Type="http://schemas.openxmlformats.org/officeDocument/2006/relationships/image" Target="../media/a908969e_d540_11e9_8109_003048fd731b_b380f935_a585_11ee_a526_047c1617b143469.jpeg"/><Relationship Id="rId470" Type="http://schemas.openxmlformats.org/officeDocument/2006/relationships/image" Target="../media/a90896a0_d540_11e9_8109_003048fd731b_b380f936_a585_11ee_a526_047c1617b143470.jpeg"/><Relationship Id="rId471" Type="http://schemas.openxmlformats.org/officeDocument/2006/relationships/image" Target="../media/a90896a2_d540_11e9_8109_003048fd731b_b380f937_a585_11ee_a526_047c1617b143471.jpeg"/><Relationship Id="rId472" Type="http://schemas.openxmlformats.org/officeDocument/2006/relationships/image" Target="../media/a90896a4_d540_11e9_8109_003048fd731b_b380f938_a585_11ee_a526_047c1617b143472.jpeg"/><Relationship Id="rId473" Type="http://schemas.openxmlformats.org/officeDocument/2006/relationships/image" Target="../media/a90896a6_d540_11e9_8109_003048fd731b_c181b9a0_c05a_11ee_a549_047c1617b143473.jpeg"/><Relationship Id="rId474" Type="http://schemas.openxmlformats.org/officeDocument/2006/relationships/image" Target="../media/a90896a8_d540_11e9_8109_003048fd731b_c181b99c_c05a_11ee_a549_047c1617b143474.jpeg"/><Relationship Id="rId475" Type="http://schemas.openxmlformats.org/officeDocument/2006/relationships/image" Target="../media/a90896aa_d540_11e9_8109_003048fd731b_c181b99d_c05a_11ee_a549_047c1617b143475.jpeg"/><Relationship Id="rId476" Type="http://schemas.openxmlformats.org/officeDocument/2006/relationships/image" Target="../media/a90896ac_d540_11e9_8109_003048fd731b_c181b99e_c05a_11ee_a549_047c1617b143476.jpeg"/><Relationship Id="rId477" Type="http://schemas.openxmlformats.org/officeDocument/2006/relationships/image" Target="../media/a90896ae_d540_11e9_8109_003048fd731b_c181b99f_c05a_11ee_a549_047c1617b143477.jpeg"/><Relationship Id="rId478" Type="http://schemas.openxmlformats.org/officeDocument/2006/relationships/image" Target="../media/a90896b0_d540_11e9_8109_003048fd731b_b380f971_a585_11ee_a526_047c1617b143478.jpeg"/><Relationship Id="rId479" Type="http://schemas.openxmlformats.org/officeDocument/2006/relationships/image" Target="../media/a90896b2_d540_11e9_8109_003048fd731b_93005ebb_48f5_11ea_810f_003048fd731b479.jpeg"/><Relationship Id="rId480" Type="http://schemas.openxmlformats.org/officeDocument/2006/relationships/image" Target="../media/e19ee501_d540_11e9_8109_003048fd731b_93005eba_48f5_11ea_810f_003048fd731b480.jpeg"/><Relationship Id="rId481" Type="http://schemas.openxmlformats.org/officeDocument/2006/relationships/image" Target="../media/e19ee503_d540_11e9_8109_003048fd731b_ba74434f_a585_11ee_a526_047c1617b143481.jpeg"/><Relationship Id="rId482" Type="http://schemas.openxmlformats.org/officeDocument/2006/relationships/image" Target="../media/3f244f9e_5164_11ea_810f_003048fd731b_b380f985_a585_11ee_a526_047c1617b143482.jpeg"/><Relationship Id="rId483" Type="http://schemas.openxmlformats.org/officeDocument/2006/relationships/image" Target="../media/b36ffc60_0cf1_11ea_810d_003048fd731b_b380f987_a585_11ee_a526_047c1617b143483.jpeg"/><Relationship Id="rId484" Type="http://schemas.openxmlformats.org/officeDocument/2006/relationships/image" Target="../media/b36ffc62_0cf1_11ea_810d_003048fd731b_b380f988_a585_11ee_a526_047c1617b143484.jpeg"/><Relationship Id="rId485" Type="http://schemas.openxmlformats.org/officeDocument/2006/relationships/image" Target="../media/4687ac9d_ffbc_11e9_810b_003048fd731b_ba744350_a585_11ee_a526_047c1617b143485.jpeg"/><Relationship Id="rId486" Type="http://schemas.openxmlformats.org/officeDocument/2006/relationships/image" Target="../media/4687ac9f_ffbc_11e9_810b_003048fd731b_ba744357_a585_11ee_a526_047c1617b143486.jpeg"/><Relationship Id="rId487" Type="http://schemas.openxmlformats.org/officeDocument/2006/relationships/image" Target="../media/4687aca1_ffbc_11e9_810b_003048fd731b_ba744358_a585_11ee_a526_047c1617b143487.jpeg"/><Relationship Id="rId488" Type="http://schemas.openxmlformats.org/officeDocument/2006/relationships/image" Target="../media/4687aca3_ffbc_11e9_810b_003048fd731b_ba744359_a585_11ee_a526_047c1617b143488.jpeg"/><Relationship Id="rId489" Type="http://schemas.openxmlformats.org/officeDocument/2006/relationships/image" Target="../media/4687aca5_ffbc_11e9_810b_003048fd731b_ba744371_a585_11ee_a526_047c1617b143489.jpeg"/><Relationship Id="rId490" Type="http://schemas.openxmlformats.org/officeDocument/2006/relationships/image" Target="../media/4687aca7_ffbc_11e9_810b_003048fd731b_ba744372_a585_11ee_a526_047c1617b143490.jpeg"/><Relationship Id="rId491" Type="http://schemas.openxmlformats.org/officeDocument/2006/relationships/image" Target="../media/4687aca9_ffbc_11e9_810b_003048fd731b_ba744373_a585_11ee_a526_047c1617b143491.jpeg"/><Relationship Id="rId492" Type="http://schemas.openxmlformats.org/officeDocument/2006/relationships/image" Target="../media/4687acab_ffbc_11e9_810b_003048fd731b_ba744374_a585_11ee_a526_047c1617b143492.jpeg"/><Relationship Id="rId493" Type="http://schemas.openxmlformats.org/officeDocument/2006/relationships/image" Target="../media/4687acad_ffbc_11e9_810b_003048fd731b_ba744375_a585_11ee_a526_047c1617b143493.jpeg"/><Relationship Id="rId494" Type="http://schemas.openxmlformats.org/officeDocument/2006/relationships/image" Target="../media/4687acaf_ffbc_11e9_810b_003048fd731b_ba74437c_a585_11ee_a526_047c1617b143494.jpeg"/><Relationship Id="rId495" Type="http://schemas.openxmlformats.org/officeDocument/2006/relationships/image" Target="../media/4687acb1_ffbc_11e9_810b_003048fd731b_ba74437d_a585_11ee_a526_047c1617b143495.jpeg"/><Relationship Id="rId496" Type="http://schemas.openxmlformats.org/officeDocument/2006/relationships/image" Target="../media/4687acb3_ffbc_11e9_810b_003048fd731b_ba74437e_a585_11ee_a526_047c1617b143496.jpeg"/><Relationship Id="rId497" Type="http://schemas.openxmlformats.org/officeDocument/2006/relationships/image" Target="../media/4687acb5_ffbc_11e9_810b_003048fd731b_ba744384_a585_11ee_a526_047c1617b143497.jpeg"/><Relationship Id="rId498" Type="http://schemas.openxmlformats.org/officeDocument/2006/relationships/image" Target="../media/e1867ec3_3767_11ea_810f_003048fd731b_ba744362_a585_11ee_a526_047c1617b143498.jpeg"/><Relationship Id="rId499" Type="http://schemas.openxmlformats.org/officeDocument/2006/relationships/image" Target="../media/e1867ec5_3767_11ea_810f_003048fd731b_ba744363_a585_11ee_a526_047c1617b143499.jpeg"/><Relationship Id="rId500" Type="http://schemas.openxmlformats.org/officeDocument/2006/relationships/image" Target="../media/e1867ec7_3767_11ea_810f_003048fd731b_ba744364_a585_11ee_a526_047c1617b143500.jpeg"/><Relationship Id="rId501" Type="http://schemas.openxmlformats.org/officeDocument/2006/relationships/image" Target="../media/e1867ec9_3767_11ea_810f_003048fd731b_ba744365_a585_11ee_a526_047c1617b143501.jpeg"/><Relationship Id="rId502" Type="http://schemas.openxmlformats.org/officeDocument/2006/relationships/image" Target="../media/e1867ecb_3767_11ea_810f_003048fd731b_ba744366_a585_11ee_a526_047c1617b143502.jpeg"/><Relationship Id="rId503" Type="http://schemas.openxmlformats.org/officeDocument/2006/relationships/image" Target="../media/e1867ecd_3767_11ea_810f_003048fd731b_ba744367_a585_11ee_a526_047c1617b143503.jpeg"/><Relationship Id="rId504" Type="http://schemas.openxmlformats.org/officeDocument/2006/relationships/image" Target="../media/e1867ecf_3767_11ea_810f_003048fd731b_ba744368_a585_11ee_a526_047c1617b143504.jpeg"/><Relationship Id="rId505" Type="http://schemas.openxmlformats.org/officeDocument/2006/relationships/image" Target="../media/e1867ed1_3767_11ea_810f_003048fd731b_ba744369_a585_11ee_a526_047c1617b143505.jpeg"/><Relationship Id="rId506" Type="http://schemas.openxmlformats.org/officeDocument/2006/relationships/image" Target="../media/e1867ed3_3767_11ea_810f_003048fd731b_ba74436a_a585_11ee_a526_047c1617b143506.jpeg"/><Relationship Id="rId507" Type="http://schemas.openxmlformats.org/officeDocument/2006/relationships/image" Target="../media/e1867ed5_3767_11ea_810f_003048fd731b_ba74436b_a585_11ee_a526_047c1617b143507.jpeg"/><Relationship Id="rId508" Type="http://schemas.openxmlformats.org/officeDocument/2006/relationships/image" Target="../media/e1867ed7_3767_11ea_810f_003048fd731b_ba74436c_a585_11ee_a526_047c1617b143508.jpeg"/><Relationship Id="rId509" Type="http://schemas.openxmlformats.org/officeDocument/2006/relationships/image" Target="../media/e1867ed9_3767_11ea_810f_003048fd731b_ba74436d_a585_11ee_a526_047c1617b143509.jpeg"/><Relationship Id="rId510" Type="http://schemas.openxmlformats.org/officeDocument/2006/relationships/image" Target="../media/e1867edb_3767_11ea_810f_003048fd731b_ba74436e_a585_11ee_a526_047c1617b143510.jpeg"/><Relationship Id="rId511" Type="http://schemas.openxmlformats.org/officeDocument/2006/relationships/image" Target="../media/e1867edd_3767_11ea_810f_003048fd731b_ba744388_a585_11ee_a526_047c1617b143511.jpeg"/><Relationship Id="rId512" Type="http://schemas.openxmlformats.org/officeDocument/2006/relationships/image" Target="../media/e1867edf_3767_11ea_810f_003048fd731b_ba744389_a585_11ee_a526_047c1617b143512.jpeg"/><Relationship Id="rId513" Type="http://schemas.openxmlformats.org/officeDocument/2006/relationships/image" Target="../media/e1867ee1_3767_11ea_810f_003048fd731b_ba74438a_a585_11ee_a526_047c1617b143513.jpeg"/><Relationship Id="rId514" Type="http://schemas.openxmlformats.org/officeDocument/2006/relationships/image" Target="../media/e1867ee3_3767_11ea_810f_003048fd731b_ba74438b_a585_11ee_a526_047c1617b143514.jpeg"/><Relationship Id="rId515" Type="http://schemas.openxmlformats.org/officeDocument/2006/relationships/image" Target="../media/e1867ee5_3767_11ea_810f_003048fd731b_ba74438c_a585_11ee_a526_047c1617b143515.jpeg"/><Relationship Id="rId516" Type="http://schemas.openxmlformats.org/officeDocument/2006/relationships/image" Target="../media/b6b0b2a3_419a_11ea_810f_003048fd731b_d92285ed_f1db_11ef_a6e1_047c1617b143516.jpeg"/><Relationship Id="rId517" Type="http://schemas.openxmlformats.org/officeDocument/2006/relationships/image" Target="../media/3c8d8c3e_68f5_11ea_8111_003048fd731b_b380f919_a585_11ee_a526_047c1617b143517.jpeg"/><Relationship Id="rId518" Type="http://schemas.openxmlformats.org/officeDocument/2006/relationships/image" Target="../media/3c8d8c40_68f5_11ea_8111_003048fd731b_b380f91a_a585_11ee_a526_047c1617b143518.jpeg"/><Relationship Id="rId519" Type="http://schemas.openxmlformats.org/officeDocument/2006/relationships/image" Target="../media/3c8d8c42_68f5_11ea_8111_003048fd731b_b380f91b_a585_11ee_a526_047c1617b143519.jpeg"/><Relationship Id="rId520" Type="http://schemas.openxmlformats.org/officeDocument/2006/relationships/image" Target="../media/5a4e791a_0ccb_11eb_81bc_003048fd731b_b380f92e_a585_11ee_a526_047c1617b143520.jpeg"/><Relationship Id="rId521" Type="http://schemas.openxmlformats.org/officeDocument/2006/relationships/image" Target="../media/3c8d8c4a_68f5_11ea_8111_003048fd731b_b380f93d_a585_11ee_a526_047c1617b143521.jpeg"/><Relationship Id="rId522" Type="http://schemas.openxmlformats.org/officeDocument/2006/relationships/image" Target="../media/3c8d8c44_68f5_11ea_8111_003048fd731b_ba74434a_a585_11ee_a526_047c1617b143522.jpeg"/><Relationship Id="rId523" Type="http://schemas.openxmlformats.org/officeDocument/2006/relationships/image" Target="../media/3c8d8c46_68f5_11ea_8111_003048fd731b_b380f9a0_a585_11ee_a526_047c1617b143523.jpeg"/><Relationship Id="rId524" Type="http://schemas.openxmlformats.org/officeDocument/2006/relationships/image" Target="../media/3c8d8c48_68f5_11ea_8111_003048fd731b_b380f99e_a585_11ee_a526_047c1617b143524.jpeg"/><Relationship Id="rId525" Type="http://schemas.openxmlformats.org/officeDocument/2006/relationships/image" Target="../media/3c8d8c4c_68f5_11ea_8111_003048fd731b_6b95d446_5a46_11f0_a775_047c1617b143525.jpeg"/><Relationship Id="rId526" Type="http://schemas.openxmlformats.org/officeDocument/2006/relationships/image" Target="../media/3c8d8c4e_68f5_11ea_8111_003048fd731b_6b95d447_5a46_11f0_a775_047c1617b143526.jpeg"/><Relationship Id="rId527" Type="http://schemas.openxmlformats.org/officeDocument/2006/relationships/image" Target="../media/3c8d8c50_68f5_11ea_8111_003048fd731b_6b95d448_5a46_11f0_a775_047c1617b143527.jpeg"/><Relationship Id="rId528" Type="http://schemas.openxmlformats.org/officeDocument/2006/relationships/image" Target="../media/3c8d8c52_68f5_11ea_8111_003048fd731b_6b95d449_5a46_11f0_a775_047c1617b143528.jpeg"/><Relationship Id="rId529" Type="http://schemas.openxmlformats.org/officeDocument/2006/relationships/image" Target="../media/3c8d8c5a_68f5_11ea_8111_003048fd731b_b380f924_a585_11ee_a526_047c1617b143529.jpeg"/><Relationship Id="rId530" Type="http://schemas.openxmlformats.org/officeDocument/2006/relationships/image" Target="../media/3c8d8c5c_68f5_11ea_8111_003048fd731b_b380f925_a585_11ee_a526_047c1617b143530.jpeg"/><Relationship Id="rId531" Type="http://schemas.openxmlformats.org/officeDocument/2006/relationships/image" Target="../media/3c8d8c5e_68f5_11ea_8111_003048fd731b_b380f926_a585_11ee_a526_047c1617b143531.jpeg"/><Relationship Id="rId532" Type="http://schemas.openxmlformats.org/officeDocument/2006/relationships/image" Target="../media/3c8d8c60_68f5_11ea_8111_003048fd731b_6b95d444_5a46_11f0_a775_047c1617b143532.jpeg"/><Relationship Id="rId533" Type="http://schemas.openxmlformats.org/officeDocument/2006/relationships/image" Target="../media/3c8d8c62_68f5_11ea_8111_003048fd731b_6b95d445_5a46_11f0_a775_047c1617b143533.jpeg"/><Relationship Id="rId534" Type="http://schemas.openxmlformats.org/officeDocument/2006/relationships/image" Target="../media/49bb2eca_68f5_11ea_8111_003048fd731b_b380f944_a585_11ee_a526_047c1617b143534.jpeg"/><Relationship Id="rId535" Type="http://schemas.openxmlformats.org/officeDocument/2006/relationships/image" Target="../media/49bb2ecc_68f5_11ea_8111_003048fd731b_b380f946_a585_11ee_a526_047c1617b143535.jpeg"/><Relationship Id="rId536" Type="http://schemas.openxmlformats.org/officeDocument/2006/relationships/image" Target="../media/49bb2ece_68f5_11ea_8111_003048fd731b_b380f93a_a585_11ee_a526_047c1617b143536.jpeg"/><Relationship Id="rId537" Type="http://schemas.openxmlformats.org/officeDocument/2006/relationships/image" Target="../media/49bb2ed0_68f5_11ea_8111_003048fd731b_b380f93b_a585_11ee_a526_047c1617b143537.jpeg"/><Relationship Id="rId538" Type="http://schemas.openxmlformats.org/officeDocument/2006/relationships/image" Target="../media/64b52ee1_7c9e_11ea_8111_003048fd731b_b380f994_a585_11ee_a526_047c1617b143538.jpeg"/><Relationship Id="rId539" Type="http://schemas.openxmlformats.org/officeDocument/2006/relationships/image" Target="../media/64b52ee3_7c9e_11ea_8111_003048fd731b_b380f995_a585_11ee_a526_047c1617b143539.jpeg"/><Relationship Id="rId540" Type="http://schemas.openxmlformats.org/officeDocument/2006/relationships/image" Target="../media/64b52ee7_7c9e_11ea_8111_003048fd731b_b380f979_a585_11ee_a526_047c1617b143540.jpeg"/><Relationship Id="rId541" Type="http://schemas.openxmlformats.org/officeDocument/2006/relationships/image" Target="../media/64b52eed_7c9e_11ea_8111_003048fd731b_c181b994_c05a_11ee_a549_047c1617b143541.jpeg"/><Relationship Id="rId542" Type="http://schemas.openxmlformats.org/officeDocument/2006/relationships/image" Target="../media/64b52eef_7c9e_11ea_8111_003048fd731b_c181b998_c05a_11ee_a549_047c1617b143542.jpeg"/><Relationship Id="rId543" Type="http://schemas.openxmlformats.org/officeDocument/2006/relationships/image" Target="../media/64b52ef1_7c9e_11ea_8111_003048fd731b_6b95d460_5a46_11f0_a775_047c1617b143543.jpeg"/><Relationship Id="rId544" Type="http://schemas.openxmlformats.org/officeDocument/2006/relationships/image" Target="../media/64b52ef3_7c9e_11ea_8111_003048fd731b_6b95d461_5a46_11f0_a775_047c1617b143544.jpeg"/><Relationship Id="rId545" Type="http://schemas.openxmlformats.org/officeDocument/2006/relationships/image" Target="../media/64b52ef5_7c9e_11ea_8111_003048fd731b_6b95d462_5a46_11f0_a775_047c1617b143545.jpeg"/><Relationship Id="rId546" Type="http://schemas.openxmlformats.org/officeDocument/2006/relationships/image" Target="../media/64b52efd_7c9e_11ea_8111_003048fd731b_b380f948_a585_11ee_a526_047c1617b143546.jpeg"/><Relationship Id="rId547" Type="http://schemas.openxmlformats.org/officeDocument/2006/relationships/image" Target="../media/64b52eff_7c9e_11ea_8111_003048fd731b_b380f949_a585_11ee_a526_047c1617b143547.jpeg"/><Relationship Id="rId548" Type="http://schemas.openxmlformats.org/officeDocument/2006/relationships/image" Target="../media/64b52f01_7c9e_11ea_8111_003048fd731b_b380f94a_a585_11ee_a526_047c1617b143548.jpeg"/><Relationship Id="rId549" Type="http://schemas.openxmlformats.org/officeDocument/2006/relationships/image" Target="../media/64b52f03_7c9e_11ea_8111_003048fd731b_b380f93f_a585_11ee_a526_047c1617b143549.jpeg"/><Relationship Id="rId550" Type="http://schemas.openxmlformats.org/officeDocument/2006/relationships/image" Target="../media/64b52f05_7c9e_11ea_8111_003048fd731b_b380f940_a585_11ee_a526_047c1617b143550.jpeg"/><Relationship Id="rId551" Type="http://schemas.openxmlformats.org/officeDocument/2006/relationships/image" Target="../media/64b52f07_7c9e_11ea_8111_003048fd731b_b380f941_a585_11ee_a526_047c1617b143551.jpeg"/><Relationship Id="rId552" Type="http://schemas.openxmlformats.org/officeDocument/2006/relationships/image" Target="../media/64b52ee5_7c9e_11ea_8111_003048fd731b_b380f999_a585_11ee_a526_047c1617b143552.jpeg"/><Relationship Id="rId553" Type="http://schemas.openxmlformats.org/officeDocument/2006/relationships/image" Target="../media/64b52ee9_7c9e_11ea_8111_003048fd731b_c181b98a_c05a_11ee_a549_047c1617b143553.jpeg"/><Relationship Id="rId554" Type="http://schemas.openxmlformats.org/officeDocument/2006/relationships/image" Target="../media/64b52eeb_7c9e_11ea_8111_003048fd731b_c181b98b_c05a_11ee_a549_047c1617b143554.jpeg"/><Relationship Id="rId555" Type="http://schemas.openxmlformats.org/officeDocument/2006/relationships/image" Target="../media/64b52f0b_7c9e_11ea_8111_003048fd731b_b380f909_a585_11ee_a526_047c1617b143555.jpeg"/><Relationship Id="rId556" Type="http://schemas.openxmlformats.org/officeDocument/2006/relationships/image" Target="../media/64b52f09_7c9e_11ea_8111_003048fd731b_b380f902_a585_11ee_a526_047c1617b143556.jpeg"/><Relationship Id="rId557" Type="http://schemas.openxmlformats.org/officeDocument/2006/relationships/image" Target="../media/2d5c6b77_f976_11ea_81a2_003048fd731b_b380f905_a585_11ee_a526_047c1617b143557.jpeg"/><Relationship Id="rId558" Type="http://schemas.openxmlformats.org/officeDocument/2006/relationships/image" Target="../media/2d5c6b79_f976_11ea_81a2_003048fd731b_b380f906_a585_11ee_a526_047c1617b143558.jpeg"/><Relationship Id="rId559" Type="http://schemas.openxmlformats.org/officeDocument/2006/relationships/image" Target="../media/f3cdcea3_86a5_11e9_8101_003048fd731b_b380f908_a585_11ee_a526_047c1617b143559.jpeg"/><Relationship Id="rId560" Type="http://schemas.openxmlformats.org/officeDocument/2006/relationships/image" Target="../media/64b52f0d_7c9e_11ea_8111_003048fd731b_ba74438e_a585_11ee_a526_047c1617b143560.jpeg"/><Relationship Id="rId561" Type="http://schemas.openxmlformats.org/officeDocument/2006/relationships/image" Target="../media/64b52f0f_7c9e_11ea_8111_003048fd731b_ba74438f_a585_11ee_a526_047c1617b143561.jpeg"/><Relationship Id="rId562" Type="http://schemas.openxmlformats.org/officeDocument/2006/relationships/image" Target="../media/64b52f11_7c9e_11ea_8111_003048fd731b_ba744390_a585_11ee_a526_047c1617b143562.jpeg"/><Relationship Id="rId563" Type="http://schemas.openxmlformats.org/officeDocument/2006/relationships/image" Target="../media/7188f6e1_8847_11ea_8112_003048fd731b_b380f96e_a585_11ee_a526_047c1617b143563.jpeg"/><Relationship Id="rId564" Type="http://schemas.openxmlformats.org/officeDocument/2006/relationships/image" Target="../media/7188f6e3_8847_11ea_8112_003048fd731b_b380f96f_a585_11ee_a526_047c1617b143564.jpeg"/><Relationship Id="rId565" Type="http://schemas.openxmlformats.org/officeDocument/2006/relationships/image" Target="../media/7188f6e5_8847_11ea_8112_003048fd731b_b380f970_a585_11ee_a526_047c1617b143565.jpeg"/><Relationship Id="rId566" Type="http://schemas.openxmlformats.org/officeDocument/2006/relationships/image" Target="../media/5a4e7914_0ccb_11eb_81bc_003048fd731b_b380f913_a585_11ee_a526_047c1617b143566.jpeg"/><Relationship Id="rId567" Type="http://schemas.openxmlformats.org/officeDocument/2006/relationships/image" Target="../media/5a4e7916_0ccb_11eb_81bc_003048fd731b_b380f914_a585_11ee_a526_047c1617b143567.jpeg"/><Relationship Id="rId568" Type="http://schemas.openxmlformats.org/officeDocument/2006/relationships/image" Target="../media/5a4e7918_0ccb_11eb_81bc_003048fd731b_b380f915_a585_11ee_a526_047c1617b143568.jpeg"/><Relationship Id="rId569" Type="http://schemas.openxmlformats.org/officeDocument/2006/relationships/image" Target="../media/19f59974_ca56_11ea_8161_003048fd731b_b380f8fc_a585_11ee_a526_047c1617b143569.jpeg"/><Relationship Id="rId570" Type="http://schemas.openxmlformats.org/officeDocument/2006/relationships/image" Target="../media/1fcb31de_5f91_11eb_822d_003048fd731b_6b95d45d_5a46_11f0_a775_047c1617b143570.jpeg"/><Relationship Id="rId571" Type="http://schemas.openxmlformats.org/officeDocument/2006/relationships/image" Target="../media/1fcb31e0_5f91_11eb_822d_003048fd731b_6b95d45e_5a46_11f0_a775_047c1617b143571.jpeg"/><Relationship Id="rId572" Type="http://schemas.openxmlformats.org/officeDocument/2006/relationships/image" Target="../media/1fcb31e2_5f91_11eb_822d_003048fd731b_6b95d45f_5a46_11f0_a775_047c1617b143572.jpeg"/><Relationship Id="rId573" Type="http://schemas.openxmlformats.org/officeDocument/2006/relationships/image" Target="../media/1fcb31e4_5f91_11eb_822d_003048fd731b_b380f9a1_a585_11ee_a526_047c1617b143573.jpeg"/><Relationship Id="rId574" Type="http://schemas.openxmlformats.org/officeDocument/2006/relationships/image" Target="../media/1fcb31e6_5f91_11eb_822d_003048fd731b_1b5db485_f93d_11ef_a6ea_047c1617b143574.jpeg"/><Relationship Id="rId575" Type="http://schemas.openxmlformats.org/officeDocument/2006/relationships/image" Target="../media/1fcb31e8_5f91_11eb_822d_003048fd731b_6b95d456_5a46_11f0_a775_047c1617b143575.jpeg"/><Relationship Id="rId576" Type="http://schemas.openxmlformats.org/officeDocument/2006/relationships/image" Target="../media/1fcb31ea_5f91_11eb_822d_003048fd731b_b380f99f_a585_11ee_a526_047c1617b143576.jpeg"/><Relationship Id="rId577" Type="http://schemas.openxmlformats.org/officeDocument/2006/relationships/image" Target="../media/1fcb31ec_5f91_11eb_822d_003048fd731b_b380f9a2_a585_11ee_a526_047c1617b143577.jpeg"/><Relationship Id="rId578" Type="http://schemas.openxmlformats.org/officeDocument/2006/relationships/image" Target="../media/1fcb31ee_5f91_11eb_822d_003048fd731b_b380f8fd_a585_11ee_a526_047c1617b143578.jpeg"/><Relationship Id="rId579" Type="http://schemas.openxmlformats.org/officeDocument/2006/relationships/image" Target="../media/1fcb31f0_5f91_11eb_822d_003048fd731b_ba74435c_a585_11ee_a526_047c1617b143579.jpeg"/><Relationship Id="rId580" Type="http://schemas.openxmlformats.org/officeDocument/2006/relationships/image" Target="../media/1fcb31f2_5f91_11eb_822d_003048fd731b_ba74435e_a585_11ee_a526_047c1617b143580.jpeg"/><Relationship Id="rId581" Type="http://schemas.openxmlformats.org/officeDocument/2006/relationships/image" Target="../media/1fcb31f4_5f91_11eb_822d_003048fd731b_ba744361_a585_11ee_a526_047c1617b143581.jpeg"/><Relationship Id="rId582" Type="http://schemas.openxmlformats.org/officeDocument/2006/relationships/image" Target="../media/1fcb31f6_5f91_11eb_822d_003048fd731b_ba744370_a585_11ee_a526_047c1617b143582.jpeg"/><Relationship Id="rId583" Type="http://schemas.openxmlformats.org/officeDocument/2006/relationships/image" Target="../media/1fcb31f8_5f91_11eb_822d_003048fd731b_ba74436f_a585_11ee_a526_047c1617b143583.jpeg"/><Relationship Id="rId584" Type="http://schemas.openxmlformats.org/officeDocument/2006/relationships/image" Target="../media/1fcb31fa_5f91_11eb_822d_003048fd731b_ba74438d_a585_11ee_a526_047c1617b143584.jpeg"/><Relationship Id="rId585" Type="http://schemas.openxmlformats.org/officeDocument/2006/relationships/image" Target="../media/45f592b6_4009_11ec_8370_003048fd731b_ba74434b_a585_11ee_a526_047c1617b143585.jpeg"/><Relationship Id="rId586" Type="http://schemas.openxmlformats.org/officeDocument/2006/relationships/image" Target="../media/3e1e358d_f95c_11e9_810b_003048fd731b_6205a0d3_467a_11ea_810f_003048fd731b586.jpeg"/><Relationship Id="rId587" Type="http://schemas.openxmlformats.org/officeDocument/2006/relationships/image" Target="../media/3e1e358f_f95c_11e9_810b_003048fd731b_6205a0d4_467a_11ea_810f_003048fd731b587.jpeg"/><Relationship Id="rId588" Type="http://schemas.openxmlformats.org/officeDocument/2006/relationships/image" Target="../media/3e1e3591_f95c_11e9_810b_003048fd731b_6205a0d5_467a_11ea_810f_003048fd731b588.jpeg"/><Relationship Id="rId589" Type="http://schemas.openxmlformats.org/officeDocument/2006/relationships/image" Target="../media/3e1e3593_f95c_11e9_810b_003048fd731b_6205a0d6_467a_11ea_810f_003048fd731b589.jpeg"/><Relationship Id="rId590" Type="http://schemas.openxmlformats.org/officeDocument/2006/relationships/image" Target="../media/3e1e3595_f95c_11e9_810b_003048fd731b_6205a0d7_467a_11ea_810f_003048fd731b590.jpeg"/><Relationship Id="rId591" Type="http://schemas.openxmlformats.org/officeDocument/2006/relationships/image" Target="../media/3e1e3597_f95c_11e9_810b_003048fd731b_6205a0d8_467a_11ea_810f_003048fd731b591.jpeg"/><Relationship Id="rId592" Type="http://schemas.openxmlformats.org/officeDocument/2006/relationships/image" Target="../media/3e1e3599_f95c_11e9_810b_003048fd731b_ba7443bf_a585_11ee_a526_047c1617b143592.jpeg"/><Relationship Id="rId593" Type="http://schemas.openxmlformats.org/officeDocument/2006/relationships/image" Target="../media/3e1e359b_f95c_11e9_810b_003048fd731b_ba7443c0_a585_11ee_a526_047c1617b143593.jpeg"/><Relationship Id="rId594" Type="http://schemas.openxmlformats.org/officeDocument/2006/relationships/image" Target="../media/3e1e359d_f95c_11e9_810b_003048fd731b_ba7443c1_a585_11ee_a526_047c1617b143594.jpeg"/><Relationship Id="rId595" Type="http://schemas.openxmlformats.org/officeDocument/2006/relationships/image" Target="../media/3e1e359f_f95c_11e9_810b_003048fd731b_ba7443c2_a585_11ee_a526_047c1617b143595.jpeg"/><Relationship Id="rId596" Type="http://schemas.openxmlformats.org/officeDocument/2006/relationships/image" Target="../media/2a6046a9_f967_11e9_810b_003048fd731b_6205a0dd_467a_11ea_810f_003048fd731b596.jpeg"/><Relationship Id="rId597" Type="http://schemas.openxmlformats.org/officeDocument/2006/relationships/image" Target="../media/2a6046ab_f967_11e9_810b_003048fd731b_6205a0de_467a_11ea_810f_003048fd731b597.jpeg"/><Relationship Id="rId598" Type="http://schemas.openxmlformats.org/officeDocument/2006/relationships/image" Target="../media/2a6046ad_f967_11e9_810b_003048fd731b_6205a0df_467a_11ea_810f_003048fd731b598.jpeg"/><Relationship Id="rId599" Type="http://schemas.openxmlformats.org/officeDocument/2006/relationships/image" Target="../media/2a6046af_f967_11e9_810b_003048fd731b_6205a0e0_467a_11ea_810f_003048fd731b599.jpeg"/><Relationship Id="rId600" Type="http://schemas.openxmlformats.org/officeDocument/2006/relationships/image" Target="../media/2a6046b1_f967_11e9_810b_003048fd731b_6205a0e1_467a_11ea_810f_003048fd731b600.jpeg"/><Relationship Id="rId601" Type="http://schemas.openxmlformats.org/officeDocument/2006/relationships/image" Target="../media/2a6046b3_f967_11e9_810b_003048fd731b_6205a0e2_467a_11ea_810f_003048fd731b601.jpeg"/><Relationship Id="rId602" Type="http://schemas.openxmlformats.org/officeDocument/2006/relationships/image" Target="../media/2a6046b5_f967_11e9_810b_003048fd731b_6205a0e3_467a_11ea_810f_003048fd731b602.jpeg"/><Relationship Id="rId603" Type="http://schemas.openxmlformats.org/officeDocument/2006/relationships/image" Target="../media/2a6046b7_f967_11e9_810b_003048fd731b_6205a0e4_467a_11ea_810f_003048fd731b603.jpeg"/><Relationship Id="rId604" Type="http://schemas.openxmlformats.org/officeDocument/2006/relationships/image" Target="../media/2a6046b9_f967_11e9_810b_003048fd731b_6205a0e5_467a_11ea_810f_003048fd731b604.jpeg"/><Relationship Id="rId605" Type="http://schemas.openxmlformats.org/officeDocument/2006/relationships/image" Target="../media/2a6046bb_f967_11e9_810b_003048fd731b_6205a0e6_467a_11ea_810f_003048fd731b605.jpeg"/><Relationship Id="rId606" Type="http://schemas.openxmlformats.org/officeDocument/2006/relationships/image" Target="../media/2a6046bd_f967_11e9_810b_003048fd731b_6205a0e7_467a_11ea_810f_003048fd731b606.jpeg"/><Relationship Id="rId607" Type="http://schemas.openxmlformats.org/officeDocument/2006/relationships/image" Target="../media/2a6046bf_f967_11e9_810b_003048fd731b_6205a0e8_467a_11ea_810f_003048fd731b607.jpeg"/><Relationship Id="rId608" Type="http://schemas.openxmlformats.org/officeDocument/2006/relationships/image" Target="../media/2a6046c1_f967_11e9_810b_003048fd731b_6205a0e9_467a_11ea_810f_003048fd731b608.jpeg"/><Relationship Id="rId609" Type="http://schemas.openxmlformats.org/officeDocument/2006/relationships/image" Target="../media/2a6046c3_f967_11e9_810b_003048fd731b_6205a0ea_467a_11ea_810f_003048fd731b609.jpeg"/><Relationship Id="rId610" Type="http://schemas.openxmlformats.org/officeDocument/2006/relationships/image" Target="../media/2a6046c5_f967_11e9_810b_003048fd731b_6205a0eb_467a_11ea_810f_003048fd731b610.jpeg"/><Relationship Id="rId611" Type="http://schemas.openxmlformats.org/officeDocument/2006/relationships/image" Target="../media/2a6046c7_f967_11e9_810b_003048fd731b_ba7443a4_a585_11ee_a526_047c1617b143611.jpeg"/><Relationship Id="rId612" Type="http://schemas.openxmlformats.org/officeDocument/2006/relationships/image" Target="../media/2a6046c9_f967_11e9_810b_003048fd731b_ba7443a5_a585_11ee_a526_047c1617b143612.jpeg"/><Relationship Id="rId613" Type="http://schemas.openxmlformats.org/officeDocument/2006/relationships/image" Target="../media/2a6046cb_f967_11e9_810b_003048fd731b_ba7443a6_a585_11ee_a526_047c1617b143613.jpeg"/><Relationship Id="rId614" Type="http://schemas.openxmlformats.org/officeDocument/2006/relationships/image" Target="../media/2a6046cd_f967_11e9_810b_003048fd731b_c181b9a6_c05a_11ee_a549_047c1617b143614.jpeg"/><Relationship Id="rId615" Type="http://schemas.openxmlformats.org/officeDocument/2006/relationships/image" Target="../media/2a6046cf_f967_11e9_810b_003048fd731b_c181b9a2_c05a_11ee_a549_047c1617b143615.jpeg"/><Relationship Id="rId616" Type="http://schemas.openxmlformats.org/officeDocument/2006/relationships/image" Target="../media/2a6046d1_f967_11e9_810b_003048fd731b_c181b9a3_c05a_11ee_a549_047c1617b143616.jpeg"/><Relationship Id="rId617" Type="http://schemas.openxmlformats.org/officeDocument/2006/relationships/image" Target="../media/2a6046d3_f967_11e9_810b_003048fd731b_c181b9a4_c05a_11ee_a549_047c1617b143617.jpeg"/><Relationship Id="rId618" Type="http://schemas.openxmlformats.org/officeDocument/2006/relationships/image" Target="../media/2a6046d5_f967_11e9_810b_003048fd731b_c181b9a5_c05a_11ee_a549_047c1617b143618.jpeg"/><Relationship Id="rId619" Type="http://schemas.openxmlformats.org/officeDocument/2006/relationships/image" Target="../media/2a6046d7_f967_11e9_810b_003048fd731b_ba7443c6_a585_11ee_a526_047c1617b143619.jpeg"/><Relationship Id="rId620" Type="http://schemas.openxmlformats.org/officeDocument/2006/relationships/image" Target="../media/2a6046d9_f967_11e9_810b_003048fd731b_ba7443c7_a585_11ee_a526_047c1617b143620.jpeg"/><Relationship Id="rId621" Type="http://schemas.openxmlformats.org/officeDocument/2006/relationships/image" Target="../media/2a6046db_f967_11e9_810b_003048fd731b_ba7443c3_a585_11ee_a526_047c1617b143621.jpeg"/><Relationship Id="rId622" Type="http://schemas.openxmlformats.org/officeDocument/2006/relationships/image" Target="../media/2a6046dd_f967_11e9_810b_003048fd731b_ba7443c4_a585_11ee_a526_047c1617b143622.jpeg"/><Relationship Id="rId623" Type="http://schemas.openxmlformats.org/officeDocument/2006/relationships/image" Target="../media/2a6046df_f967_11e9_810b_003048fd731b_ba7443c5_a585_11ee_a526_047c1617b143623.jpeg"/><Relationship Id="rId624" Type="http://schemas.openxmlformats.org/officeDocument/2006/relationships/image" Target="../media/3c8d8c64_68f5_11ea_8111_003048fd731b_ba7443a7_a585_11ee_a526_047c1617b143624.jpeg"/><Relationship Id="rId625" Type="http://schemas.openxmlformats.org/officeDocument/2006/relationships/image" Target="../media/3c8d8c66_68f5_11ea_8111_003048fd731b_ba7443a9_a585_11ee_a526_047c1617b143625.jpeg"/><Relationship Id="rId626" Type="http://schemas.openxmlformats.org/officeDocument/2006/relationships/image" Target="../media/3c8d8c68_68f5_11ea_8111_003048fd731b_ba7443aa_a585_11ee_a526_047c1617b143626.jpeg"/><Relationship Id="rId627" Type="http://schemas.openxmlformats.org/officeDocument/2006/relationships/image" Target="../media/3c8d8c6a_68f5_11ea_8111_003048fd731b_ba7443ab_a585_11ee_a526_047c1617b143627.jpeg"/><Relationship Id="rId628" Type="http://schemas.openxmlformats.org/officeDocument/2006/relationships/image" Target="../media/3c8d8c6c_68f5_11ea_8111_003048fd731b_ba7443ac_a585_11ee_a526_047c1617b143628.jpeg"/><Relationship Id="rId629" Type="http://schemas.openxmlformats.org/officeDocument/2006/relationships/image" Target="../media/3c8d8c6e_68f5_11ea_8111_003048fd731b_ba7443ad_a585_11ee_a526_047c1617b143629.jpeg"/><Relationship Id="rId630" Type="http://schemas.openxmlformats.org/officeDocument/2006/relationships/image" Target="../media/3c8d8c70_68f5_11ea_8111_003048fd731b_ba7443ae_a585_11ee_a526_047c1617b143630.jpeg"/><Relationship Id="rId631" Type="http://schemas.openxmlformats.org/officeDocument/2006/relationships/image" Target="../media/3c8d8c72_68f5_11ea_8111_003048fd731b_ba7443af_a585_11ee_a526_047c1617b143631.jpeg"/><Relationship Id="rId632" Type="http://schemas.openxmlformats.org/officeDocument/2006/relationships/image" Target="../media/3c8d8c74_68f5_11ea_8111_003048fd731b_ba7443b0_a585_11ee_a526_047c1617b143632.jpeg"/><Relationship Id="rId633" Type="http://schemas.openxmlformats.org/officeDocument/2006/relationships/image" Target="../media/3c8d8c76_68f5_11ea_8111_003048fd731b_ba7443b1_a585_11ee_a526_047c1617b143633.jpeg"/><Relationship Id="rId634" Type="http://schemas.openxmlformats.org/officeDocument/2006/relationships/image" Target="../media/3c8d8c78_68f5_11ea_8111_003048fd731b_ba7443b2_a585_11ee_a526_047c1617b143634.jpeg"/><Relationship Id="rId635" Type="http://schemas.openxmlformats.org/officeDocument/2006/relationships/image" Target="../media/3c8d8c7a_68f5_11ea_8111_003048fd731b_ba7443a8_a585_11ee_a526_047c1617b143635.jpeg"/><Relationship Id="rId636" Type="http://schemas.openxmlformats.org/officeDocument/2006/relationships/image" Target="../media/3c8d8c7c_68f5_11ea_8111_003048fd731b_ba7443b3_a585_11ee_a526_047c1617b143636.jpeg"/><Relationship Id="rId637" Type="http://schemas.openxmlformats.org/officeDocument/2006/relationships/image" Target="../media/3c8d8c7e_68f5_11ea_8111_003048fd731b_ba7443b5_a585_11ee_a526_047c1617b143637.jpeg"/><Relationship Id="rId638" Type="http://schemas.openxmlformats.org/officeDocument/2006/relationships/image" Target="../media/3c8d8c80_68f5_11ea_8111_003048fd731b_ba7443b6_a585_11ee_a526_047c1617b143638.jpeg"/><Relationship Id="rId639" Type="http://schemas.openxmlformats.org/officeDocument/2006/relationships/image" Target="../media/3c8d8c82_68f5_11ea_8111_003048fd731b_ba7443b7_a585_11ee_a526_047c1617b143639.jpeg"/><Relationship Id="rId640" Type="http://schemas.openxmlformats.org/officeDocument/2006/relationships/image" Target="../media/3c8d8c84_68f5_11ea_8111_003048fd731b_ba7443b8_a585_11ee_a526_047c1617b143640.jpeg"/><Relationship Id="rId641" Type="http://schemas.openxmlformats.org/officeDocument/2006/relationships/image" Target="../media/3c8d8c86_68f5_11ea_8111_003048fd731b_ba7443b9_a585_11ee_a526_047c1617b143641.jpeg"/><Relationship Id="rId642" Type="http://schemas.openxmlformats.org/officeDocument/2006/relationships/image" Target="../media/3c8d8c88_68f5_11ea_8111_003048fd731b_ba7443ba_a585_11ee_a526_047c1617b143642.jpeg"/><Relationship Id="rId643" Type="http://schemas.openxmlformats.org/officeDocument/2006/relationships/image" Target="../media/3c8d8c8a_68f5_11ea_8111_003048fd731b_ba7443bb_a585_11ee_a526_047c1617b143643.jpeg"/><Relationship Id="rId644" Type="http://schemas.openxmlformats.org/officeDocument/2006/relationships/image" Target="../media/3c8d8c8c_68f5_11ea_8111_003048fd731b_ba7443bc_a585_11ee_a526_047c1617b143644.jpeg"/><Relationship Id="rId645" Type="http://schemas.openxmlformats.org/officeDocument/2006/relationships/image" Target="../media/3c8d8c8e_68f5_11ea_8111_003048fd731b_ba7443bd_a585_11ee_a526_047c1617b143645.jpeg"/><Relationship Id="rId646" Type="http://schemas.openxmlformats.org/officeDocument/2006/relationships/image" Target="../media/3c8d8c90_68f5_11ea_8111_003048fd731b_ba7443be_a585_11ee_a526_047c1617b143646.jpeg"/><Relationship Id="rId647" Type="http://schemas.openxmlformats.org/officeDocument/2006/relationships/image" Target="../media/3c8d8c92_68f5_11ea_8111_003048fd731b_ba7443b4_a585_11ee_a526_047c1617b1436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7" name="Image_322" descr="Image_322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8" name="Image_323" descr="Image_323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9" name="Image_324" descr="Image_324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0" name="Image_325" descr="Image_325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1" name="Image_326" descr="Image_326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2" name="Image_327" descr="Image_327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3" name="Image_328" descr="Image_328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4" name="Image_329" descr="Image_329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5" name="Image_330" descr="Image_330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6" name="Image_331" descr="Image_331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7" name="Image_332" descr="Image_332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8" name="Image_333" descr="Image_333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9" name="Image_334" descr="Image_334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0" name="Image_335" descr="Image_335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1" name="Image_336" descr="Image_336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2" name="Image_337" descr="Image_337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3" name="Image_338" descr="Image_338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4" name="Image_339" descr="Image_339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5" name="Image_340" descr="Image_340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6" name="Image_341" descr="Image_341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7" name="Image_342" descr="Image_342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8" name="Image_343" descr="Image_343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9" name="Image_344" descr="Image_344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0" name="Image_345" descr="Image_345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1" name="Image_346" descr="Image_346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2" name="Image_347" descr="Image_347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3" name="Image_348" descr="Image_348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4" name="Image_349" descr="Image_349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5" name="Image_350" descr="Image_350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6" name="Image_351" descr="Image_351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7" name="Image_352" descr="Image_352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8" name="Image_353" descr="Image_353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9" name="Image_354" descr="Image_354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0" name="Image_355" descr="Image_355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1" name="Image_356" descr="Image_356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2" name="Image_357" descr="Image_357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3" name="Image_358" descr="Image_358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4" name="Image_359" descr="Image_359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5" name="Image_360" descr="Image_360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6" name="Image_361" descr="Image_361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7" name="Image_362" descr="Image_362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8" name="Image_363" descr="Image_363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9" name="Image_364" descr="Image_364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0" name="Image_365" descr="Image_365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1" name="Image_366" descr="Image_366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2" name="Image_367" descr="Image_367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3" name="Image_368" descr="Image_368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4" name="Image_369" descr="Image_369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5" name="Image_370" descr="Image_370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6" name="Image_371" descr="Image_371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7" name="Image_372" descr="Image_372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8" name="Image_373" descr="Image_373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9" name="Image_374" descr="Image_374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0" name="Image_375" descr="Image_375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1" name="Image_376" descr="Image_376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2" name="Image_377" descr="Image_377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3" name="Image_378" descr="Image_378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4" name="Image_379" descr="Image_379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5" name="Image_380" descr="Image_380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6" name="Image_381" descr="Image_381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7" name="Image_382" descr="Image_382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8" name="Image_383" descr="Image_383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9" name="Image_384" descr="Image_384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0" name="Image_385" descr="Image_385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1" name="Image_386" descr="Image_386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2" name="Image_387" descr="Image_387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3" name="Image_388" descr="Image_388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4" name="Image_389" descr="Image_389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5" name="Image_390" descr="Image_390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6" name="Image_391" descr="Image_391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7" name="Image_392" descr="Image_392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8" name="Image_393" descr="Image_393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9" name="Image_394" descr="Image_39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0" name="Image_395" descr="Image_39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1" name="Image_396" descr="Image_39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2" name="Image_397" descr="Image_39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3" name="Image_398" descr="Image_39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4" name="Image_399" descr="Image_399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5" name="Image_400" descr="Image_400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6" name="Image_401" descr="Image_401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7" name="Image_402" descr="Image_402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8" name="Image_403" descr="Image_403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9" name="Image_404" descr="Image_404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0" name="Image_405" descr="Image_405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1" name="Image_406" descr="Image_406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2" name="Image_407" descr="Image_407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3" name="Image_408" descr="Image_408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4" name="Image_409" descr="Image_409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5" name="Image_410" descr="Image_410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6" name="Image_411" descr="Image_411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7" name="Image_412" descr="Image_412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8" name="Image_413" descr="Image_413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9" name="Image_414" descr="Image_414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0" name="Image_415" descr="Image_415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1" name="Image_416" descr="Image_416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2" name="Image_417" descr="Image_417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3" name="Image_418" descr="Image_418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4" name="Image_419" descr="Image_419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5" name="Image_420" descr="Image_420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6" name="Image_421" descr="Image_421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7" name="Image_422" descr="Image_422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8" name="Image_423" descr="Image_423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9" name="Image_424" descr="Image_424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0" name="Image_425" descr="Image_425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1" name="Image_426" descr="Image_426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2" name="Image_427" descr="Image_427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3" name="Image_428" descr="Image_428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4" name="Image_429" descr="Image_429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5" name="Image_430" descr="Image_430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6" name="Image_431" descr="Image_431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7" name="Image_432" descr="Image_432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8" name="Image_433" descr="Image_433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9" name="Image_434" descr="Image_434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0" name="Image_435" descr="Image_435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1" name="Image_436" descr="Image_436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2" name="Image_437" descr="Image_437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3" name="Image_438" descr="Image_438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4" name="Image_439" descr="Image_439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5" name="Image_440" descr="Image_440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6" name="Image_441" descr="Image_441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7" name="Image_442" descr="Image_442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8" name="Image_443" descr="Image_443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9" name="Image_444" descr="Image_444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0" name="Image_445" descr="Image_445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1" name="Image_446" descr="Image_446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2" name="Image_447" descr="Image_447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3" name="Image_448" descr="Image_448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4" name="Image_449" descr="Image_449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5" name="Image_450" descr="Image_450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6" name="Image_451" descr="Image_451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7" name="Image_452" descr="Image_452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8" name="Image_453" descr="Image_453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9" name="Image_454" descr="Image_454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0" name="Image_455" descr="Image_455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1" name="Image_456" descr="Image_456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2" name="Image_457" descr="Image_457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3" name="Image_458" descr="Image_458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4" name="Image_459" descr="Image_459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5" name="Image_460" descr="Image_460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6" name="Image_461" descr="Image_461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7" name="Image_462" descr="Image_462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8" name="Image_463" descr="Image_463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9" name="Image_464" descr="Image_464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0" name="Image_465" descr="Image_465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1" name="Image_466" descr="Image_466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2" name="Image_467" descr="Image_467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3" name="Image_468" descr="Image_468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4" name="Image_469" descr="Image_469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5" name="Image_470" descr="Image_470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6" name="Image_471" descr="Image_471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7" name="Image_472" descr="Image_472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8" name="Image_473" descr="Image_473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9" name="Image_474" descr="Image_474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0" name="Image_475" descr="Image_475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1" name="Image_476" descr="Image_476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2" name="Image_477" descr="Image_477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3" name="Image_478" descr="Image_478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4" name="Image_479" descr="Image_479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5" name="Image_480" descr="Image_480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6" name="Image_481" descr="Image_481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7" name="Image_482" descr="Image_482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8" name="Image_483" descr="Image_483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9" name="Image_484" descr="Image_484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0" name="Image_485" descr="Image_485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1" name="Image_486" descr="Image_486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2" name="Image_487" descr="Image_487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3" name="Image_488" descr="Image_488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4" name="Image_489" descr="Image_489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5" name="Image_490" descr="Image_490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6" name="Image_491" descr="Image_491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7" name="Image_492" descr="Image_492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8" name="Image_493" descr="Image_493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9" name="Image_494" descr="Image_494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0" name="Image_495" descr="Image_495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1" name="Image_496" descr="Image_496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2" name="Image_497" descr="Image_497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3" name="Image_498" descr="Image_498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4" name="Image_499" descr="Image_499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5" name="Image_500" descr="Image_500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6" name="Image_501" descr="Image_501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7" name="Image_502" descr="Image_502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8" name="Image_503" descr="Image_503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9" name="Image_504" descr="Image_504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0" name="Image_505" descr="Image_505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1" name="Image_506" descr="Image_506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2" name="Image_507" descr="Image_507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3" name="Image_508" descr="Image_508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4" name="Image_509" descr="Image_509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5" name="Image_510" descr="Image_510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6" name="Image_511" descr="Image_511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7" name="Image_512" descr="Image_512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8" name="Image_513" descr="Image_513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9" name="Image_514" descr="Image_514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0" name="Image_515" descr="Image_515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1" name="Image_516" descr="Image_516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2" name="Image_517" descr="Image_517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3" name="Image_518" descr="Image_518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4" name="Image_519" descr="Image_519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5" name="Image_520" descr="Image_520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6" name="Image_521" descr="Image_521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7" name="Image_522" descr="Image_522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8" name="Image_523" descr="Image_523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9" name="Image_524" descr="Image_524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0" name="Image_525" descr="Image_525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1" name="Image_526" descr="Image_526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2" name="Image_527" descr="Image_527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3" name="Image_528" descr="Image_528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4" name="Image_529" descr="Image_529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5" name="Image_530" descr="Image_530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6" name="Image_531" descr="Image_531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7" name="Image_532" descr="Image_532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8" name="Image_533" descr="Image_533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9" name="Image_534" descr="Image_534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0" name="Image_535" descr="Image_535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1" name="Image_536" descr="Image_536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2" name="Image_537" descr="Image_537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3" name="Image_538" descr="Image_538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4" name="Image_539" descr="Image_539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5" name="Image_540" descr="Image_540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6" name="Image_541" descr="Image_541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7" name="Image_542" descr="Image_542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8" name="Image_543" descr="Image_543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9" name="Image_544" descr="Image_544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0" name="Image_545" descr="Image_545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1" name="Image_546" descr="Image_546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2" name="Image_547" descr="Image_547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3" name="Image_548" descr="Image_548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4" name="Image_549" descr="Image_549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5" name="Image_550" descr="Image_550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6" name="Image_551" descr="Image_551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7" name="Image_552" descr="Image_552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8" name="Image_553" descr="Image_553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9" name="Image_554" descr="Image_554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0" name="Image_555" descr="Image_555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1" name="Image_556" descr="Image_556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2" name="Image_557" descr="Image_557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3" name="Image_558" descr="Image_558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4" name="Image_559" descr="Image_559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5" name="Image_560" descr="Image_560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6" name="Image_561" descr="Image_561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7" name="Image_562" descr="Image_562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8" name="Image_563" descr="Image_563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9" name="Image_564" descr="Image_564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0" name="Image_565" descr="Image_565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1" name="Image_566" descr="Image_566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2" name="Image_567" descr="Image_567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3" name="Image_568" descr="Image_568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4" name="Image_569" descr="Image_569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5" name="Image_570" descr="Image_570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6" name="Image_571" descr="Image_571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7" name="Image_572" descr="Image_572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8" name="Image_573" descr="Image_573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9" name="Image_574" descr="Image_574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0" name="Image_575" descr="Image_575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1" name="Image_576" descr="Image_576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2" name="Image_577" descr="Image_577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3" name="Image_578" descr="Image_578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4" name="Image_579" descr="Image_579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5" name="Image_580" descr="Image_580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6" name="Image_581" descr="Image_581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7" name="Image_582" descr="Image_582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8" name="Image_583" descr="Image_583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9" name="Image_584" descr="Image_584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0" name="Image_585" descr="Image_585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1" name="Image_586" descr="Image_586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2" name="Image_587" descr="Image_587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3" name="Image_588" descr="Image_588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4" name="Image_589" descr="Image_589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5" name="Image_590" descr="Image_590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6" name="Image_592" descr="Image_592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7" name="Image_593" descr="Image_593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8" name="Image_594" descr="Image_594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9" name="Image_595" descr="Image_595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0" name="Image_596" descr="Image_596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1" name="Image_597" descr="Image_597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2" name="Image_598" descr="Image_598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3" name="Image_599" descr="Image_599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4" name="Image_600" descr="Image_600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5" name="Image_601" descr="Image_601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6" name="Image_602" descr="Image_602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7" name="Image_603" descr="Image_603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8" name="Image_604" descr="Image_604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99" name="Image_605" descr="Image_605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0" name="Image_606" descr="Image_606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1" name="Image_607" descr="Image_607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2" name="Image_608" descr="Image_608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3" name="Image_609" descr="Image_609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4" name="Image_610" descr="Image_610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5" name="Image_611" descr="Image_611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6" name="Image_612" descr="Image_612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7" name="Image_613" descr="Image_613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8" name="Image_614" descr="Image_614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9" name="Image_615" descr="Image_615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0" name="Image_616" descr="Image_616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1" name="Image_617" descr="Image_617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2" name="Image_618" descr="Image_618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3" name="Image_619" descr="Image_619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4" name="Image_620" descr="Image_620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5" name="Image_621" descr="Image_621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6" name="Image_622" descr="Image_622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7" name="Image_623" descr="Image_623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8" name="Image_624" descr="Image_624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9" name="Image_625" descr="Image_625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0" name="Image_626" descr="Image_626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1" name="Image_627" descr="Image_627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2" name="Image_628" descr="Image_628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3" name="Image_629" descr="Image_629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4" name="Image_630" descr="Image_630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5" name="Image_631" descr="Image_631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6" name="Image_632" descr="Image_632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7" name="Image_633" descr="Image_633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8" name="Image_634" descr="Image_634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9" name="Image_635" descr="Image_635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0" name="Image_636" descr="Image_636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1" name="Image_637" descr="Image_637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2" name="Image_638" descr="Image_638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3" name="Image_639" descr="Image_639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4" name="Image_640" descr="Image_640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5" name="Image_641" descr="Image_641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6" name="Image_642" descr="Image_642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7" name="Image_643" descr="Image_643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8" name="Image_644" descr="Image_644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9" name="Image_645" descr="Image_645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0" name="Image_646" descr="Image_646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1" name="Image_647" descr="Image_647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2" name="Image_648" descr="Image_648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3" name="Image_649" descr="Image_649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4" name="Image_650" descr="Image_650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5" name="Image_651" descr="Image_651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6" name="Image_652" descr="Image_652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7" name="Image_653" descr="Image_653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J4*152.00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J5*174.00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23</v>
      </c>
      <c r="I6" s="1">
        <v>0</v>
      </c>
      <c r="J6" s="3" t="s">
        <v>17</v>
      </c>
      <c r="K6" s="2" t="str">
        <f>J6*271.00</f>
        <v>0</v>
      </c>
      <c r="L6" s="5"/>
    </row>
    <row r="7" spans="1:12" customHeight="1" ht="105" outlineLevel="3">
      <c r="A7" s="1"/>
      <c r="B7" s="1">
        <v>820108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1">
        <v>0</v>
      </c>
      <c r="J7" s="3" t="s">
        <v>17</v>
      </c>
      <c r="K7" s="2" t="str">
        <f>J7*221.00</f>
        <v>0</v>
      </c>
      <c r="L7" s="5"/>
    </row>
    <row r="8" spans="1:12" customHeight="1" ht="105" outlineLevel="3">
      <c r="A8" s="1"/>
      <c r="B8" s="1">
        <v>820109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32</v>
      </c>
      <c r="H8" s="2" t="s">
        <v>33</v>
      </c>
      <c r="I8" s="1">
        <v>0</v>
      </c>
      <c r="J8" s="3" t="s">
        <v>17</v>
      </c>
      <c r="K8" s="2" t="str">
        <f>J8*376.00</f>
        <v>0</v>
      </c>
      <c r="L8" s="5"/>
    </row>
    <row r="9" spans="1:12" customHeight="1" ht="105" outlineLevel="3">
      <c r="A9" s="1"/>
      <c r="B9" s="1">
        <v>820110</v>
      </c>
      <c r="C9" s="1" t="s">
        <v>38</v>
      </c>
      <c r="D9" s="1" t="s">
        <v>39</v>
      </c>
      <c r="E9" s="2" t="s">
        <v>40</v>
      </c>
      <c r="F9" s="2" t="s">
        <v>41</v>
      </c>
      <c r="G9" s="2" t="s">
        <v>16</v>
      </c>
      <c r="H9" s="2" t="s">
        <v>42</v>
      </c>
      <c r="I9" s="1">
        <v>0</v>
      </c>
      <c r="J9" s="3" t="s">
        <v>17</v>
      </c>
      <c r="K9" s="2" t="str">
        <f>J9*654.00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22</v>
      </c>
      <c r="H10" s="2" t="s">
        <v>23</v>
      </c>
      <c r="I10" s="1">
        <v>0</v>
      </c>
      <c r="J10" s="3" t="s">
        <v>17</v>
      </c>
      <c r="K10" s="2" t="str">
        <f>J10*1319.00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22</v>
      </c>
      <c r="H11" s="2" t="s">
        <v>23</v>
      </c>
      <c r="I11" s="1">
        <v>0</v>
      </c>
      <c r="J11" s="3" t="s">
        <v>17</v>
      </c>
      <c r="K11" s="2" t="str">
        <f>J11*1507.00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7</v>
      </c>
      <c r="H12" s="2" t="s">
        <v>23</v>
      </c>
      <c r="I12" s="1">
        <v>0</v>
      </c>
      <c r="J12" s="3" t="s">
        <v>17</v>
      </c>
      <c r="K12" s="2" t="str">
        <f>J12*2671.00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16</v>
      </c>
      <c r="H13" s="2" t="s">
        <v>42</v>
      </c>
      <c r="I13" s="1">
        <v>0</v>
      </c>
      <c r="J13" s="3" t="s">
        <v>17</v>
      </c>
      <c r="K13" s="2" t="str">
        <f>J13*206.00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22</v>
      </c>
      <c r="H14" s="2" t="s">
        <v>23</v>
      </c>
      <c r="I14" s="1">
        <v>0</v>
      </c>
      <c r="J14" s="3" t="s">
        <v>17</v>
      </c>
      <c r="K14" s="2" t="str">
        <f>J14*292.00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23</v>
      </c>
      <c r="I15" s="1">
        <v>0</v>
      </c>
      <c r="J15" s="3" t="s">
        <v>17</v>
      </c>
      <c r="K15" s="2" t="str">
        <f>J15*91.00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23</v>
      </c>
      <c r="H16" s="2" t="s">
        <v>70</v>
      </c>
      <c r="I16" s="1">
        <v>0</v>
      </c>
      <c r="J16" s="3" t="s">
        <v>17</v>
      </c>
      <c r="K16" s="2" t="str">
        <f>J16*206.00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32</v>
      </c>
      <c r="H17" s="2" t="s">
        <v>33</v>
      </c>
      <c r="I17" s="1">
        <v>0</v>
      </c>
      <c r="J17" s="3" t="s">
        <v>17</v>
      </c>
      <c r="K17" s="2" t="str">
        <f>J17*360.00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32</v>
      </c>
      <c r="H18" s="2" t="s">
        <v>33</v>
      </c>
      <c r="I18" s="1">
        <v>0</v>
      </c>
      <c r="J18" s="3" t="s">
        <v>17</v>
      </c>
      <c r="K18" s="2" t="str">
        <f>J18*556.00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6</v>
      </c>
      <c r="H19" s="2" t="s">
        <v>23</v>
      </c>
      <c r="I19" s="1">
        <v>0</v>
      </c>
      <c r="J19" s="3" t="s">
        <v>17</v>
      </c>
      <c r="K19" s="2" t="str">
        <f>J19*1317.00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7</v>
      </c>
      <c r="H20" s="2" t="s">
        <v>23</v>
      </c>
      <c r="I20" s="1">
        <v>0</v>
      </c>
      <c r="J20" s="3" t="s">
        <v>17</v>
      </c>
      <c r="K20" s="2" t="str">
        <f>J20*1722.00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4</v>
      </c>
      <c r="H21" s="2" t="s">
        <v>16</v>
      </c>
      <c r="I21" s="1">
        <v>0</v>
      </c>
      <c r="J21" s="3" t="s">
        <v>17</v>
      </c>
      <c r="K21" s="2" t="str">
        <f>J21*2891.00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23</v>
      </c>
      <c r="H22" s="2" t="s">
        <v>70</v>
      </c>
      <c r="I22" s="1">
        <v>0</v>
      </c>
      <c r="J22" s="3" t="s">
        <v>17</v>
      </c>
      <c r="K22" s="2" t="str">
        <f>J22*192.00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16</v>
      </c>
      <c r="H23" s="2" t="s">
        <v>42</v>
      </c>
      <c r="I23" s="1">
        <v>0</v>
      </c>
      <c r="J23" s="3" t="s">
        <v>17</v>
      </c>
      <c r="K23" s="2" t="str">
        <f>J23*400.00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22</v>
      </c>
      <c r="H24" s="2" t="s">
        <v>42</v>
      </c>
      <c r="I24" s="1">
        <v>0</v>
      </c>
      <c r="J24" s="3" t="s">
        <v>17</v>
      </c>
      <c r="K24" s="2" t="str">
        <f>J24*641.00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 t="s">
        <v>22</v>
      </c>
      <c r="H25" s="2" t="s">
        <v>23</v>
      </c>
      <c r="I25" s="1">
        <v>0</v>
      </c>
      <c r="J25" s="3" t="s">
        <v>17</v>
      </c>
      <c r="K25" s="2" t="str">
        <f>J25*253.00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22</v>
      </c>
      <c r="H26" s="2" t="s">
        <v>23</v>
      </c>
      <c r="I26" s="1">
        <v>0</v>
      </c>
      <c r="J26" s="3" t="s">
        <v>17</v>
      </c>
      <c r="K26" s="2" t="str">
        <f>J26*306.00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>
        <v>10</v>
      </c>
      <c r="H27" s="2" t="s">
        <v>23</v>
      </c>
      <c r="I27" s="1">
        <v>0</v>
      </c>
      <c r="J27" s="3" t="s">
        <v>17</v>
      </c>
      <c r="K27" s="2" t="str">
        <f>J27*338.00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22</v>
      </c>
      <c r="H28" s="2" t="s">
        <v>23</v>
      </c>
      <c r="I28" s="1">
        <v>0</v>
      </c>
      <c r="J28" s="3" t="s">
        <v>17</v>
      </c>
      <c r="K28" s="2" t="str">
        <f>J28*388.00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 t="s">
        <v>22</v>
      </c>
      <c r="H29" s="2" t="s">
        <v>23</v>
      </c>
      <c r="I29" s="1">
        <v>0</v>
      </c>
      <c r="J29" s="3" t="s">
        <v>17</v>
      </c>
      <c r="K29" s="2" t="str">
        <f>J29*445.00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22</v>
      </c>
      <c r="H30" s="2" t="s">
        <v>23</v>
      </c>
      <c r="I30" s="1">
        <v>0</v>
      </c>
      <c r="J30" s="3" t="s">
        <v>17</v>
      </c>
      <c r="K30" s="2" t="str">
        <f>J30*511.00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32</v>
      </c>
      <c r="I31" s="1">
        <v>0</v>
      </c>
      <c r="J31" s="3" t="s">
        <v>17</v>
      </c>
      <c r="K31" s="2" t="str">
        <f>J31*562.00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5</v>
      </c>
      <c r="H32" s="2" t="s">
        <v>32</v>
      </c>
      <c r="I32" s="1">
        <v>0</v>
      </c>
      <c r="J32" s="3" t="s">
        <v>17</v>
      </c>
      <c r="K32" s="2" t="str">
        <f>J32*566.00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 t="s">
        <v>22</v>
      </c>
      <c r="H33" s="2" t="s">
        <v>32</v>
      </c>
      <c r="I33" s="1">
        <v>0</v>
      </c>
      <c r="J33" s="3" t="s">
        <v>17</v>
      </c>
      <c r="K33" s="2" t="str">
        <f>J33*712.00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22</v>
      </c>
      <c r="H34" s="2" t="s">
        <v>23</v>
      </c>
      <c r="I34" s="1">
        <v>0</v>
      </c>
      <c r="J34" s="3" t="s">
        <v>17</v>
      </c>
      <c r="K34" s="2" t="str">
        <f>J34*225.00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 t="s">
        <v>22</v>
      </c>
      <c r="H35" s="2" t="s">
        <v>23</v>
      </c>
      <c r="I35" s="1">
        <v>0</v>
      </c>
      <c r="J35" s="3" t="s">
        <v>17</v>
      </c>
      <c r="K35" s="2" t="str">
        <f>J35*288.00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>
        <v>8</v>
      </c>
      <c r="H36" s="2" t="s">
        <v>23</v>
      </c>
      <c r="I36" s="1">
        <v>0</v>
      </c>
      <c r="J36" s="3" t="s">
        <v>17</v>
      </c>
      <c r="K36" s="2" t="str">
        <f>J36*236.00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23</v>
      </c>
      <c r="I37" s="1">
        <v>0</v>
      </c>
      <c r="J37" s="3" t="s">
        <v>17</v>
      </c>
      <c r="K37" s="2" t="str">
        <f>J37*349.00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23</v>
      </c>
      <c r="I38" s="1">
        <v>0</v>
      </c>
      <c r="J38" s="3" t="s">
        <v>17</v>
      </c>
      <c r="K38" s="2" t="str">
        <f>J38*407.00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32</v>
      </c>
      <c r="I39" s="1">
        <v>0</v>
      </c>
      <c r="J39" s="3" t="s">
        <v>17</v>
      </c>
      <c r="K39" s="2" t="str">
        <f>J39*453.00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32</v>
      </c>
      <c r="H40" s="2" t="s">
        <v>33</v>
      </c>
      <c r="I40" s="1">
        <v>0</v>
      </c>
      <c r="J40" s="3" t="s">
        <v>17</v>
      </c>
      <c r="K40" s="2" t="str">
        <f>J40*323.00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 t="s">
        <v>16</v>
      </c>
      <c r="H41" s="2" t="s">
        <v>33</v>
      </c>
      <c r="I41" s="1">
        <v>0</v>
      </c>
      <c r="J41" s="3" t="s">
        <v>17</v>
      </c>
      <c r="K41" s="2" t="str">
        <f>J41*560.00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22</v>
      </c>
      <c r="H42" s="2" t="s">
        <v>23</v>
      </c>
      <c r="I42" s="1">
        <v>0</v>
      </c>
      <c r="J42" s="3" t="s">
        <v>17</v>
      </c>
      <c r="K42" s="2" t="str">
        <f>J42*1007.00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5</v>
      </c>
      <c r="H43" s="2" t="s">
        <v>16</v>
      </c>
      <c r="I43" s="1">
        <v>0</v>
      </c>
      <c r="J43" s="3" t="s">
        <v>17</v>
      </c>
      <c r="K43" s="2" t="str">
        <f>J43*1618.00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 t="s">
        <v>23</v>
      </c>
      <c r="H44" s="2" t="s">
        <v>33</v>
      </c>
      <c r="I44" s="1">
        <v>0</v>
      </c>
      <c r="J44" s="3" t="s">
        <v>17</v>
      </c>
      <c r="K44" s="2" t="str">
        <f>J44*260.00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32</v>
      </c>
      <c r="H45" s="2" t="s">
        <v>33</v>
      </c>
      <c r="I45" s="1">
        <v>0</v>
      </c>
      <c r="J45" s="3" t="s">
        <v>17</v>
      </c>
      <c r="K45" s="2" t="str">
        <f>J45*403.00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16</v>
      </c>
      <c r="H46" s="2" t="s">
        <v>33</v>
      </c>
      <c r="I46" s="1">
        <v>0</v>
      </c>
      <c r="J46" s="3" t="s">
        <v>17</v>
      </c>
      <c r="K46" s="2" t="str">
        <f>J46*773.00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>
        <v>8</v>
      </c>
      <c r="H47" s="2" t="s">
        <v>23</v>
      </c>
      <c r="I47" s="1">
        <v>0</v>
      </c>
      <c r="J47" s="3" t="s">
        <v>17</v>
      </c>
      <c r="K47" s="2" t="str">
        <f>J47*1382.00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 t="s">
        <v>22</v>
      </c>
      <c r="H48" s="2" t="s">
        <v>23</v>
      </c>
      <c r="I48" s="1">
        <v>0</v>
      </c>
      <c r="J48" s="3" t="s">
        <v>17</v>
      </c>
      <c r="K48" s="2" t="str">
        <f>J48*1672.00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2</v>
      </c>
      <c r="H49" s="2" t="s">
        <v>23</v>
      </c>
      <c r="I49" s="1">
        <v>0</v>
      </c>
      <c r="J49" s="3" t="s">
        <v>17</v>
      </c>
      <c r="K49" s="2" t="str">
        <f>J49*2530.00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32</v>
      </c>
      <c r="H50" s="2" t="s">
        <v>33</v>
      </c>
      <c r="I50" s="1">
        <v>0</v>
      </c>
      <c r="J50" s="3" t="s">
        <v>17</v>
      </c>
      <c r="K50" s="2" t="str">
        <f>J50*312.00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16</v>
      </c>
      <c r="H51" s="2" t="s">
        <v>23</v>
      </c>
      <c r="I51" s="1">
        <v>0</v>
      </c>
      <c r="J51" s="3" t="s">
        <v>17</v>
      </c>
      <c r="K51" s="2" t="str">
        <f>J51*482.00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 t="s">
        <v>22</v>
      </c>
      <c r="H52" s="2" t="s">
        <v>23</v>
      </c>
      <c r="I52" s="1">
        <v>0</v>
      </c>
      <c r="J52" s="3" t="s">
        <v>17</v>
      </c>
      <c r="K52" s="2" t="str">
        <f>J52*352.00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22</v>
      </c>
      <c r="H53" s="2" t="s">
        <v>42</v>
      </c>
      <c r="I53" s="1">
        <v>0</v>
      </c>
      <c r="J53" s="3" t="s">
        <v>17</v>
      </c>
      <c r="K53" s="2" t="str">
        <f>J53*392.00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>
        <v>9</v>
      </c>
      <c r="H54" s="2" t="s">
        <v>16</v>
      </c>
      <c r="I54" s="1">
        <v>0</v>
      </c>
      <c r="J54" s="3" t="s">
        <v>17</v>
      </c>
      <c r="K54" s="2" t="str">
        <f>J54*452.00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8</v>
      </c>
      <c r="H55" s="2" t="s">
        <v>23</v>
      </c>
      <c r="I55" s="1">
        <v>0</v>
      </c>
      <c r="J55" s="3" t="s">
        <v>17</v>
      </c>
      <c r="K55" s="2" t="str">
        <f>J55*932.00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>
        <v>0</v>
      </c>
      <c r="H56" s="2" t="s">
        <v>23</v>
      </c>
      <c r="I56" s="1">
        <v>0</v>
      </c>
      <c r="J56" s="3" t="s">
        <v>17</v>
      </c>
      <c r="K56" s="2" t="str">
        <f>J56*1112.00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 t="s">
        <v>22</v>
      </c>
      <c r="H57" s="2" t="s">
        <v>42</v>
      </c>
      <c r="I57" s="1">
        <v>0</v>
      </c>
      <c r="J57" s="3" t="s">
        <v>17</v>
      </c>
      <c r="K57" s="2" t="str">
        <f>J57*1253.00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16</v>
      </c>
      <c r="H58" s="2" t="s">
        <v>33</v>
      </c>
      <c r="I58" s="1">
        <v>0</v>
      </c>
      <c r="J58" s="3" t="s">
        <v>17</v>
      </c>
      <c r="K58" s="2" t="str">
        <f>J58*78.00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16</v>
      </c>
      <c r="H59" s="2" t="s">
        <v>33</v>
      </c>
      <c r="I59" s="1">
        <v>0</v>
      </c>
      <c r="J59" s="3" t="s">
        <v>17</v>
      </c>
      <c r="K59" s="2" t="str">
        <f>J59*108.00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>
        <v>0</v>
      </c>
      <c r="H60" s="2" t="s">
        <v>70</v>
      </c>
      <c r="I60" s="1">
        <v>0</v>
      </c>
      <c r="J60" s="3" t="s">
        <v>17</v>
      </c>
      <c r="K60" s="2" t="str">
        <f>J60*128.00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>
        <v>0</v>
      </c>
      <c r="H61" s="2" t="s">
        <v>33</v>
      </c>
      <c r="I61" s="1">
        <v>0</v>
      </c>
      <c r="J61" s="3" t="s">
        <v>17</v>
      </c>
      <c r="K61" s="2" t="str">
        <f>J61*137.00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22</v>
      </c>
      <c r="H62" s="2" t="s">
        <v>33</v>
      </c>
      <c r="I62" s="1">
        <v>0</v>
      </c>
      <c r="J62" s="3" t="s">
        <v>17</v>
      </c>
      <c r="K62" s="2" t="str">
        <f>J62*161.00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16</v>
      </c>
      <c r="H63" s="2" t="s">
        <v>33</v>
      </c>
      <c r="I63" s="1">
        <v>0</v>
      </c>
      <c r="J63" s="3" t="s">
        <v>17</v>
      </c>
      <c r="K63" s="2" t="str">
        <f>J63*189.00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16</v>
      </c>
      <c r="H64" s="2" t="s">
        <v>33</v>
      </c>
      <c r="I64" s="1">
        <v>0</v>
      </c>
      <c r="J64" s="3" t="s">
        <v>17</v>
      </c>
      <c r="K64" s="2" t="str">
        <f>J64*238.00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16</v>
      </c>
      <c r="H65" s="2" t="s">
        <v>33</v>
      </c>
      <c r="I65" s="1">
        <v>0</v>
      </c>
      <c r="J65" s="3" t="s">
        <v>17</v>
      </c>
      <c r="K65" s="2" t="str">
        <f>J65*107.00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16</v>
      </c>
      <c r="H66" s="2" t="s">
        <v>33</v>
      </c>
      <c r="I66" s="1">
        <v>0</v>
      </c>
      <c r="J66" s="3" t="s">
        <v>17</v>
      </c>
      <c r="K66" s="2" t="str">
        <f>J66*139.00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32</v>
      </c>
      <c r="H67" s="2" t="s">
        <v>33</v>
      </c>
      <c r="I67" s="1">
        <v>0</v>
      </c>
      <c r="J67" s="3" t="s">
        <v>17</v>
      </c>
      <c r="K67" s="2" t="str">
        <f>J67*153.00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16</v>
      </c>
      <c r="H68" s="2" t="s">
        <v>42</v>
      </c>
      <c r="I68" s="1">
        <v>0</v>
      </c>
      <c r="J68" s="3" t="s">
        <v>17</v>
      </c>
      <c r="K68" s="2" t="str">
        <f>J68*181.00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22</v>
      </c>
      <c r="H69" s="2" t="s">
        <v>33</v>
      </c>
      <c r="I69" s="1">
        <v>0</v>
      </c>
      <c r="J69" s="3" t="s">
        <v>17</v>
      </c>
      <c r="K69" s="2" t="str">
        <f>J69*203.00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22</v>
      </c>
      <c r="H70" s="2" t="s">
        <v>23</v>
      </c>
      <c r="I70" s="1">
        <v>0</v>
      </c>
      <c r="J70" s="3" t="s">
        <v>17</v>
      </c>
      <c r="K70" s="2" t="str">
        <f>J70*232.00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>
        <v>7</v>
      </c>
      <c r="H71" s="2" t="s">
        <v>42</v>
      </c>
      <c r="I71" s="1">
        <v>0</v>
      </c>
      <c r="J71" s="3" t="s">
        <v>17</v>
      </c>
      <c r="K71" s="2" t="str">
        <f>J71*308.00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22</v>
      </c>
      <c r="H72" s="2" t="s">
        <v>42</v>
      </c>
      <c r="I72" s="1">
        <v>0</v>
      </c>
      <c r="J72" s="3" t="s">
        <v>17</v>
      </c>
      <c r="K72" s="2" t="str">
        <f>J72*329.00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22</v>
      </c>
      <c r="H73" s="2" t="s">
        <v>23</v>
      </c>
      <c r="I73" s="1">
        <v>0</v>
      </c>
      <c r="J73" s="3" t="s">
        <v>17</v>
      </c>
      <c r="K73" s="2" t="str">
        <f>J73*397.00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22</v>
      </c>
      <c r="H74" s="2" t="s">
        <v>42</v>
      </c>
      <c r="I74" s="1">
        <v>0</v>
      </c>
      <c r="J74" s="3" t="s">
        <v>17</v>
      </c>
      <c r="K74" s="2" t="str">
        <f>J74*401.00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22</v>
      </c>
      <c r="H75" s="2" t="s">
        <v>42</v>
      </c>
      <c r="I75" s="1">
        <v>0</v>
      </c>
      <c r="J75" s="3" t="s">
        <v>17</v>
      </c>
      <c r="K75" s="2" t="str">
        <f>J75*529.00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22</v>
      </c>
      <c r="H76" s="2" t="s">
        <v>23</v>
      </c>
      <c r="I76" s="1">
        <v>0</v>
      </c>
      <c r="J76" s="3" t="s">
        <v>17</v>
      </c>
      <c r="K76" s="2" t="str">
        <f>J76*217.00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22</v>
      </c>
      <c r="H77" s="2" t="s">
        <v>42</v>
      </c>
      <c r="I77" s="1">
        <v>0</v>
      </c>
      <c r="J77" s="3" t="s">
        <v>17</v>
      </c>
      <c r="K77" s="2" t="str">
        <f>J77*254.00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22</v>
      </c>
      <c r="H78" s="2" t="s">
        <v>23</v>
      </c>
      <c r="I78" s="1">
        <v>0</v>
      </c>
      <c r="J78" s="3" t="s">
        <v>17</v>
      </c>
      <c r="K78" s="2" t="str">
        <f>J78*286.00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42</v>
      </c>
      <c r="I79" s="1">
        <v>0</v>
      </c>
      <c r="J79" s="3" t="s">
        <v>17</v>
      </c>
      <c r="K79" s="2" t="str">
        <f>J79*315.00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22</v>
      </c>
      <c r="H80" s="2" t="s">
        <v>23</v>
      </c>
      <c r="I80" s="1">
        <v>0</v>
      </c>
      <c r="J80" s="3" t="s">
        <v>17</v>
      </c>
      <c r="K80" s="2" t="str">
        <f>J80*382.00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 t="s">
        <v>22</v>
      </c>
      <c r="H81" s="2" t="s">
        <v>23</v>
      </c>
      <c r="I81" s="1">
        <v>0</v>
      </c>
      <c r="J81" s="3" t="s">
        <v>17</v>
      </c>
      <c r="K81" s="2" t="str">
        <f>J81*441.00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22</v>
      </c>
      <c r="H82" s="2" t="s">
        <v>23</v>
      </c>
      <c r="I82" s="1">
        <v>0</v>
      </c>
      <c r="J82" s="3" t="s">
        <v>17</v>
      </c>
      <c r="K82" s="2" t="str">
        <f>J82*566.00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8</v>
      </c>
      <c r="H83" s="2" t="s">
        <v>23</v>
      </c>
      <c r="I83" s="1">
        <v>0</v>
      </c>
      <c r="J83" s="3" t="s">
        <v>17</v>
      </c>
      <c r="K83" s="2" t="str">
        <f>J83*611.00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8</v>
      </c>
      <c r="H84" s="2" t="s">
        <v>23</v>
      </c>
      <c r="I84" s="1">
        <v>0</v>
      </c>
      <c r="J84" s="3" t="s">
        <v>17</v>
      </c>
      <c r="K84" s="2" t="str">
        <f>J84*739.00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5</v>
      </c>
      <c r="H85" s="2" t="s">
        <v>23</v>
      </c>
      <c r="I85" s="1">
        <v>0</v>
      </c>
      <c r="J85" s="3" t="s">
        <v>17</v>
      </c>
      <c r="K85" s="2" t="str">
        <f>J85*805.00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23</v>
      </c>
      <c r="I86" s="1">
        <v>0</v>
      </c>
      <c r="J86" s="3" t="s">
        <v>17</v>
      </c>
      <c r="K86" s="2" t="str">
        <f>J86*335.00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10</v>
      </c>
      <c r="H87" s="2" t="s">
        <v>23</v>
      </c>
      <c r="I87" s="1">
        <v>0</v>
      </c>
      <c r="J87" s="3" t="s">
        <v>17</v>
      </c>
      <c r="K87" s="2" t="str">
        <f>J87*406.00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5</v>
      </c>
      <c r="H88" s="2" t="s">
        <v>23</v>
      </c>
      <c r="I88" s="1">
        <v>0</v>
      </c>
      <c r="J88" s="3" t="s">
        <v>17</v>
      </c>
      <c r="K88" s="2" t="str">
        <f>J88*451.00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7</v>
      </c>
      <c r="H89" s="2" t="s">
        <v>23</v>
      </c>
      <c r="I89" s="1">
        <v>0</v>
      </c>
      <c r="J89" s="3" t="s">
        <v>17</v>
      </c>
      <c r="K89" s="2" t="str">
        <f>J89*520.00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3</v>
      </c>
      <c r="H90" s="2" t="s">
        <v>23</v>
      </c>
      <c r="I90" s="1">
        <v>0</v>
      </c>
      <c r="J90" s="3" t="s">
        <v>17</v>
      </c>
      <c r="K90" s="2" t="str">
        <f>J90*618.00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5</v>
      </c>
      <c r="H91" s="2" t="s">
        <v>23</v>
      </c>
      <c r="I91" s="1">
        <v>0</v>
      </c>
      <c r="J91" s="3" t="s">
        <v>17</v>
      </c>
      <c r="K91" s="2" t="str">
        <f>J91*800.00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7</v>
      </c>
      <c r="H92" s="2" t="s">
        <v>32</v>
      </c>
      <c r="I92" s="1">
        <v>0</v>
      </c>
      <c r="J92" s="3" t="s">
        <v>17</v>
      </c>
      <c r="K92" s="2" t="str">
        <f>J92*917.00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4</v>
      </c>
      <c r="H93" s="2" t="s">
        <v>23</v>
      </c>
      <c r="I93" s="1">
        <v>0</v>
      </c>
      <c r="J93" s="3" t="s">
        <v>17</v>
      </c>
      <c r="K93" s="2" t="str">
        <f>J93*1050.00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8</v>
      </c>
      <c r="H94" s="2" t="s">
        <v>23</v>
      </c>
      <c r="I94" s="1">
        <v>0</v>
      </c>
      <c r="J94" s="3" t="s">
        <v>17</v>
      </c>
      <c r="K94" s="2" t="str">
        <f>J94*1139.00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6</v>
      </c>
      <c r="H95" s="2" t="s">
        <v>23</v>
      </c>
      <c r="I95" s="1">
        <v>0</v>
      </c>
      <c r="J95" s="3" t="s">
        <v>17</v>
      </c>
      <c r="K95" s="2" t="str">
        <f>J95*1304.00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22</v>
      </c>
      <c r="H96" s="2" t="s">
        <v>42</v>
      </c>
      <c r="I96" s="1">
        <v>0</v>
      </c>
      <c r="J96" s="3" t="s">
        <v>17</v>
      </c>
      <c r="K96" s="2" t="str">
        <f>J96*129.00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 t="s">
        <v>22</v>
      </c>
      <c r="H97" s="2" t="s">
        <v>23</v>
      </c>
      <c r="I97" s="1">
        <v>0</v>
      </c>
      <c r="J97" s="3" t="s">
        <v>17</v>
      </c>
      <c r="K97" s="2" t="str">
        <f>J97*216.00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31</v>
      </c>
      <c r="G98" s="2" t="s">
        <v>32</v>
      </c>
      <c r="H98" s="2" t="s">
        <v>33</v>
      </c>
      <c r="I98" s="1">
        <v>0</v>
      </c>
      <c r="J98" s="3" t="s">
        <v>17</v>
      </c>
      <c r="K98" s="2" t="str">
        <f>J98*221.00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32</v>
      </c>
      <c r="H99" s="2" t="s">
        <v>33</v>
      </c>
      <c r="I99" s="1">
        <v>0</v>
      </c>
      <c r="J99" s="3" t="s">
        <v>17</v>
      </c>
      <c r="K99" s="2" t="str">
        <f>J99*281.00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32</v>
      </c>
      <c r="H100" s="2" t="s">
        <v>33</v>
      </c>
      <c r="I100" s="1">
        <v>0</v>
      </c>
      <c r="J100" s="3" t="s">
        <v>17</v>
      </c>
      <c r="K100" s="2" t="str">
        <f>J100*354.00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7</v>
      </c>
      <c r="H101" s="2" t="s">
        <v>23</v>
      </c>
      <c r="I101" s="1">
        <v>0</v>
      </c>
      <c r="J101" s="3" t="s">
        <v>17</v>
      </c>
      <c r="K101" s="2" t="str">
        <f>J101*447.00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22</v>
      </c>
      <c r="H102" s="2" t="s">
        <v>42</v>
      </c>
      <c r="I102" s="1">
        <v>0</v>
      </c>
      <c r="J102" s="3" t="s">
        <v>17</v>
      </c>
      <c r="K102" s="2" t="str">
        <f>J102*526.00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>
        <v>6</v>
      </c>
      <c r="H103" s="2" t="s">
        <v>23</v>
      </c>
      <c r="I103" s="1">
        <v>0</v>
      </c>
      <c r="J103" s="3" t="s">
        <v>17</v>
      </c>
      <c r="K103" s="2" t="str">
        <f>J103*627.00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22</v>
      </c>
      <c r="H104" s="2" t="s">
        <v>23</v>
      </c>
      <c r="I104" s="1">
        <v>0</v>
      </c>
      <c r="J104" s="3" t="s">
        <v>17</v>
      </c>
      <c r="K104" s="2" t="str">
        <f>J104*611.00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22</v>
      </c>
      <c r="H105" s="2" t="s">
        <v>23</v>
      </c>
      <c r="I105" s="1">
        <v>0</v>
      </c>
      <c r="J105" s="3" t="s">
        <v>17</v>
      </c>
      <c r="K105" s="2" t="str">
        <f>J105*867.00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22</v>
      </c>
      <c r="H106" s="2" t="s">
        <v>23</v>
      </c>
      <c r="I106" s="1">
        <v>0</v>
      </c>
      <c r="J106" s="3" t="s">
        <v>17</v>
      </c>
      <c r="K106" s="2" t="str">
        <f>J106*891.00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10</v>
      </c>
      <c r="H107" s="2" t="s">
        <v>23</v>
      </c>
      <c r="I107" s="1">
        <v>0</v>
      </c>
      <c r="J107" s="3" t="s">
        <v>17</v>
      </c>
      <c r="K107" s="2" t="str">
        <f>J107*848.00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22</v>
      </c>
      <c r="H108" s="2" t="s">
        <v>23</v>
      </c>
      <c r="I108" s="1">
        <v>0</v>
      </c>
      <c r="J108" s="3" t="s">
        <v>17</v>
      </c>
      <c r="K108" s="2" t="str">
        <f>J108*429.00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16</v>
      </c>
      <c r="I109" s="1">
        <v>0</v>
      </c>
      <c r="J109" s="3" t="s">
        <v>17</v>
      </c>
      <c r="K109" s="2" t="str">
        <f>J109*372.00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23</v>
      </c>
      <c r="I110" s="1">
        <v>0</v>
      </c>
      <c r="J110" s="3" t="s">
        <v>17</v>
      </c>
      <c r="K110" s="2" t="str">
        <f>J110*446.00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22</v>
      </c>
      <c r="I111" s="1">
        <v>0</v>
      </c>
      <c r="J111" s="3" t="s">
        <v>17</v>
      </c>
      <c r="K111" s="2" t="str">
        <f>J111*579.00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23</v>
      </c>
      <c r="H112" s="2" t="s">
        <v>70</v>
      </c>
      <c r="I112" s="1">
        <v>0</v>
      </c>
      <c r="J112" s="3" t="s">
        <v>17</v>
      </c>
      <c r="K112" s="2" t="str">
        <f>J112*119.00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32</v>
      </c>
      <c r="H113" s="2" t="s">
        <v>33</v>
      </c>
      <c r="I113" s="1">
        <v>0</v>
      </c>
      <c r="J113" s="3" t="s">
        <v>17</v>
      </c>
      <c r="K113" s="2" t="str">
        <f>J113*200.00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16</v>
      </c>
      <c r="H114" s="2" t="s">
        <v>33</v>
      </c>
      <c r="I114" s="1">
        <v>0</v>
      </c>
      <c r="J114" s="3" t="s">
        <v>17</v>
      </c>
      <c r="K114" s="2" t="str">
        <f>J114*295.00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>
        <v>0</v>
      </c>
      <c r="H115" s="2" t="s">
        <v>42</v>
      </c>
      <c r="I115" s="1">
        <v>0</v>
      </c>
      <c r="J115" s="3" t="s">
        <v>17</v>
      </c>
      <c r="K115" s="2" t="str">
        <f>J115*582.00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467</v>
      </c>
      <c r="G116" s="2" t="s">
        <v>22</v>
      </c>
      <c r="H116" s="2" t="s">
        <v>23</v>
      </c>
      <c r="I116" s="1">
        <v>0</v>
      </c>
      <c r="J116" s="3" t="s">
        <v>17</v>
      </c>
      <c r="K116" s="2" t="str">
        <f>J116*849.00</f>
        <v>0</v>
      </c>
      <c r="L116" s="5"/>
    </row>
    <row r="117" spans="1:12" customHeight="1" ht="105" outlineLevel="3">
      <c r="A117" s="1"/>
      <c r="B117" s="1">
        <v>820218</v>
      </c>
      <c r="C117" s="1" t="s">
        <v>468</v>
      </c>
      <c r="D117" s="1" t="s">
        <v>469</v>
      </c>
      <c r="E117" s="2" t="s">
        <v>470</v>
      </c>
      <c r="F117" s="2" t="s">
        <v>471</v>
      </c>
      <c r="G117" s="2">
        <v>5</v>
      </c>
      <c r="H117" s="2" t="s">
        <v>23</v>
      </c>
      <c r="I117" s="1">
        <v>0</v>
      </c>
      <c r="J117" s="3" t="s">
        <v>17</v>
      </c>
      <c r="K117" s="2" t="str">
        <f>J117*1261.00</f>
        <v>0</v>
      </c>
      <c r="L117" s="5"/>
    </row>
    <row r="118" spans="1:12" customHeight="1" ht="105" outlineLevel="3">
      <c r="A118" s="1"/>
      <c r="B118" s="1">
        <v>820219</v>
      </c>
      <c r="C118" s="1" t="s">
        <v>472</v>
      </c>
      <c r="D118" s="1" t="s">
        <v>473</v>
      </c>
      <c r="E118" s="2" t="s">
        <v>474</v>
      </c>
      <c r="F118" s="2" t="s">
        <v>475</v>
      </c>
      <c r="G118" s="2" t="s">
        <v>22</v>
      </c>
      <c r="H118" s="2" t="s">
        <v>42</v>
      </c>
      <c r="I118" s="1">
        <v>0</v>
      </c>
      <c r="J118" s="3" t="s">
        <v>17</v>
      </c>
      <c r="K118" s="2" t="str">
        <f>J118*310.00</f>
        <v>0</v>
      </c>
      <c r="L118" s="5"/>
    </row>
    <row r="119" spans="1:12" customHeight="1" ht="105" outlineLevel="3">
      <c r="A119" s="1"/>
      <c r="B119" s="1">
        <v>820220</v>
      </c>
      <c r="C119" s="1" t="s">
        <v>476</v>
      </c>
      <c r="D119" s="1" t="s">
        <v>477</v>
      </c>
      <c r="E119" s="2" t="s">
        <v>478</v>
      </c>
      <c r="F119" s="2" t="s">
        <v>479</v>
      </c>
      <c r="G119" s="2" t="s">
        <v>22</v>
      </c>
      <c r="H119" s="2" t="s">
        <v>42</v>
      </c>
      <c r="I119" s="1">
        <v>0</v>
      </c>
      <c r="J119" s="3" t="s">
        <v>17</v>
      </c>
      <c r="K119" s="2" t="str">
        <f>J119*571.00</f>
        <v>0</v>
      </c>
      <c r="L119" s="5"/>
    </row>
    <row r="120" spans="1:12" customHeight="1" ht="105" outlineLevel="3">
      <c r="A120" s="1"/>
      <c r="B120" s="1">
        <v>820221</v>
      </c>
      <c r="C120" s="1" t="s">
        <v>480</v>
      </c>
      <c r="D120" s="1" t="s">
        <v>481</v>
      </c>
      <c r="E120" s="2" t="s">
        <v>482</v>
      </c>
      <c r="F120" s="2" t="s">
        <v>483</v>
      </c>
      <c r="G120" s="2" t="s">
        <v>16</v>
      </c>
      <c r="H120" s="2" t="s">
        <v>33</v>
      </c>
      <c r="I120" s="1">
        <v>0</v>
      </c>
      <c r="J120" s="3" t="s">
        <v>17</v>
      </c>
      <c r="K120" s="2" t="str">
        <f>J120*826.00</f>
        <v>0</v>
      </c>
      <c r="L120" s="5"/>
    </row>
    <row r="121" spans="1:12" customHeight="1" ht="105" outlineLevel="3">
      <c r="A121" s="1"/>
      <c r="B121" s="1">
        <v>820222</v>
      </c>
      <c r="C121" s="1" t="s">
        <v>484</v>
      </c>
      <c r="D121" s="1" t="s">
        <v>485</v>
      </c>
      <c r="E121" s="2" t="s">
        <v>486</v>
      </c>
      <c r="F121" s="2" t="s">
        <v>487</v>
      </c>
      <c r="G121" s="2">
        <v>8</v>
      </c>
      <c r="H121" s="2" t="s">
        <v>23</v>
      </c>
      <c r="I121" s="1">
        <v>0</v>
      </c>
      <c r="J121" s="3" t="s">
        <v>17</v>
      </c>
      <c r="K121" s="2" t="str">
        <f>J121*1518.00</f>
        <v>0</v>
      </c>
      <c r="L121" s="5"/>
    </row>
    <row r="122" spans="1:12" customHeight="1" ht="105" outlineLevel="3">
      <c r="A122" s="1"/>
      <c r="B122" s="1">
        <v>820223</v>
      </c>
      <c r="C122" s="1" t="s">
        <v>488</v>
      </c>
      <c r="D122" s="1" t="s">
        <v>489</v>
      </c>
      <c r="E122" s="2" t="s">
        <v>490</v>
      </c>
      <c r="F122" s="2" t="s">
        <v>491</v>
      </c>
      <c r="G122" s="2">
        <v>5</v>
      </c>
      <c r="H122" s="2" t="s">
        <v>23</v>
      </c>
      <c r="I122" s="1">
        <v>0</v>
      </c>
      <c r="J122" s="3" t="s">
        <v>17</v>
      </c>
      <c r="K122" s="2" t="str">
        <f>J122*1954.00</f>
        <v>0</v>
      </c>
      <c r="L122" s="5"/>
    </row>
    <row r="123" spans="1:12" customHeight="1" ht="105" outlineLevel="3">
      <c r="A123" s="1"/>
      <c r="B123" s="1">
        <v>820224</v>
      </c>
      <c r="C123" s="1" t="s">
        <v>492</v>
      </c>
      <c r="D123" s="1" t="s">
        <v>493</v>
      </c>
      <c r="E123" s="2" t="s">
        <v>494</v>
      </c>
      <c r="F123" s="2" t="s">
        <v>495</v>
      </c>
      <c r="G123" s="2" t="s">
        <v>16</v>
      </c>
      <c r="H123" s="2" t="s">
        <v>23</v>
      </c>
      <c r="I123" s="1">
        <v>0</v>
      </c>
      <c r="J123" s="3" t="s">
        <v>17</v>
      </c>
      <c r="K123" s="2" t="str">
        <f>J123*362.00</f>
        <v>0</v>
      </c>
      <c r="L123" s="5"/>
    </row>
    <row r="124" spans="1:12" customHeight="1" ht="105" outlineLevel="3">
      <c r="A124" s="1"/>
      <c r="B124" s="1">
        <v>820225</v>
      </c>
      <c r="C124" s="1" t="s">
        <v>496</v>
      </c>
      <c r="D124" s="1" t="s">
        <v>497</v>
      </c>
      <c r="E124" s="2" t="s">
        <v>498</v>
      </c>
      <c r="F124" s="2" t="s">
        <v>499</v>
      </c>
      <c r="G124" s="2">
        <v>9</v>
      </c>
      <c r="H124" s="2" t="s">
        <v>23</v>
      </c>
      <c r="I124" s="1">
        <v>0</v>
      </c>
      <c r="J124" s="3" t="s">
        <v>17</v>
      </c>
      <c r="K124" s="2" t="str">
        <f>J124*652.00</f>
        <v>0</v>
      </c>
      <c r="L124" s="5"/>
    </row>
    <row r="125" spans="1:12" customHeight="1" ht="105" outlineLevel="3">
      <c r="A125" s="1"/>
      <c r="B125" s="1">
        <v>820226</v>
      </c>
      <c r="C125" s="1" t="s">
        <v>500</v>
      </c>
      <c r="D125" s="1" t="s">
        <v>501</v>
      </c>
      <c r="E125" s="2" t="s">
        <v>502</v>
      </c>
      <c r="F125" s="2" t="s">
        <v>503</v>
      </c>
      <c r="G125" s="2">
        <v>10</v>
      </c>
      <c r="H125" s="2" t="s">
        <v>23</v>
      </c>
      <c r="I125" s="1">
        <v>0</v>
      </c>
      <c r="J125" s="3" t="s">
        <v>17</v>
      </c>
      <c r="K125" s="2" t="str">
        <f>J125*892.00</f>
        <v>0</v>
      </c>
      <c r="L125" s="5"/>
    </row>
    <row r="126" spans="1:12" customHeight="1" ht="105" outlineLevel="3">
      <c r="A126" s="1"/>
      <c r="B126" s="1">
        <v>820227</v>
      </c>
      <c r="C126" s="1" t="s">
        <v>504</v>
      </c>
      <c r="D126" s="1" t="s">
        <v>505</v>
      </c>
      <c r="E126" s="2" t="s">
        <v>506</v>
      </c>
      <c r="F126" s="2" t="s">
        <v>106</v>
      </c>
      <c r="G126" s="2" t="s">
        <v>23</v>
      </c>
      <c r="H126" s="2" t="s">
        <v>70</v>
      </c>
      <c r="I126" s="1">
        <v>0</v>
      </c>
      <c r="J126" s="3" t="s">
        <v>17</v>
      </c>
      <c r="K126" s="2" t="str">
        <f>J126*253.00</f>
        <v>0</v>
      </c>
      <c r="L126" s="5"/>
    </row>
    <row r="127" spans="1:12" customHeight="1" ht="105" outlineLevel="3">
      <c r="A127" s="1"/>
      <c r="B127" s="1">
        <v>820228</v>
      </c>
      <c r="C127" s="1" t="s">
        <v>507</v>
      </c>
      <c r="D127" s="1" t="s">
        <v>508</v>
      </c>
      <c r="E127" s="2" t="s">
        <v>509</v>
      </c>
      <c r="F127" s="2" t="s">
        <v>510</v>
      </c>
      <c r="G127" s="2" t="s">
        <v>23</v>
      </c>
      <c r="H127" s="2" t="s">
        <v>70</v>
      </c>
      <c r="I127" s="1">
        <v>0</v>
      </c>
      <c r="J127" s="3" t="s">
        <v>17</v>
      </c>
      <c r="K127" s="2" t="str">
        <f>J127*416.00</f>
        <v>0</v>
      </c>
      <c r="L127" s="5"/>
    </row>
    <row r="128" spans="1:12" customHeight="1" ht="105" outlineLevel="3">
      <c r="A128" s="1"/>
      <c r="B128" s="1">
        <v>820229</v>
      </c>
      <c r="C128" s="1" t="s">
        <v>511</v>
      </c>
      <c r="D128" s="1" t="s">
        <v>512</v>
      </c>
      <c r="E128" s="2" t="s">
        <v>513</v>
      </c>
      <c r="F128" s="2" t="s">
        <v>514</v>
      </c>
      <c r="G128" s="2" t="s">
        <v>23</v>
      </c>
      <c r="H128" s="2" t="s">
        <v>70</v>
      </c>
      <c r="I128" s="1">
        <v>0</v>
      </c>
      <c r="J128" s="3" t="s">
        <v>17</v>
      </c>
      <c r="K128" s="2" t="str">
        <f>J128*812.00</f>
        <v>0</v>
      </c>
      <c r="L128" s="5"/>
    </row>
    <row r="129" spans="1:12" customHeight="1" ht="105" outlineLevel="3">
      <c r="A129" s="1"/>
      <c r="B129" s="1">
        <v>820230</v>
      </c>
      <c r="C129" s="1" t="s">
        <v>515</v>
      </c>
      <c r="D129" s="1" t="s">
        <v>516</v>
      </c>
      <c r="E129" s="2" t="s">
        <v>517</v>
      </c>
      <c r="F129" s="2" t="s">
        <v>234</v>
      </c>
      <c r="G129" s="2" t="s">
        <v>22</v>
      </c>
      <c r="H129" s="2" t="s">
        <v>33</v>
      </c>
      <c r="I129" s="1">
        <v>0</v>
      </c>
      <c r="J129" s="3" t="s">
        <v>17</v>
      </c>
      <c r="K129" s="2" t="str">
        <f>J129*1253.00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 t="s">
        <v>22</v>
      </c>
      <c r="H130" s="2" t="s">
        <v>42</v>
      </c>
      <c r="I130" s="1">
        <v>0</v>
      </c>
      <c r="J130" s="3" t="s">
        <v>17</v>
      </c>
      <c r="K130" s="2" t="str">
        <f>J130*1788.00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>
        <v>5</v>
      </c>
      <c r="H131" s="2" t="s">
        <v>42</v>
      </c>
      <c r="I131" s="1">
        <v>0</v>
      </c>
      <c r="J131" s="3" t="s">
        <v>17</v>
      </c>
      <c r="K131" s="2" t="str">
        <f>J131*3907.00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10</v>
      </c>
      <c r="H132" s="2" t="s">
        <v>23</v>
      </c>
      <c r="I132" s="1">
        <v>0</v>
      </c>
      <c r="J132" s="3" t="s">
        <v>17</v>
      </c>
      <c r="K132" s="2" t="str">
        <f>J132*98.00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533</v>
      </c>
      <c r="G133" s="2">
        <v>1</v>
      </c>
      <c r="H133" s="2" t="s">
        <v>23</v>
      </c>
      <c r="I133" s="1">
        <v>0</v>
      </c>
      <c r="J133" s="3" t="s">
        <v>17</v>
      </c>
      <c r="K133" s="2" t="str">
        <f>J133*118.00</f>
        <v>0</v>
      </c>
      <c r="L133" s="5"/>
    </row>
    <row r="134" spans="1:12" customHeight="1" ht="105" outlineLevel="3">
      <c r="A134" s="1"/>
      <c r="B134" s="1">
        <v>820236</v>
      </c>
      <c r="C134" s="1" t="s">
        <v>534</v>
      </c>
      <c r="D134" s="1" t="s">
        <v>535</v>
      </c>
      <c r="E134" s="2" t="s">
        <v>536</v>
      </c>
      <c r="F134" s="2" t="s">
        <v>537</v>
      </c>
      <c r="G134" s="2">
        <v>1</v>
      </c>
      <c r="H134" s="2" t="s">
        <v>23</v>
      </c>
      <c r="I134" s="1">
        <v>0</v>
      </c>
      <c r="J134" s="3" t="s">
        <v>17</v>
      </c>
      <c r="K134" s="2" t="str">
        <f>J134*190.00</f>
        <v>0</v>
      </c>
      <c r="L134" s="5"/>
    </row>
    <row r="135" spans="1:12" customHeight="1" ht="105" outlineLevel="3">
      <c r="A135" s="1"/>
      <c r="B135" s="1">
        <v>820237</v>
      </c>
      <c r="C135" s="1" t="s">
        <v>538</v>
      </c>
      <c r="D135" s="1" t="s">
        <v>539</v>
      </c>
      <c r="E135" s="2" t="s">
        <v>540</v>
      </c>
      <c r="F135" s="2" t="s">
        <v>541</v>
      </c>
      <c r="G135" s="2">
        <v>7</v>
      </c>
      <c r="H135" s="2">
        <v>0</v>
      </c>
      <c r="I135" s="1">
        <v>0</v>
      </c>
      <c r="J135" s="3" t="s">
        <v>17</v>
      </c>
      <c r="K135" s="2" t="str">
        <f>J135*297.00</f>
        <v>0</v>
      </c>
      <c r="L135" s="5"/>
    </row>
    <row r="136" spans="1:12" customHeight="1" ht="105" outlineLevel="3">
      <c r="A136" s="1"/>
      <c r="B136" s="1">
        <v>820238</v>
      </c>
      <c r="C136" s="1" t="s">
        <v>542</v>
      </c>
      <c r="D136" s="1" t="s">
        <v>543</v>
      </c>
      <c r="E136" s="2" t="s">
        <v>544</v>
      </c>
      <c r="F136" s="2" t="s">
        <v>545</v>
      </c>
      <c r="G136" s="2">
        <v>7</v>
      </c>
      <c r="H136" s="2" t="s">
        <v>23</v>
      </c>
      <c r="I136" s="1">
        <v>0</v>
      </c>
      <c r="J136" s="3" t="s">
        <v>17</v>
      </c>
      <c r="K136" s="2" t="str">
        <f>J136*333.00</f>
        <v>0</v>
      </c>
      <c r="L136" s="5"/>
    </row>
    <row r="137" spans="1:12" customHeight="1" ht="105" outlineLevel="3">
      <c r="A137" s="1"/>
      <c r="B137" s="1">
        <v>820239</v>
      </c>
      <c r="C137" s="1" t="s">
        <v>546</v>
      </c>
      <c r="D137" s="1" t="s">
        <v>547</v>
      </c>
      <c r="E137" s="2" t="s">
        <v>548</v>
      </c>
      <c r="F137" s="2" t="s">
        <v>549</v>
      </c>
      <c r="G137" s="2" t="s">
        <v>22</v>
      </c>
      <c r="H137" s="2" t="s">
        <v>32</v>
      </c>
      <c r="I137" s="1">
        <v>0</v>
      </c>
      <c r="J137" s="3" t="s">
        <v>17</v>
      </c>
      <c r="K137" s="2" t="str">
        <f>J137*540.00</f>
        <v>0</v>
      </c>
      <c r="L137" s="5"/>
    </row>
    <row r="138" spans="1:12" customHeight="1" ht="105" outlineLevel="3">
      <c r="A138" s="1"/>
      <c r="B138" s="1">
        <v>820240</v>
      </c>
      <c r="C138" s="1" t="s">
        <v>550</v>
      </c>
      <c r="D138" s="1" t="s">
        <v>551</v>
      </c>
      <c r="E138" s="2" t="s">
        <v>552</v>
      </c>
      <c r="F138" s="2" t="s">
        <v>553</v>
      </c>
      <c r="G138" s="2" t="s">
        <v>16</v>
      </c>
      <c r="H138" s="2" t="s">
        <v>33</v>
      </c>
      <c r="I138" s="1">
        <v>0</v>
      </c>
      <c r="J138" s="3" t="s">
        <v>17</v>
      </c>
      <c r="K138" s="2" t="str">
        <f>J138*156.00</f>
        <v>0</v>
      </c>
      <c r="L138" s="5"/>
    </row>
    <row r="139" spans="1:12" customHeight="1" ht="105" outlineLevel="3">
      <c r="A139" s="1"/>
      <c r="B139" s="1">
        <v>820241</v>
      </c>
      <c r="C139" s="1" t="s">
        <v>554</v>
      </c>
      <c r="D139" s="1" t="s">
        <v>555</v>
      </c>
      <c r="E139" s="2" t="s">
        <v>556</v>
      </c>
      <c r="F139" s="2" t="s">
        <v>557</v>
      </c>
      <c r="G139" s="2" t="s">
        <v>32</v>
      </c>
      <c r="H139" s="2" t="s">
        <v>23</v>
      </c>
      <c r="I139" s="1">
        <v>0</v>
      </c>
      <c r="J139" s="3" t="s">
        <v>17</v>
      </c>
      <c r="K139" s="2" t="str">
        <f>J139*54.00</f>
        <v>0</v>
      </c>
      <c r="L139" s="5"/>
    </row>
    <row r="140" spans="1:12" customHeight="1" ht="105" outlineLevel="3">
      <c r="A140" s="1"/>
      <c r="B140" s="1">
        <v>820242</v>
      </c>
      <c r="C140" s="1" t="s">
        <v>558</v>
      </c>
      <c r="D140" s="1" t="s">
        <v>559</v>
      </c>
      <c r="E140" s="2" t="s">
        <v>560</v>
      </c>
      <c r="F140" s="2" t="s">
        <v>561</v>
      </c>
      <c r="G140" s="2" t="s">
        <v>32</v>
      </c>
      <c r="H140" s="2" t="s">
        <v>33</v>
      </c>
      <c r="I140" s="1">
        <v>0</v>
      </c>
      <c r="J140" s="3" t="s">
        <v>17</v>
      </c>
      <c r="K140" s="2" t="str">
        <f>J140*71.00</f>
        <v>0</v>
      </c>
      <c r="L140" s="5"/>
    </row>
    <row r="141" spans="1:12" customHeight="1" ht="105" outlineLevel="3">
      <c r="A141" s="1"/>
      <c r="B141" s="1">
        <v>820243</v>
      </c>
      <c r="C141" s="1" t="s">
        <v>562</v>
      </c>
      <c r="D141" s="1" t="s">
        <v>563</v>
      </c>
      <c r="E141" s="2" t="s">
        <v>564</v>
      </c>
      <c r="F141" s="2" t="s">
        <v>565</v>
      </c>
      <c r="G141" s="2" t="s">
        <v>32</v>
      </c>
      <c r="H141" s="2" t="s">
        <v>33</v>
      </c>
      <c r="I141" s="1">
        <v>0</v>
      </c>
      <c r="J141" s="3" t="s">
        <v>17</v>
      </c>
      <c r="K141" s="2" t="str">
        <f>J141*81.00</f>
        <v>0</v>
      </c>
      <c r="L141" s="5"/>
    </row>
    <row r="142" spans="1:12" customHeight="1" ht="105" outlineLevel="3">
      <c r="A142" s="1"/>
      <c r="B142" s="1">
        <v>820244</v>
      </c>
      <c r="C142" s="1" t="s">
        <v>566</v>
      </c>
      <c r="D142" s="1" t="s">
        <v>567</v>
      </c>
      <c r="E142" s="2" t="s">
        <v>568</v>
      </c>
      <c r="F142" s="2" t="s">
        <v>569</v>
      </c>
      <c r="G142" s="2" t="s">
        <v>23</v>
      </c>
      <c r="H142" s="2" t="s">
        <v>70</v>
      </c>
      <c r="I142" s="1">
        <v>0</v>
      </c>
      <c r="J142" s="3" t="s">
        <v>17</v>
      </c>
      <c r="K142" s="2" t="str">
        <f>J142*117.00</f>
        <v>0</v>
      </c>
      <c r="L142" s="5"/>
    </row>
    <row r="143" spans="1:12" customHeight="1" ht="105" outlineLevel="3">
      <c r="A143" s="1"/>
      <c r="B143" s="1">
        <v>820245</v>
      </c>
      <c r="C143" s="1" t="s">
        <v>570</v>
      </c>
      <c r="D143" s="1" t="s">
        <v>571</v>
      </c>
      <c r="E143" s="2" t="s">
        <v>572</v>
      </c>
      <c r="F143" s="2" t="s">
        <v>573</v>
      </c>
      <c r="G143" s="2" t="s">
        <v>23</v>
      </c>
      <c r="H143" s="2" t="s">
        <v>33</v>
      </c>
      <c r="I143" s="1">
        <v>0</v>
      </c>
      <c r="J143" s="3" t="s">
        <v>17</v>
      </c>
      <c r="K143" s="2" t="str">
        <f>J143*241.00</f>
        <v>0</v>
      </c>
      <c r="L143" s="5"/>
    </row>
    <row r="144" spans="1:12" customHeight="1" ht="105" outlineLevel="3">
      <c r="A144" s="1"/>
      <c r="B144" s="1">
        <v>820246</v>
      </c>
      <c r="C144" s="1" t="s">
        <v>574</v>
      </c>
      <c r="D144" s="1" t="s">
        <v>575</v>
      </c>
      <c r="E144" s="2" t="s">
        <v>576</v>
      </c>
      <c r="F144" s="2" t="s">
        <v>577</v>
      </c>
      <c r="G144" s="2" t="s">
        <v>23</v>
      </c>
      <c r="H144" s="2" t="s">
        <v>33</v>
      </c>
      <c r="I144" s="1">
        <v>0</v>
      </c>
      <c r="J144" s="3" t="s">
        <v>17</v>
      </c>
      <c r="K144" s="2" t="str">
        <f>J144*237.00</f>
        <v>0</v>
      </c>
      <c r="L144" s="5"/>
    </row>
    <row r="145" spans="1:12" customHeight="1" ht="105" outlineLevel="3">
      <c r="A145" s="1"/>
      <c r="B145" s="1">
        <v>820247</v>
      </c>
      <c r="C145" s="1" t="s">
        <v>578</v>
      </c>
      <c r="D145" s="1" t="s">
        <v>579</v>
      </c>
      <c r="E145" s="2" t="s">
        <v>580</v>
      </c>
      <c r="F145" s="2" t="s">
        <v>581</v>
      </c>
      <c r="G145" s="2">
        <v>7</v>
      </c>
      <c r="H145" s="2" t="s">
        <v>23</v>
      </c>
      <c r="I145" s="1">
        <v>0</v>
      </c>
      <c r="J145" s="3" t="s">
        <v>17</v>
      </c>
      <c r="K145" s="2" t="str">
        <f>J145*399.00</f>
        <v>0</v>
      </c>
      <c r="L145" s="5"/>
    </row>
    <row r="146" spans="1:12" customHeight="1" ht="105" outlineLevel="3">
      <c r="A146" s="1"/>
      <c r="B146" s="1">
        <v>820248</v>
      </c>
      <c r="C146" s="1" t="s">
        <v>582</v>
      </c>
      <c r="D146" s="1" t="s">
        <v>583</v>
      </c>
      <c r="E146" s="2" t="s">
        <v>584</v>
      </c>
      <c r="F146" s="2" t="s">
        <v>585</v>
      </c>
      <c r="G146" s="2" t="s">
        <v>22</v>
      </c>
      <c r="H146" s="2" t="s">
        <v>42</v>
      </c>
      <c r="I146" s="1">
        <v>0</v>
      </c>
      <c r="J146" s="3" t="s">
        <v>17</v>
      </c>
      <c r="K146" s="2" t="str">
        <f>J146*439.00</f>
        <v>0</v>
      </c>
      <c r="L146" s="5"/>
    </row>
    <row r="147" spans="1:12" customHeight="1" ht="105" outlineLevel="3">
      <c r="A147" s="1"/>
      <c r="B147" s="1">
        <v>820249</v>
      </c>
      <c r="C147" s="1" t="s">
        <v>586</v>
      </c>
      <c r="D147" s="1" t="s">
        <v>587</v>
      </c>
      <c r="E147" s="2" t="s">
        <v>588</v>
      </c>
      <c r="F147" s="2" t="s">
        <v>302</v>
      </c>
      <c r="G147" s="2" t="s">
        <v>22</v>
      </c>
      <c r="H147" s="2" t="s">
        <v>23</v>
      </c>
      <c r="I147" s="1">
        <v>0</v>
      </c>
      <c r="J147" s="3" t="s">
        <v>17</v>
      </c>
      <c r="K147" s="2" t="str">
        <f>J147*401.00</f>
        <v>0</v>
      </c>
      <c r="L147" s="5"/>
    </row>
    <row r="148" spans="1:12" customHeight="1" ht="105" outlineLevel="3">
      <c r="A148" s="1"/>
      <c r="B148" s="1">
        <v>820250</v>
      </c>
      <c r="C148" s="1" t="s">
        <v>589</v>
      </c>
      <c r="D148" s="1" t="s">
        <v>590</v>
      </c>
      <c r="E148" s="2" t="s">
        <v>591</v>
      </c>
      <c r="F148" s="2" t="s">
        <v>592</v>
      </c>
      <c r="G148" s="2" t="s">
        <v>16</v>
      </c>
      <c r="H148" s="2" t="s">
        <v>23</v>
      </c>
      <c r="I148" s="1">
        <v>0</v>
      </c>
      <c r="J148" s="3" t="s">
        <v>17</v>
      </c>
      <c r="K148" s="2" t="str">
        <f>J148*489.00</f>
        <v>0</v>
      </c>
      <c r="L148" s="5"/>
    </row>
    <row r="149" spans="1:12" customHeight="1" ht="105" outlineLevel="3">
      <c r="A149" s="1"/>
      <c r="B149" s="1">
        <v>820251</v>
      </c>
      <c r="C149" s="1" t="s">
        <v>593</v>
      </c>
      <c r="D149" s="1" t="s">
        <v>594</v>
      </c>
      <c r="E149" s="2" t="s">
        <v>595</v>
      </c>
      <c r="F149" s="2" t="s">
        <v>596</v>
      </c>
      <c r="G149" s="2" t="s">
        <v>16</v>
      </c>
      <c r="H149" s="2" t="s">
        <v>23</v>
      </c>
      <c r="I149" s="1">
        <v>0</v>
      </c>
      <c r="J149" s="3" t="s">
        <v>17</v>
      </c>
      <c r="K149" s="2" t="str">
        <f>J149*510.00</f>
        <v>0</v>
      </c>
      <c r="L149" s="5"/>
    </row>
    <row r="150" spans="1:12" customHeight="1" ht="105" outlineLevel="3">
      <c r="A150" s="1"/>
      <c r="B150" s="1">
        <v>820252</v>
      </c>
      <c r="C150" s="1" t="s">
        <v>597</v>
      </c>
      <c r="D150" s="1" t="s">
        <v>598</v>
      </c>
      <c r="E150" s="2" t="s">
        <v>599</v>
      </c>
      <c r="F150" s="2" t="s">
        <v>600</v>
      </c>
      <c r="G150" s="2" t="s">
        <v>22</v>
      </c>
      <c r="H150" s="2" t="s">
        <v>23</v>
      </c>
      <c r="I150" s="1">
        <v>0</v>
      </c>
      <c r="J150" s="3" t="s">
        <v>17</v>
      </c>
      <c r="K150" s="2" t="str">
        <f>J150*547.00</f>
        <v>0</v>
      </c>
      <c r="L150" s="5"/>
    </row>
    <row r="151" spans="1:12" customHeight="1" ht="105" outlineLevel="3">
      <c r="A151" s="1"/>
      <c r="B151" s="1">
        <v>820253</v>
      </c>
      <c r="C151" s="1" t="s">
        <v>601</v>
      </c>
      <c r="D151" s="1" t="s">
        <v>602</v>
      </c>
      <c r="E151" s="2" t="s">
        <v>603</v>
      </c>
      <c r="F151" s="2" t="s">
        <v>604</v>
      </c>
      <c r="G151" s="2" t="s">
        <v>22</v>
      </c>
      <c r="H151" s="2" t="s">
        <v>23</v>
      </c>
      <c r="I151" s="1">
        <v>0</v>
      </c>
      <c r="J151" s="3" t="s">
        <v>17</v>
      </c>
      <c r="K151" s="2" t="str">
        <f>J151*493.00</f>
        <v>0</v>
      </c>
      <c r="L151" s="5"/>
    </row>
    <row r="152" spans="1:12" customHeight="1" ht="105" outlineLevel="3">
      <c r="A152" s="1"/>
      <c r="B152" s="1">
        <v>820254</v>
      </c>
      <c r="C152" s="1" t="s">
        <v>605</v>
      </c>
      <c r="D152" s="1" t="s">
        <v>606</v>
      </c>
      <c r="E152" s="2" t="s">
        <v>607</v>
      </c>
      <c r="F152" s="2" t="s">
        <v>608</v>
      </c>
      <c r="G152" s="2">
        <v>8</v>
      </c>
      <c r="H152" s="2" t="s">
        <v>23</v>
      </c>
      <c r="I152" s="1">
        <v>0</v>
      </c>
      <c r="J152" s="3" t="s">
        <v>17</v>
      </c>
      <c r="K152" s="2" t="str">
        <f>J152*840.00</f>
        <v>0</v>
      </c>
      <c r="L152" s="5"/>
    </row>
    <row r="153" spans="1:12" customHeight="1" ht="105" outlineLevel="3">
      <c r="A153" s="1"/>
      <c r="B153" s="1">
        <v>820255</v>
      </c>
      <c r="C153" s="1" t="s">
        <v>609</v>
      </c>
      <c r="D153" s="1" t="s">
        <v>610</v>
      </c>
      <c r="E153" s="2" t="s">
        <v>611</v>
      </c>
      <c r="F153" s="2" t="s">
        <v>345</v>
      </c>
      <c r="G153" s="2">
        <v>5</v>
      </c>
      <c r="H153" s="2" t="s">
        <v>23</v>
      </c>
      <c r="I153" s="1">
        <v>0</v>
      </c>
      <c r="J153" s="3" t="s">
        <v>17</v>
      </c>
      <c r="K153" s="2" t="str">
        <f>J153*805.00</f>
        <v>0</v>
      </c>
      <c r="L153" s="5"/>
    </row>
    <row r="154" spans="1:12" customHeight="1" ht="105" outlineLevel="3">
      <c r="A154" s="1"/>
      <c r="B154" s="1">
        <v>820256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 t="s">
        <v>22</v>
      </c>
      <c r="H154" s="2" t="s">
        <v>23</v>
      </c>
      <c r="I154" s="1">
        <v>0</v>
      </c>
      <c r="J154" s="3" t="s">
        <v>17</v>
      </c>
      <c r="K154" s="2" t="str">
        <f>J154*763.00</f>
        <v>0</v>
      </c>
      <c r="L154" s="5"/>
    </row>
    <row r="155" spans="1:12" customHeight="1" ht="105" outlineLevel="3">
      <c r="A155" s="1"/>
      <c r="B155" s="1">
        <v>820257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22</v>
      </c>
      <c r="H155" s="2" t="s">
        <v>16</v>
      </c>
      <c r="I155" s="1">
        <v>0</v>
      </c>
      <c r="J155" s="3" t="s">
        <v>17</v>
      </c>
      <c r="K155" s="2" t="str">
        <f>J155*788.00</f>
        <v>0</v>
      </c>
      <c r="L155" s="5"/>
    </row>
    <row r="156" spans="1:12" customHeight="1" ht="105" outlineLevel="3">
      <c r="A156" s="1"/>
      <c r="B156" s="1">
        <v>820258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>
        <v>5</v>
      </c>
      <c r="H156" s="2" t="s">
        <v>23</v>
      </c>
      <c r="I156" s="1">
        <v>0</v>
      </c>
      <c r="J156" s="3" t="s">
        <v>17</v>
      </c>
      <c r="K156" s="2" t="str">
        <f>J156*819.00</f>
        <v>0</v>
      </c>
      <c r="L156" s="5"/>
    </row>
    <row r="157" spans="1:12" customHeight="1" ht="105" outlineLevel="3">
      <c r="A157" s="1"/>
      <c r="B157" s="1">
        <v>820259</v>
      </c>
      <c r="C157" s="1" t="s">
        <v>624</v>
      </c>
      <c r="D157" s="1" t="s">
        <v>625</v>
      </c>
      <c r="E157" s="2" t="s">
        <v>626</v>
      </c>
      <c r="F157" s="2" t="s">
        <v>627</v>
      </c>
      <c r="G157" s="2" t="s">
        <v>16</v>
      </c>
      <c r="H157" s="2" t="s">
        <v>33</v>
      </c>
      <c r="I157" s="1">
        <v>0</v>
      </c>
      <c r="J157" s="3" t="s">
        <v>17</v>
      </c>
      <c r="K157" s="2" t="str">
        <f>J157*29.00</f>
        <v>0</v>
      </c>
      <c r="L157" s="5"/>
    </row>
    <row r="158" spans="1:12" customHeight="1" ht="105" outlineLevel="3">
      <c r="A158" s="1"/>
      <c r="B158" s="1">
        <v>820260</v>
      </c>
      <c r="C158" s="1" t="s">
        <v>628</v>
      </c>
      <c r="D158" s="1" t="s">
        <v>629</v>
      </c>
      <c r="E158" s="2" t="s">
        <v>630</v>
      </c>
      <c r="F158" s="2" t="s">
        <v>631</v>
      </c>
      <c r="G158" s="2" t="s">
        <v>32</v>
      </c>
      <c r="H158" s="2" t="s">
        <v>70</v>
      </c>
      <c r="I158" s="1">
        <v>0</v>
      </c>
      <c r="J158" s="3" t="s">
        <v>17</v>
      </c>
      <c r="K158" s="2" t="str">
        <f>J158*76.00</f>
        <v>0</v>
      </c>
      <c r="L158" s="5"/>
    </row>
    <row r="159" spans="1:12" customHeight="1" ht="105" outlineLevel="3">
      <c r="A159" s="1"/>
      <c r="B159" s="1">
        <v>820261</v>
      </c>
      <c r="C159" s="1" t="s">
        <v>632</v>
      </c>
      <c r="D159" s="1" t="s">
        <v>633</v>
      </c>
      <c r="E159" s="2" t="s">
        <v>634</v>
      </c>
      <c r="F159" s="2" t="s">
        <v>557</v>
      </c>
      <c r="G159" s="2" t="s">
        <v>23</v>
      </c>
      <c r="H159" s="2" t="s">
        <v>70</v>
      </c>
      <c r="I159" s="1">
        <v>0</v>
      </c>
      <c r="J159" s="3" t="s">
        <v>17</v>
      </c>
      <c r="K159" s="2" t="str">
        <f>J159*54.00</f>
        <v>0</v>
      </c>
      <c r="L159" s="5"/>
    </row>
    <row r="160" spans="1:12" customHeight="1" ht="105" outlineLevel="3">
      <c r="A160" s="1"/>
      <c r="B160" s="1">
        <v>820262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23</v>
      </c>
      <c r="H160" s="2" t="s">
        <v>70</v>
      </c>
      <c r="I160" s="1">
        <v>0</v>
      </c>
      <c r="J160" s="3" t="s">
        <v>17</v>
      </c>
      <c r="K160" s="2" t="str">
        <f>J160*95.00</f>
        <v>0</v>
      </c>
      <c r="L160" s="5"/>
    </row>
    <row r="161" spans="1:12" customHeight="1" ht="105" outlineLevel="3">
      <c r="A161" s="1"/>
      <c r="B161" s="1">
        <v>820263</v>
      </c>
      <c r="C161" s="1" t="s">
        <v>639</v>
      </c>
      <c r="D161" s="1" t="s">
        <v>640</v>
      </c>
      <c r="E161" s="2" t="s">
        <v>641</v>
      </c>
      <c r="F161" s="2" t="s">
        <v>642</v>
      </c>
      <c r="G161" s="2" t="s">
        <v>23</v>
      </c>
      <c r="H161" s="2" t="s">
        <v>33</v>
      </c>
      <c r="I161" s="1">
        <v>0</v>
      </c>
      <c r="J161" s="3" t="s">
        <v>17</v>
      </c>
      <c r="K161" s="2" t="str">
        <f>J161*249.00</f>
        <v>0</v>
      </c>
      <c r="L161" s="5"/>
    </row>
    <row r="162" spans="1:12" customHeight="1" ht="105" outlineLevel="3">
      <c r="A162" s="1"/>
      <c r="B162" s="1">
        <v>820264</v>
      </c>
      <c r="C162" s="1" t="s">
        <v>643</v>
      </c>
      <c r="D162" s="1" t="s">
        <v>644</v>
      </c>
      <c r="E162" s="2" t="s">
        <v>645</v>
      </c>
      <c r="F162" s="2" t="s">
        <v>553</v>
      </c>
      <c r="G162" s="2" t="s">
        <v>23</v>
      </c>
      <c r="H162" s="2" t="s">
        <v>70</v>
      </c>
      <c r="I162" s="1">
        <v>0</v>
      </c>
      <c r="J162" s="3" t="s">
        <v>17</v>
      </c>
      <c r="K162" s="2" t="str">
        <f>J162*156.00</f>
        <v>0</v>
      </c>
      <c r="L162" s="5"/>
    </row>
    <row r="163" spans="1:12" customHeight="1" ht="105" outlineLevel="3">
      <c r="A163" s="1"/>
      <c r="B163" s="1">
        <v>820265</v>
      </c>
      <c r="C163" s="1" t="s">
        <v>646</v>
      </c>
      <c r="D163" s="1" t="s">
        <v>647</v>
      </c>
      <c r="E163" s="2" t="s">
        <v>648</v>
      </c>
      <c r="F163" s="2" t="s">
        <v>134</v>
      </c>
      <c r="G163" s="2" t="s">
        <v>22</v>
      </c>
      <c r="H163" s="2" t="s">
        <v>23</v>
      </c>
      <c r="I163" s="1">
        <v>0</v>
      </c>
      <c r="J163" s="3" t="s">
        <v>17</v>
      </c>
      <c r="K163" s="2" t="str">
        <f>J163*566.00</f>
        <v>0</v>
      </c>
      <c r="L163" s="5"/>
    </row>
    <row r="164" spans="1:12" customHeight="1" ht="105" outlineLevel="3">
      <c r="A164" s="1"/>
      <c r="B164" s="1">
        <v>820266</v>
      </c>
      <c r="C164" s="1" t="s">
        <v>649</v>
      </c>
      <c r="D164" s="1" t="s">
        <v>650</v>
      </c>
      <c r="E164" s="2" t="s">
        <v>651</v>
      </c>
      <c r="F164" s="2" t="s">
        <v>222</v>
      </c>
      <c r="G164" s="2" t="s">
        <v>22</v>
      </c>
      <c r="H164" s="2" t="s">
        <v>23</v>
      </c>
      <c r="I164" s="1">
        <v>0</v>
      </c>
      <c r="J164" s="3" t="s">
        <v>17</v>
      </c>
      <c r="K164" s="2" t="str">
        <f>J164*452.00</f>
        <v>0</v>
      </c>
      <c r="L164" s="5"/>
    </row>
    <row r="165" spans="1:12" customHeight="1" ht="105" outlineLevel="3">
      <c r="A165" s="1"/>
      <c r="B165" s="1">
        <v>820267</v>
      </c>
      <c r="C165" s="1" t="s">
        <v>652</v>
      </c>
      <c r="D165" s="1" t="s">
        <v>653</v>
      </c>
      <c r="E165" s="2" t="s">
        <v>654</v>
      </c>
      <c r="F165" s="2" t="s">
        <v>655</v>
      </c>
      <c r="G165" s="2" t="s">
        <v>16</v>
      </c>
      <c r="H165" s="2" t="s">
        <v>42</v>
      </c>
      <c r="I165" s="1">
        <v>0</v>
      </c>
      <c r="J165" s="3" t="s">
        <v>17</v>
      </c>
      <c r="K165" s="2" t="str">
        <f>J165*309.00</f>
        <v>0</v>
      </c>
      <c r="L165" s="5"/>
    </row>
    <row r="166" spans="1:12" customHeight="1" ht="105" outlineLevel="3">
      <c r="A166" s="1"/>
      <c r="B166" s="1">
        <v>820268</v>
      </c>
      <c r="C166" s="1" t="s">
        <v>656</v>
      </c>
      <c r="D166" s="1" t="s">
        <v>657</v>
      </c>
      <c r="E166" s="2" t="s">
        <v>658</v>
      </c>
      <c r="F166" s="2" t="s">
        <v>659</v>
      </c>
      <c r="G166" s="2" t="s">
        <v>22</v>
      </c>
      <c r="H166" s="2" t="s">
        <v>23</v>
      </c>
      <c r="I166" s="1">
        <v>0</v>
      </c>
      <c r="J166" s="3" t="s">
        <v>17</v>
      </c>
      <c r="K166" s="2" t="str">
        <f>J166*885.00</f>
        <v>0</v>
      </c>
      <c r="L166" s="5"/>
    </row>
    <row r="167" spans="1:12" customHeight="1" ht="105" outlineLevel="3">
      <c r="A167" s="1"/>
      <c r="B167" s="1">
        <v>820269</v>
      </c>
      <c r="C167" s="1" t="s">
        <v>660</v>
      </c>
      <c r="D167" s="1" t="s">
        <v>661</v>
      </c>
      <c r="E167" s="2" t="s">
        <v>662</v>
      </c>
      <c r="F167" s="2" t="s">
        <v>663</v>
      </c>
      <c r="G167" s="2">
        <v>7</v>
      </c>
      <c r="H167" s="2" t="s">
        <v>23</v>
      </c>
      <c r="I167" s="1">
        <v>0</v>
      </c>
      <c r="J167" s="3" t="s">
        <v>17</v>
      </c>
      <c r="K167" s="2" t="str">
        <f>J167*793.00</f>
        <v>0</v>
      </c>
      <c r="L167" s="5"/>
    </row>
    <row r="168" spans="1:12" customHeight="1" ht="105" outlineLevel="3">
      <c r="A168" s="1"/>
      <c r="B168" s="1">
        <v>820270</v>
      </c>
      <c r="C168" s="1" t="s">
        <v>664</v>
      </c>
      <c r="D168" s="1" t="s">
        <v>665</v>
      </c>
      <c r="E168" s="2" t="s">
        <v>666</v>
      </c>
      <c r="F168" s="2" t="s">
        <v>667</v>
      </c>
      <c r="G168" s="2" t="s">
        <v>22</v>
      </c>
      <c r="H168" s="2" t="s">
        <v>32</v>
      </c>
      <c r="I168" s="1">
        <v>0</v>
      </c>
      <c r="J168" s="3" t="s">
        <v>17</v>
      </c>
      <c r="K168" s="2" t="str">
        <f>J168*617.00</f>
        <v>0</v>
      </c>
      <c r="L168" s="5"/>
    </row>
    <row r="169" spans="1:12" customHeight="1" ht="105" outlineLevel="3">
      <c r="A169" s="1"/>
      <c r="B169" s="1">
        <v>820271</v>
      </c>
      <c r="C169" s="1" t="s">
        <v>668</v>
      </c>
      <c r="D169" s="1" t="s">
        <v>669</v>
      </c>
      <c r="E169" s="2" t="s">
        <v>670</v>
      </c>
      <c r="F169" s="2" t="s">
        <v>541</v>
      </c>
      <c r="G169" s="2" t="s">
        <v>22</v>
      </c>
      <c r="H169" s="2" t="s">
        <v>42</v>
      </c>
      <c r="I169" s="1">
        <v>0</v>
      </c>
      <c r="J169" s="3" t="s">
        <v>17</v>
      </c>
      <c r="K169" s="2" t="str">
        <f>J169*297.00</f>
        <v>0</v>
      </c>
      <c r="L169" s="5"/>
    </row>
    <row r="170" spans="1:12" customHeight="1" ht="105" outlineLevel="3">
      <c r="A170" s="1"/>
      <c r="B170" s="1">
        <v>820272</v>
      </c>
      <c r="C170" s="1" t="s">
        <v>671</v>
      </c>
      <c r="D170" s="1" t="s">
        <v>672</v>
      </c>
      <c r="E170" s="2" t="s">
        <v>673</v>
      </c>
      <c r="F170" s="2" t="s">
        <v>674</v>
      </c>
      <c r="G170" s="2" t="s">
        <v>22</v>
      </c>
      <c r="H170" s="2" t="s">
        <v>23</v>
      </c>
      <c r="I170" s="1">
        <v>0</v>
      </c>
      <c r="J170" s="3" t="s">
        <v>17</v>
      </c>
      <c r="K170" s="2" t="str">
        <f>J170*986.00</f>
        <v>0</v>
      </c>
      <c r="L170" s="5"/>
    </row>
    <row r="171" spans="1:12" customHeight="1" ht="105" outlineLevel="3">
      <c r="A171" s="1"/>
      <c r="B171" s="1">
        <v>820273</v>
      </c>
      <c r="C171" s="1" t="s">
        <v>675</v>
      </c>
      <c r="D171" s="1" t="s">
        <v>676</v>
      </c>
      <c r="E171" s="2" t="s">
        <v>677</v>
      </c>
      <c r="F171" s="2" t="s">
        <v>678</v>
      </c>
      <c r="G171" s="2" t="s">
        <v>16</v>
      </c>
      <c r="H171" s="2" t="s">
        <v>32</v>
      </c>
      <c r="I171" s="1">
        <v>0</v>
      </c>
      <c r="J171" s="3" t="s">
        <v>17</v>
      </c>
      <c r="K171" s="2" t="str">
        <f>J171*945.00</f>
        <v>0</v>
      </c>
      <c r="L171" s="5"/>
    </row>
    <row r="172" spans="1:12" customHeight="1" ht="105" outlineLevel="3">
      <c r="A172" s="1"/>
      <c r="B172" s="1">
        <v>820274</v>
      </c>
      <c r="C172" s="1" t="s">
        <v>679</v>
      </c>
      <c r="D172" s="1" t="s">
        <v>680</v>
      </c>
      <c r="E172" s="2" t="s">
        <v>681</v>
      </c>
      <c r="F172" s="2" t="s">
        <v>682</v>
      </c>
      <c r="G172" s="2" t="s">
        <v>22</v>
      </c>
      <c r="H172" s="2" t="s">
        <v>23</v>
      </c>
      <c r="I172" s="1">
        <v>0</v>
      </c>
      <c r="J172" s="3" t="s">
        <v>17</v>
      </c>
      <c r="K172" s="2" t="str">
        <f>J172*904.00</f>
        <v>0</v>
      </c>
      <c r="L172" s="5"/>
    </row>
    <row r="173" spans="1:12" customHeight="1" ht="105" outlineLevel="3">
      <c r="A173" s="1"/>
      <c r="B173" s="1">
        <v>820275</v>
      </c>
      <c r="C173" s="1" t="s">
        <v>683</v>
      </c>
      <c r="D173" s="1" t="s">
        <v>684</v>
      </c>
      <c r="E173" s="2" t="s">
        <v>685</v>
      </c>
      <c r="F173" s="2" t="s">
        <v>686</v>
      </c>
      <c r="G173" s="2">
        <v>10</v>
      </c>
      <c r="H173" s="2" t="s">
        <v>23</v>
      </c>
      <c r="I173" s="1">
        <v>0</v>
      </c>
      <c r="J173" s="3" t="s">
        <v>17</v>
      </c>
      <c r="K173" s="2" t="str">
        <f>J173*653.00</f>
        <v>0</v>
      </c>
      <c r="L173" s="5"/>
    </row>
    <row r="174" spans="1:12" customHeight="1" ht="105" outlineLevel="3">
      <c r="A174" s="1"/>
      <c r="B174" s="1">
        <v>820276</v>
      </c>
      <c r="C174" s="1" t="s">
        <v>687</v>
      </c>
      <c r="D174" s="1" t="s">
        <v>688</v>
      </c>
      <c r="E174" s="2" t="s">
        <v>689</v>
      </c>
      <c r="F174" s="2" t="s">
        <v>690</v>
      </c>
      <c r="G174" s="2" t="s">
        <v>16</v>
      </c>
      <c r="H174" s="2" t="s">
        <v>23</v>
      </c>
      <c r="I174" s="1">
        <v>0</v>
      </c>
      <c r="J174" s="3" t="s">
        <v>17</v>
      </c>
      <c r="K174" s="2" t="str">
        <f>J174*1093.00</f>
        <v>0</v>
      </c>
      <c r="L174" s="5"/>
    </row>
    <row r="175" spans="1:12" customHeight="1" ht="105" outlineLevel="3">
      <c r="A175" s="1"/>
      <c r="B175" s="1">
        <v>820277</v>
      </c>
      <c r="C175" s="1" t="s">
        <v>691</v>
      </c>
      <c r="D175" s="1" t="s">
        <v>692</v>
      </c>
      <c r="E175" s="2" t="s">
        <v>693</v>
      </c>
      <c r="F175" s="2" t="s">
        <v>694</v>
      </c>
      <c r="G175" s="2" t="s">
        <v>42</v>
      </c>
      <c r="H175" s="2" t="s">
        <v>70</v>
      </c>
      <c r="I175" s="1">
        <v>0</v>
      </c>
      <c r="J175" s="3" t="s">
        <v>17</v>
      </c>
      <c r="K175" s="2" t="str">
        <f>J175*70.00</f>
        <v>0</v>
      </c>
      <c r="L175" s="5"/>
    </row>
    <row r="176" spans="1:12" customHeight="1" ht="105" outlineLevel="3">
      <c r="A176" s="1"/>
      <c r="B176" s="1">
        <v>820278</v>
      </c>
      <c r="C176" s="1" t="s">
        <v>695</v>
      </c>
      <c r="D176" s="1" t="s">
        <v>696</v>
      </c>
      <c r="E176" s="2" t="s">
        <v>697</v>
      </c>
      <c r="F176" s="2" t="s">
        <v>698</v>
      </c>
      <c r="G176" s="2" t="s">
        <v>23</v>
      </c>
      <c r="H176" s="2" t="s">
        <v>70</v>
      </c>
      <c r="I176" s="1">
        <v>0</v>
      </c>
      <c r="J176" s="3" t="s">
        <v>17</v>
      </c>
      <c r="K176" s="2" t="str">
        <f>J176*132.00</f>
        <v>0</v>
      </c>
      <c r="L176" s="5"/>
    </row>
    <row r="177" spans="1:12" customHeight="1" ht="105" outlineLevel="3">
      <c r="A177" s="1"/>
      <c r="B177" s="1">
        <v>820279</v>
      </c>
      <c r="C177" s="1" t="s">
        <v>699</v>
      </c>
      <c r="D177" s="1" t="s">
        <v>700</v>
      </c>
      <c r="E177" s="2" t="s">
        <v>701</v>
      </c>
      <c r="F177" s="2" t="s">
        <v>702</v>
      </c>
      <c r="G177" s="2" t="s">
        <v>23</v>
      </c>
      <c r="H177" s="2" t="s">
        <v>70</v>
      </c>
      <c r="I177" s="1">
        <v>0</v>
      </c>
      <c r="J177" s="3" t="s">
        <v>17</v>
      </c>
      <c r="K177" s="2" t="str">
        <f>J177*270.00</f>
        <v>0</v>
      </c>
      <c r="L177" s="5"/>
    </row>
    <row r="178" spans="1:12" customHeight="1" ht="105" outlineLevel="3">
      <c r="A178" s="1"/>
      <c r="B178" s="1">
        <v>820280</v>
      </c>
      <c r="C178" s="1" t="s">
        <v>703</v>
      </c>
      <c r="D178" s="1" t="s">
        <v>704</v>
      </c>
      <c r="E178" s="2" t="s">
        <v>705</v>
      </c>
      <c r="F178" s="2" t="s">
        <v>706</v>
      </c>
      <c r="G178" s="2" t="s">
        <v>22</v>
      </c>
      <c r="H178" s="2" t="s">
        <v>33</v>
      </c>
      <c r="I178" s="1">
        <v>0</v>
      </c>
      <c r="J178" s="3" t="s">
        <v>17</v>
      </c>
      <c r="K178" s="2" t="str">
        <f>J178*389.00</f>
        <v>0</v>
      </c>
      <c r="L178" s="5"/>
    </row>
    <row r="179" spans="1:12" customHeight="1" ht="105" outlineLevel="3">
      <c r="A179" s="1"/>
      <c r="B179" s="1">
        <v>820281</v>
      </c>
      <c r="C179" s="1" t="s">
        <v>707</v>
      </c>
      <c r="D179" s="1" t="s">
        <v>708</v>
      </c>
      <c r="E179" s="2" t="s">
        <v>709</v>
      </c>
      <c r="F179" s="2" t="s">
        <v>596</v>
      </c>
      <c r="G179" s="2" t="s">
        <v>22</v>
      </c>
      <c r="H179" s="2" t="s">
        <v>42</v>
      </c>
      <c r="I179" s="1">
        <v>0</v>
      </c>
      <c r="J179" s="3" t="s">
        <v>17</v>
      </c>
      <c r="K179" s="2" t="str">
        <f>J179*510.00</f>
        <v>0</v>
      </c>
      <c r="L179" s="5"/>
    </row>
    <row r="180" spans="1:12" customHeight="1" ht="105" outlineLevel="3">
      <c r="A180" s="1"/>
      <c r="B180" s="1">
        <v>820282</v>
      </c>
      <c r="C180" s="1" t="s">
        <v>710</v>
      </c>
      <c r="D180" s="1" t="s">
        <v>711</v>
      </c>
      <c r="E180" s="2" t="s">
        <v>712</v>
      </c>
      <c r="F180" s="2" t="s">
        <v>713</v>
      </c>
      <c r="G180" s="2">
        <v>9</v>
      </c>
      <c r="H180" s="2" t="s">
        <v>42</v>
      </c>
      <c r="I180" s="1">
        <v>0</v>
      </c>
      <c r="J180" s="3" t="s">
        <v>17</v>
      </c>
      <c r="K180" s="2" t="str">
        <f>J180*797.00</f>
        <v>0</v>
      </c>
      <c r="L180" s="5"/>
    </row>
    <row r="181" spans="1:12" customHeight="1" ht="105" outlineLevel="3">
      <c r="A181" s="1"/>
      <c r="B181" s="1">
        <v>820283</v>
      </c>
      <c r="C181" s="1" t="s">
        <v>714</v>
      </c>
      <c r="D181" s="1" t="s">
        <v>715</v>
      </c>
      <c r="E181" s="2" t="s">
        <v>716</v>
      </c>
      <c r="F181" s="2" t="s">
        <v>717</v>
      </c>
      <c r="G181" s="2" t="s">
        <v>23</v>
      </c>
      <c r="H181" s="2" t="s">
        <v>70</v>
      </c>
      <c r="I181" s="1">
        <v>0</v>
      </c>
      <c r="J181" s="3" t="s">
        <v>17</v>
      </c>
      <c r="K181" s="2" t="str">
        <f>J181*79.00</f>
        <v>0</v>
      </c>
      <c r="L181" s="5"/>
    </row>
    <row r="182" spans="1:12" customHeight="1" ht="105" outlineLevel="3">
      <c r="A182" s="1"/>
      <c r="B182" s="1">
        <v>820284</v>
      </c>
      <c r="C182" s="1" t="s">
        <v>718</v>
      </c>
      <c r="D182" s="1" t="s">
        <v>719</v>
      </c>
      <c r="E182" s="2" t="s">
        <v>720</v>
      </c>
      <c r="F182" s="2" t="s">
        <v>721</v>
      </c>
      <c r="G182" s="2" t="s">
        <v>23</v>
      </c>
      <c r="H182" s="2" t="s">
        <v>33</v>
      </c>
      <c r="I182" s="1">
        <v>0</v>
      </c>
      <c r="J182" s="3" t="s">
        <v>17</v>
      </c>
      <c r="K182" s="2" t="str">
        <f>J182*126.00</f>
        <v>0</v>
      </c>
      <c r="L182" s="5"/>
    </row>
    <row r="183" spans="1:12" customHeight="1" ht="105" outlineLevel="3">
      <c r="A183" s="1"/>
      <c r="B183" s="1">
        <v>820285</v>
      </c>
      <c r="C183" s="1" t="s">
        <v>722</v>
      </c>
      <c r="D183" s="1" t="s">
        <v>723</v>
      </c>
      <c r="E183" s="2" t="s">
        <v>724</v>
      </c>
      <c r="F183" s="2" t="s">
        <v>725</v>
      </c>
      <c r="G183" s="2" t="s">
        <v>16</v>
      </c>
      <c r="H183" s="2" t="s">
        <v>33</v>
      </c>
      <c r="I183" s="1">
        <v>0</v>
      </c>
      <c r="J183" s="3" t="s">
        <v>17</v>
      </c>
      <c r="K183" s="2" t="str">
        <f>J183*240.00</f>
        <v>0</v>
      </c>
      <c r="L183" s="5"/>
    </row>
    <row r="184" spans="1:12" customHeight="1" ht="105" outlineLevel="3">
      <c r="A184" s="1"/>
      <c r="B184" s="1">
        <v>820286</v>
      </c>
      <c r="C184" s="1" t="s">
        <v>726</v>
      </c>
      <c r="D184" s="1" t="s">
        <v>727</v>
      </c>
      <c r="E184" s="2" t="s">
        <v>728</v>
      </c>
      <c r="F184" s="2" t="s">
        <v>162</v>
      </c>
      <c r="G184" s="2" t="s">
        <v>16</v>
      </c>
      <c r="H184" s="2" t="s">
        <v>23</v>
      </c>
      <c r="I184" s="1">
        <v>0</v>
      </c>
      <c r="J184" s="3" t="s">
        <v>17</v>
      </c>
      <c r="K184" s="2" t="str">
        <f>J184*453.00</f>
        <v>0</v>
      </c>
      <c r="L184" s="5"/>
    </row>
    <row r="185" spans="1:12" customHeight="1" ht="105" outlineLevel="3">
      <c r="A185" s="1"/>
      <c r="B185" s="1">
        <v>820287</v>
      </c>
      <c r="C185" s="1" t="s">
        <v>729</v>
      </c>
      <c r="D185" s="1" t="s">
        <v>730</v>
      </c>
      <c r="E185" s="2" t="s">
        <v>731</v>
      </c>
      <c r="F185" s="2" t="s">
        <v>732</v>
      </c>
      <c r="G185" s="2" t="s">
        <v>22</v>
      </c>
      <c r="H185" s="2" t="s">
        <v>32</v>
      </c>
      <c r="I185" s="1">
        <v>0</v>
      </c>
      <c r="J185" s="3" t="s">
        <v>17</v>
      </c>
      <c r="K185" s="2" t="str">
        <f>J185*484.00</f>
        <v>0</v>
      </c>
      <c r="L185" s="5"/>
    </row>
    <row r="186" spans="1:12" customHeight="1" ht="105" outlineLevel="3">
      <c r="A186" s="1"/>
      <c r="B186" s="1">
        <v>820288</v>
      </c>
      <c r="C186" s="1" t="s">
        <v>733</v>
      </c>
      <c r="D186" s="1" t="s">
        <v>734</v>
      </c>
      <c r="E186" s="2" t="s">
        <v>735</v>
      </c>
      <c r="F186" s="2" t="s">
        <v>736</v>
      </c>
      <c r="G186" s="2">
        <v>7</v>
      </c>
      <c r="H186" s="2" t="s">
        <v>23</v>
      </c>
      <c r="I186" s="1">
        <v>0</v>
      </c>
      <c r="J186" s="3" t="s">
        <v>17</v>
      </c>
      <c r="K186" s="2" t="str">
        <f>J186*872.00</f>
        <v>0</v>
      </c>
      <c r="L186" s="5"/>
    </row>
    <row r="187" spans="1:12" customHeight="1" ht="105" outlineLevel="3">
      <c r="A187" s="1"/>
      <c r="B187" s="1">
        <v>820289</v>
      </c>
      <c r="C187" s="1" t="s">
        <v>737</v>
      </c>
      <c r="D187" s="1" t="s">
        <v>738</v>
      </c>
      <c r="E187" s="2" t="s">
        <v>739</v>
      </c>
      <c r="F187" s="2" t="s">
        <v>694</v>
      </c>
      <c r="G187" s="2" t="s">
        <v>42</v>
      </c>
      <c r="H187" s="2" t="s">
        <v>70</v>
      </c>
      <c r="I187" s="1">
        <v>0</v>
      </c>
      <c r="J187" s="3" t="s">
        <v>17</v>
      </c>
      <c r="K187" s="2" t="str">
        <f>J187*70.00</f>
        <v>0</v>
      </c>
      <c r="L187" s="5"/>
    </row>
    <row r="188" spans="1:12" customHeight="1" ht="105" outlineLevel="3">
      <c r="A188" s="1"/>
      <c r="B188" s="1">
        <v>820290</v>
      </c>
      <c r="C188" s="1" t="s">
        <v>740</v>
      </c>
      <c r="D188" s="1" t="s">
        <v>741</v>
      </c>
      <c r="E188" s="2" t="s">
        <v>742</v>
      </c>
      <c r="F188" s="2" t="s">
        <v>743</v>
      </c>
      <c r="G188" s="2" t="s">
        <v>23</v>
      </c>
      <c r="H188" s="2" t="s">
        <v>33</v>
      </c>
      <c r="I188" s="1">
        <v>0</v>
      </c>
      <c r="J188" s="3" t="s">
        <v>17</v>
      </c>
      <c r="K188" s="2" t="str">
        <f>J188*125.00</f>
        <v>0</v>
      </c>
      <c r="L188" s="5"/>
    </row>
    <row r="189" spans="1:12" customHeight="1" ht="105" outlineLevel="3">
      <c r="A189" s="1"/>
      <c r="B189" s="1">
        <v>820291</v>
      </c>
      <c r="C189" s="1" t="s">
        <v>744</v>
      </c>
      <c r="D189" s="1" t="s">
        <v>745</v>
      </c>
      <c r="E189" s="2" t="s">
        <v>746</v>
      </c>
      <c r="F189" s="2" t="s">
        <v>747</v>
      </c>
      <c r="G189" s="2" t="s">
        <v>32</v>
      </c>
      <c r="H189" s="2" t="s">
        <v>33</v>
      </c>
      <c r="I189" s="1">
        <v>0</v>
      </c>
      <c r="J189" s="3" t="s">
        <v>17</v>
      </c>
      <c r="K189" s="2" t="str">
        <f>J189*171.00</f>
        <v>0</v>
      </c>
      <c r="L189" s="5"/>
    </row>
    <row r="190" spans="1:12" customHeight="1" ht="105" outlineLevel="3">
      <c r="A190" s="1"/>
      <c r="B190" s="1">
        <v>820292</v>
      </c>
      <c r="C190" s="1" t="s">
        <v>748</v>
      </c>
      <c r="D190" s="1" t="s">
        <v>749</v>
      </c>
      <c r="E190" s="2" t="s">
        <v>750</v>
      </c>
      <c r="F190" s="2" t="s">
        <v>751</v>
      </c>
      <c r="G190" s="2" t="s">
        <v>22</v>
      </c>
      <c r="H190" s="2" t="s">
        <v>23</v>
      </c>
      <c r="I190" s="1">
        <v>0</v>
      </c>
      <c r="J190" s="3" t="s">
        <v>17</v>
      </c>
      <c r="K190" s="2" t="str">
        <f>J190*366.00</f>
        <v>0</v>
      </c>
      <c r="L190" s="5"/>
    </row>
    <row r="191" spans="1:12" customHeight="1" ht="105" outlineLevel="3">
      <c r="A191" s="1"/>
      <c r="B191" s="1">
        <v>820293</v>
      </c>
      <c r="C191" s="1" t="s">
        <v>752</v>
      </c>
      <c r="D191" s="1" t="s">
        <v>753</v>
      </c>
      <c r="E191" s="2" t="s">
        <v>754</v>
      </c>
      <c r="F191" s="2" t="s">
        <v>755</v>
      </c>
      <c r="G191" s="2">
        <v>5</v>
      </c>
      <c r="H191" s="2" t="s">
        <v>23</v>
      </c>
      <c r="I191" s="1">
        <v>0</v>
      </c>
      <c r="J191" s="3" t="s">
        <v>17</v>
      </c>
      <c r="K191" s="2" t="str">
        <f>J191*546.00</f>
        <v>0</v>
      </c>
      <c r="L191" s="5"/>
    </row>
    <row r="192" spans="1:12" customHeight="1" ht="105" outlineLevel="3">
      <c r="A192" s="1"/>
      <c r="B192" s="1">
        <v>820294</v>
      </c>
      <c r="C192" s="1" t="s">
        <v>756</v>
      </c>
      <c r="D192" s="1" t="s">
        <v>757</v>
      </c>
      <c r="E192" s="2" t="s">
        <v>758</v>
      </c>
      <c r="F192" s="2" t="s">
        <v>759</v>
      </c>
      <c r="G192" s="2">
        <v>5</v>
      </c>
      <c r="H192" s="2" t="s">
        <v>23</v>
      </c>
      <c r="I192" s="1">
        <v>0</v>
      </c>
      <c r="J192" s="3" t="s">
        <v>17</v>
      </c>
      <c r="K192" s="2" t="str">
        <f>J192*874.00</f>
        <v>0</v>
      </c>
      <c r="L192" s="5"/>
    </row>
    <row r="193" spans="1:12" customHeight="1" ht="105" outlineLevel="3">
      <c r="A193" s="1"/>
      <c r="B193" s="1">
        <v>820295</v>
      </c>
      <c r="C193" s="1" t="s">
        <v>760</v>
      </c>
      <c r="D193" s="1" t="s">
        <v>761</v>
      </c>
      <c r="E193" s="2" t="s">
        <v>762</v>
      </c>
      <c r="F193" s="2" t="s">
        <v>763</v>
      </c>
      <c r="G193" s="2" t="s">
        <v>22</v>
      </c>
      <c r="H193" s="2" t="s">
        <v>33</v>
      </c>
      <c r="I193" s="1">
        <v>0</v>
      </c>
      <c r="J193" s="3" t="s">
        <v>17</v>
      </c>
      <c r="K193" s="2" t="str">
        <f>J193*184.00</f>
        <v>0</v>
      </c>
      <c r="L193" s="5"/>
    </row>
    <row r="194" spans="1:12" customHeight="1" ht="105" outlineLevel="3">
      <c r="A194" s="1"/>
      <c r="B194" s="1">
        <v>820296</v>
      </c>
      <c r="C194" s="1" t="s">
        <v>764</v>
      </c>
      <c r="D194" s="1" t="s">
        <v>765</v>
      </c>
      <c r="E194" s="2" t="s">
        <v>766</v>
      </c>
      <c r="F194" s="2" t="s">
        <v>767</v>
      </c>
      <c r="G194" s="2" t="s">
        <v>16</v>
      </c>
      <c r="H194" s="2">
        <v>0</v>
      </c>
      <c r="I194" s="1">
        <v>0</v>
      </c>
      <c r="J194" s="3" t="s">
        <v>17</v>
      </c>
      <c r="K194" s="2" t="str">
        <f>J194*207.00</f>
        <v>0</v>
      </c>
      <c r="L194" s="5"/>
    </row>
    <row r="195" spans="1:12" customHeight="1" ht="105" outlineLevel="3">
      <c r="A195" s="1"/>
      <c r="B195" s="1">
        <v>820297</v>
      </c>
      <c r="C195" s="1" t="s">
        <v>768</v>
      </c>
      <c r="D195" s="1" t="s">
        <v>769</v>
      </c>
      <c r="E195" s="2" t="s">
        <v>770</v>
      </c>
      <c r="F195" s="2" t="s">
        <v>771</v>
      </c>
      <c r="G195" s="2" t="s">
        <v>22</v>
      </c>
      <c r="H195" s="2" t="s">
        <v>42</v>
      </c>
      <c r="I195" s="1">
        <v>0</v>
      </c>
      <c r="J195" s="3" t="s">
        <v>17</v>
      </c>
      <c r="K195" s="2" t="str">
        <f>J195*61.00</f>
        <v>0</v>
      </c>
      <c r="L195" s="5"/>
    </row>
    <row r="196" spans="1:12" customHeight="1" ht="105" outlineLevel="3">
      <c r="A196" s="1"/>
      <c r="B196" s="1">
        <v>820298</v>
      </c>
      <c r="C196" s="1" t="s">
        <v>772</v>
      </c>
      <c r="D196" s="1" t="s">
        <v>773</v>
      </c>
      <c r="E196" s="2" t="s">
        <v>774</v>
      </c>
      <c r="F196" s="2" t="s">
        <v>717</v>
      </c>
      <c r="G196" s="2" t="s">
        <v>16</v>
      </c>
      <c r="H196" s="2" t="s">
        <v>33</v>
      </c>
      <c r="I196" s="1">
        <v>0</v>
      </c>
      <c r="J196" s="3" t="s">
        <v>17</v>
      </c>
      <c r="K196" s="2" t="str">
        <f>J196*79.00</f>
        <v>0</v>
      </c>
      <c r="L196" s="5"/>
    </row>
    <row r="197" spans="1:12" customHeight="1" ht="105" outlineLevel="3">
      <c r="A197" s="1"/>
      <c r="B197" s="1">
        <v>820299</v>
      </c>
      <c r="C197" s="1" t="s">
        <v>775</v>
      </c>
      <c r="D197" s="1" t="s">
        <v>776</v>
      </c>
      <c r="E197" s="2" t="s">
        <v>777</v>
      </c>
      <c r="F197" s="2" t="s">
        <v>778</v>
      </c>
      <c r="G197" s="2" t="s">
        <v>23</v>
      </c>
      <c r="H197" s="2" t="s">
        <v>70</v>
      </c>
      <c r="I197" s="1">
        <v>0</v>
      </c>
      <c r="J197" s="3" t="s">
        <v>17</v>
      </c>
      <c r="K197" s="2" t="str">
        <f>J197*82.00</f>
        <v>0</v>
      </c>
      <c r="L197" s="5"/>
    </row>
    <row r="198" spans="1:12" customHeight="1" ht="105" outlineLevel="3">
      <c r="A198" s="1"/>
      <c r="B198" s="1">
        <v>820300</v>
      </c>
      <c r="C198" s="1" t="s">
        <v>779</v>
      </c>
      <c r="D198" s="1" t="s">
        <v>780</v>
      </c>
      <c r="E198" s="2" t="s">
        <v>781</v>
      </c>
      <c r="F198" s="2" t="s">
        <v>782</v>
      </c>
      <c r="G198" s="2" t="s">
        <v>23</v>
      </c>
      <c r="H198" s="2" t="s">
        <v>70</v>
      </c>
      <c r="I198" s="1">
        <v>0</v>
      </c>
      <c r="J198" s="3" t="s">
        <v>17</v>
      </c>
      <c r="K198" s="2" t="str">
        <f>J198*188.00</f>
        <v>0</v>
      </c>
      <c r="L198" s="5"/>
    </row>
    <row r="199" spans="1:12" customHeight="1" ht="105" outlineLevel="3">
      <c r="A199" s="1"/>
      <c r="B199" s="1">
        <v>820301</v>
      </c>
      <c r="C199" s="1" t="s">
        <v>783</v>
      </c>
      <c r="D199" s="1" t="s">
        <v>784</v>
      </c>
      <c r="E199" s="2" t="s">
        <v>785</v>
      </c>
      <c r="F199" s="2" t="s">
        <v>58</v>
      </c>
      <c r="G199" s="2" t="s">
        <v>32</v>
      </c>
      <c r="H199" s="2" t="s">
        <v>33</v>
      </c>
      <c r="I199" s="1">
        <v>0</v>
      </c>
      <c r="J199" s="3" t="s">
        <v>17</v>
      </c>
      <c r="K199" s="2" t="str">
        <f>J199*206.00</f>
        <v>0</v>
      </c>
      <c r="L199" s="5"/>
    </row>
    <row r="200" spans="1:12" customHeight="1" ht="105" outlineLevel="3">
      <c r="A200" s="1"/>
      <c r="B200" s="1">
        <v>820302</v>
      </c>
      <c r="C200" s="1" t="s">
        <v>786</v>
      </c>
      <c r="D200" s="1" t="s">
        <v>787</v>
      </c>
      <c r="E200" s="2" t="s">
        <v>788</v>
      </c>
      <c r="F200" s="2" t="s">
        <v>789</v>
      </c>
      <c r="G200" s="2" t="s">
        <v>32</v>
      </c>
      <c r="H200" s="2" t="s">
        <v>33</v>
      </c>
      <c r="I200" s="1">
        <v>0</v>
      </c>
      <c r="J200" s="3" t="s">
        <v>17</v>
      </c>
      <c r="K200" s="2" t="str">
        <f>J200*208.00</f>
        <v>0</v>
      </c>
      <c r="L200" s="5"/>
    </row>
    <row r="201" spans="1:12" customHeight="1" ht="105" outlineLevel="3">
      <c r="A201" s="1"/>
      <c r="B201" s="1">
        <v>820303</v>
      </c>
      <c r="C201" s="1" t="s">
        <v>790</v>
      </c>
      <c r="D201" s="1" t="s">
        <v>791</v>
      </c>
      <c r="E201" s="2" t="s">
        <v>792</v>
      </c>
      <c r="F201" s="2" t="s">
        <v>186</v>
      </c>
      <c r="G201" s="2" t="s">
        <v>22</v>
      </c>
      <c r="H201" s="2" t="s">
        <v>42</v>
      </c>
      <c r="I201" s="1">
        <v>0</v>
      </c>
      <c r="J201" s="3" t="s">
        <v>17</v>
      </c>
      <c r="K201" s="2" t="str">
        <f>J201*403.00</f>
        <v>0</v>
      </c>
      <c r="L201" s="5"/>
    </row>
    <row r="202" spans="1:12" customHeight="1" ht="105" outlineLevel="3">
      <c r="A202" s="1"/>
      <c r="B202" s="1">
        <v>820304</v>
      </c>
      <c r="C202" s="1" t="s">
        <v>793</v>
      </c>
      <c r="D202" s="1" t="s">
        <v>794</v>
      </c>
      <c r="E202" s="2" t="s">
        <v>795</v>
      </c>
      <c r="F202" s="2" t="s">
        <v>222</v>
      </c>
      <c r="G202" s="2" t="s">
        <v>22</v>
      </c>
      <c r="H202" s="2" t="s">
        <v>33</v>
      </c>
      <c r="I202" s="1">
        <v>0</v>
      </c>
      <c r="J202" s="3" t="s">
        <v>17</v>
      </c>
      <c r="K202" s="2" t="str">
        <f>J202*452.00</f>
        <v>0</v>
      </c>
      <c r="L202" s="5"/>
    </row>
    <row r="203" spans="1:12" customHeight="1" ht="105" outlineLevel="3">
      <c r="A203" s="1"/>
      <c r="B203" s="1">
        <v>820305</v>
      </c>
      <c r="C203" s="1" t="s">
        <v>796</v>
      </c>
      <c r="D203" s="1" t="s">
        <v>797</v>
      </c>
      <c r="E203" s="2" t="s">
        <v>798</v>
      </c>
      <c r="F203" s="2" t="s">
        <v>799</v>
      </c>
      <c r="G203" s="2" t="s">
        <v>22</v>
      </c>
      <c r="H203" s="2" t="s">
        <v>42</v>
      </c>
      <c r="I203" s="1">
        <v>0</v>
      </c>
      <c r="J203" s="3" t="s">
        <v>17</v>
      </c>
      <c r="K203" s="2" t="str">
        <f>J203*436.00</f>
        <v>0</v>
      </c>
      <c r="L203" s="5"/>
    </row>
    <row r="204" spans="1:12" customHeight="1" ht="105" outlineLevel="3">
      <c r="A204" s="1"/>
      <c r="B204" s="1">
        <v>820306</v>
      </c>
      <c r="C204" s="1" t="s">
        <v>800</v>
      </c>
      <c r="D204" s="1" t="s">
        <v>801</v>
      </c>
      <c r="E204" s="2" t="s">
        <v>802</v>
      </c>
      <c r="F204" s="2" t="s">
        <v>803</v>
      </c>
      <c r="G204" s="2" t="s">
        <v>22</v>
      </c>
      <c r="H204" s="2" t="s">
        <v>23</v>
      </c>
      <c r="I204" s="1">
        <v>0</v>
      </c>
      <c r="J204" s="3" t="s">
        <v>17</v>
      </c>
      <c r="K204" s="2" t="str">
        <f>J204*633.00</f>
        <v>0</v>
      </c>
      <c r="L204" s="5"/>
    </row>
    <row r="205" spans="1:12" customHeight="1" ht="105" outlineLevel="3">
      <c r="A205" s="1"/>
      <c r="B205" s="1">
        <v>820307</v>
      </c>
      <c r="C205" s="1" t="s">
        <v>804</v>
      </c>
      <c r="D205" s="1" t="s">
        <v>805</v>
      </c>
      <c r="E205" s="2" t="s">
        <v>806</v>
      </c>
      <c r="F205" s="2" t="s">
        <v>807</v>
      </c>
      <c r="G205" s="2" t="s">
        <v>22</v>
      </c>
      <c r="H205" s="2" t="s">
        <v>42</v>
      </c>
      <c r="I205" s="1">
        <v>0</v>
      </c>
      <c r="J205" s="3" t="s">
        <v>17</v>
      </c>
      <c r="K205" s="2" t="str">
        <f>J205*610.00</f>
        <v>0</v>
      </c>
      <c r="L205" s="5"/>
    </row>
    <row r="206" spans="1:12" customHeight="1" ht="105" outlineLevel="3">
      <c r="A206" s="1"/>
      <c r="B206" s="1">
        <v>820308</v>
      </c>
      <c r="C206" s="1" t="s">
        <v>808</v>
      </c>
      <c r="D206" s="1" t="s">
        <v>809</v>
      </c>
      <c r="E206" s="2" t="s">
        <v>810</v>
      </c>
      <c r="F206" s="2" t="s">
        <v>431</v>
      </c>
      <c r="G206" s="2">
        <v>3</v>
      </c>
      <c r="H206" s="2" t="s">
        <v>23</v>
      </c>
      <c r="I206" s="1">
        <v>0</v>
      </c>
      <c r="J206" s="3" t="s">
        <v>17</v>
      </c>
      <c r="K206" s="2" t="str">
        <f>J206*848.00</f>
        <v>0</v>
      </c>
      <c r="L206" s="5"/>
    </row>
    <row r="207" spans="1:12" customHeight="1" ht="105" outlineLevel="3">
      <c r="A207" s="1"/>
      <c r="B207" s="1">
        <v>820309</v>
      </c>
      <c r="C207" s="1" t="s">
        <v>811</v>
      </c>
      <c r="D207" s="1" t="s">
        <v>812</v>
      </c>
      <c r="E207" s="2" t="s">
        <v>813</v>
      </c>
      <c r="F207" s="2" t="s">
        <v>814</v>
      </c>
      <c r="G207" s="2">
        <v>5</v>
      </c>
      <c r="H207" s="2" t="s">
        <v>23</v>
      </c>
      <c r="I207" s="1">
        <v>0</v>
      </c>
      <c r="J207" s="3" t="s">
        <v>17</v>
      </c>
      <c r="K207" s="2" t="str">
        <f>J207*882.00</f>
        <v>0</v>
      </c>
      <c r="L207" s="5"/>
    </row>
    <row r="208" spans="1:12" customHeight="1" ht="105" outlineLevel="3">
      <c r="A208" s="1"/>
      <c r="B208" s="1">
        <v>820310</v>
      </c>
      <c r="C208" s="1" t="s">
        <v>815</v>
      </c>
      <c r="D208" s="1" t="s">
        <v>816</v>
      </c>
      <c r="E208" s="2" t="s">
        <v>817</v>
      </c>
      <c r="F208" s="2" t="s">
        <v>818</v>
      </c>
      <c r="G208" s="2">
        <v>2</v>
      </c>
      <c r="H208" s="2" t="s">
        <v>23</v>
      </c>
      <c r="I208" s="1">
        <v>0</v>
      </c>
      <c r="J208" s="3" t="s">
        <v>17</v>
      </c>
      <c r="K208" s="2" t="str">
        <f>J208*818.00</f>
        <v>0</v>
      </c>
      <c r="L208" s="5"/>
    </row>
    <row r="209" spans="1:12" customHeight="1" ht="105" outlineLevel="3">
      <c r="A209" s="1"/>
      <c r="B209" s="1">
        <v>820311</v>
      </c>
      <c r="C209" s="1" t="s">
        <v>819</v>
      </c>
      <c r="D209" s="1" t="s">
        <v>820</v>
      </c>
      <c r="E209" s="2" t="s">
        <v>821</v>
      </c>
      <c r="F209" s="2" t="s">
        <v>822</v>
      </c>
      <c r="G209" s="2">
        <v>2</v>
      </c>
      <c r="H209" s="2" t="s">
        <v>32</v>
      </c>
      <c r="I209" s="1">
        <v>0</v>
      </c>
      <c r="J209" s="3" t="s">
        <v>17</v>
      </c>
      <c r="K209" s="2" t="str">
        <f>J209*957.00</f>
        <v>0</v>
      </c>
      <c r="L209" s="5"/>
    </row>
    <row r="210" spans="1:12" customHeight="1" ht="105" outlineLevel="3">
      <c r="A210" s="1"/>
      <c r="B210" s="1">
        <v>820312</v>
      </c>
      <c r="C210" s="1" t="s">
        <v>823</v>
      </c>
      <c r="D210" s="1" t="s">
        <v>824</v>
      </c>
      <c r="E210" s="2" t="s">
        <v>825</v>
      </c>
      <c r="F210" s="2" t="s">
        <v>826</v>
      </c>
      <c r="G210" s="2">
        <v>5</v>
      </c>
      <c r="H210" s="2" t="s">
        <v>32</v>
      </c>
      <c r="I210" s="1">
        <v>0</v>
      </c>
      <c r="J210" s="3" t="s">
        <v>17</v>
      </c>
      <c r="K210" s="2" t="str">
        <f>J210*762.00</f>
        <v>0</v>
      </c>
      <c r="L210" s="5"/>
    </row>
    <row r="211" spans="1:12" customHeight="1" ht="105" outlineLevel="3">
      <c r="A211" s="1"/>
      <c r="B211" s="1">
        <v>820313</v>
      </c>
      <c r="C211" s="1" t="s">
        <v>827</v>
      </c>
      <c r="D211" s="1" t="s">
        <v>828</v>
      </c>
      <c r="E211" s="2" t="s">
        <v>829</v>
      </c>
      <c r="F211" s="2" t="s">
        <v>631</v>
      </c>
      <c r="G211" s="2" t="s">
        <v>32</v>
      </c>
      <c r="H211" s="2" t="s">
        <v>23</v>
      </c>
      <c r="I211" s="1">
        <v>0</v>
      </c>
      <c r="J211" s="3" t="s">
        <v>17</v>
      </c>
      <c r="K211" s="2" t="str">
        <f>J211*76.00</f>
        <v>0</v>
      </c>
      <c r="L211" s="5"/>
    </row>
    <row r="212" spans="1:12" customHeight="1" ht="105" outlineLevel="3">
      <c r="A212" s="1"/>
      <c r="B212" s="1">
        <v>820314</v>
      </c>
      <c r="C212" s="1" t="s">
        <v>830</v>
      </c>
      <c r="D212" s="1" t="s">
        <v>831</v>
      </c>
      <c r="E212" s="2" t="s">
        <v>832</v>
      </c>
      <c r="F212" s="2" t="s">
        <v>833</v>
      </c>
      <c r="G212" s="2" t="s">
        <v>16</v>
      </c>
      <c r="H212" s="2" t="s">
        <v>32</v>
      </c>
      <c r="I212" s="1">
        <v>0</v>
      </c>
      <c r="J212" s="3" t="s">
        <v>17</v>
      </c>
      <c r="K212" s="2" t="str">
        <f>J212*127.00</f>
        <v>0</v>
      </c>
      <c r="L212" s="5"/>
    </row>
    <row r="213" spans="1:12" customHeight="1" ht="105" outlineLevel="3">
      <c r="A213" s="1"/>
      <c r="B213" s="1">
        <v>820315</v>
      </c>
      <c r="C213" s="1" t="s">
        <v>834</v>
      </c>
      <c r="D213" s="1" t="s">
        <v>835</v>
      </c>
      <c r="E213" s="2" t="s">
        <v>836</v>
      </c>
      <c r="F213" s="2" t="s">
        <v>837</v>
      </c>
      <c r="G213" s="2" t="s">
        <v>16</v>
      </c>
      <c r="H213" s="2" t="s">
        <v>33</v>
      </c>
      <c r="I213" s="1">
        <v>0</v>
      </c>
      <c r="J213" s="3" t="s">
        <v>17</v>
      </c>
      <c r="K213" s="2" t="str">
        <f>J213*272.00</f>
        <v>0</v>
      </c>
      <c r="L213" s="5"/>
    </row>
    <row r="214" spans="1:12" customHeight="1" ht="105" outlineLevel="3">
      <c r="A214" s="1"/>
      <c r="B214" s="1">
        <v>820316</v>
      </c>
      <c r="C214" s="1" t="s">
        <v>838</v>
      </c>
      <c r="D214" s="1" t="s">
        <v>839</v>
      </c>
      <c r="E214" s="2" t="s">
        <v>840</v>
      </c>
      <c r="F214" s="2" t="s">
        <v>841</v>
      </c>
      <c r="G214" s="2" t="s">
        <v>22</v>
      </c>
      <c r="H214" s="2" t="s">
        <v>42</v>
      </c>
      <c r="I214" s="1">
        <v>0</v>
      </c>
      <c r="J214" s="3" t="s">
        <v>17</v>
      </c>
      <c r="K214" s="2" t="str">
        <f>J214*449.00</f>
        <v>0</v>
      </c>
      <c r="L214" s="5"/>
    </row>
    <row r="215" spans="1:12" customHeight="1" ht="105" outlineLevel="3">
      <c r="A215" s="1"/>
      <c r="B215" s="1">
        <v>820317</v>
      </c>
      <c r="C215" s="1" t="s">
        <v>842</v>
      </c>
      <c r="D215" s="1" t="s">
        <v>843</v>
      </c>
      <c r="E215" s="2" t="s">
        <v>844</v>
      </c>
      <c r="F215" s="2" t="s">
        <v>110</v>
      </c>
      <c r="G215" s="2" t="s">
        <v>22</v>
      </c>
      <c r="H215" s="2" t="s">
        <v>22</v>
      </c>
      <c r="I215" s="1">
        <v>0</v>
      </c>
      <c r="J215" s="3" t="s">
        <v>17</v>
      </c>
      <c r="K215" s="2" t="str">
        <f>J215*306.00</f>
        <v>0</v>
      </c>
      <c r="L215" s="5"/>
    </row>
    <row r="216" spans="1:12" customHeight="1" ht="105" outlineLevel="3">
      <c r="A216" s="1"/>
      <c r="B216" s="1">
        <v>820318</v>
      </c>
      <c r="C216" s="1" t="s">
        <v>845</v>
      </c>
      <c r="D216" s="1" t="s">
        <v>846</v>
      </c>
      <c r="E216" s="2" t="s">
        <v>847</v>
      </c>
      <c r="F216" s="2" t="s">
        <v>848</v>
      </c>
      <c r="G216" s="2">
        <v>9</v>
      </c>
      <c r="H216" s="2" t="s">
        <v>23</v>
      </c>
      <c r="I216" s="1">
        <v>0</v>
      </c>
      <c r="J216" s="3" t="s">
        <v>17</v>
      </c>
      <c r="K216" s="2" t="str">
        <f>J216*629.00</f>
        <v>0</v>
      </c>
      <c r="L216" s="5"/>
    </row>
    <row r="217" spans="1:12" customHeight="1" ht="105" outlineLevel="3">
      <c r="A217" s="1"/>
      <c r="B217" s="1">
        <v>820319</v>
      </c>
      <c r="C217" s="1" t="s">
        <v>849</v>
      </c>
      <c r="D217" s="1" t="s">
        <v>850</v>
      </c>
      <c r="E217" s="2" t="s">
        <v>851</v>
      </c>
      <c r="F217" s="2" t="s">
        <v>435</v>
      </c>
      <c r="G217" s="2">
        <v>10</v>
      </c>
      <c r="H217" s="2" t="s">
        <v>42</v>
      </c>
      <c r="I217" s="1">
        <v>0</v>
      </c>
      <c r="J217" s="3" t="s">
        <v>17</v>
      </c>
      <c r="K217" s="2" t="str">
        <f>J217*429.00</f>
        <v>0</v>
      </c>
      <c r="L217" s="5"/>
    </row>
    <row r="218" spans="1:12" customHeight="1" ht="105" outlineLevel="3">
      <c r="A218" s="1"/>
      <c r="B218" s="1">
        <v>820320</v>
      </c>
      <c r="C218" s="1" t="s">
        <v>852</v>
      </c>
      <c r="D218" s="1" t="s">
        <v>853</v>
      </c>
      <c r="E218" s="2" t="s">
        <v>854</v>
      </c>
      <c r="F218" s="2" t="s">
        <v>855</v>
      </c>
      <c r="G218" s="2" t="s">
        <v>16</v>
      </c>
      <c r="H218" s="2" t="s">
        <v>42</v>
      </c>
      <c r="I218" s="1">
        <v>0</v>
      </c>
      <c r="J218" s="3" t="s">
        <v>17</v>
      </c>
      <c r="K218" s="2" t="str">
        <f>J218*166.00</f>
        <v>0</v>
      </c>
      <c r="L218" s="5"/>
    </row>
    <row r="219" spans="1:12" customHeight="1" ht="105" outlineLevel="3">
      <c r="A219" s="1"/>
      <c r="B219" s="1">
        <v>820321</v>
      </c>
      <c r="C219" s="1" t="s">
        <v>856</v>
      </c>
      <c r="D219" s="1" t="s">
        <v>857</v>
      </c>
      <c r="E219" s="2" t="s">
        <v>858</v>
      </c>
      <c r="F219" s="2" t="s">
        <v>859</v>
      </c>
      <c r="G219" s="2">
        <v>9</v>
      </c>
      <c r="H219" s="2" t="s">
        <v>42</v>
      </c>
      <c r="I219" s="1">
        <v>0</v>
      </c>
      <c r="J219" s="3" t="s">
        <v>17</v>
      </c>
      <c r="K219" s="2" t="str">
        <f>J219*202.00</f>
        <v>0</v>
      </c>
      <c r="L219" s="5"/>
    </row>
    <row r="220" spans="1:12" customHeight="1" ht="105" outlineLevel="3">
      <c r="A220" s="1"/>
      <c r="B220" s="1">
        <v>820322</v>
      </c>
      <c r="C220" s="1" t="s">
        <v>860</v>
      </c>
      <c r="D220" s="1" t="s">
        <v>861</v>
      </c>
      <c r="E220" s="2" t="s">
        <v>862</v>
      </c>
      <c r="F220" s="2" t="s">
        <v>573</v>
      </c>
      <c r="G220" s="2" t="s">
        <v>22</v>
      </c>
      <c r="H220" s="2" t="s">
        <v>42</v>
      </c>
      <c r="I220" s="1">
        <v>0</v>
      </c>
      <c r="J220" s="3" t="s">
        <v>17</v>
      </c>
      <c r="K220" s="2" t="str">
        <f>J220*241.00</f>
        <v>0</v>
      </c>
      <c r="L220" s="5"/>
    </row>
    <row r="221" spans="1:12" customHeight="1" ht="105" outlineLevel="3">
      <c r="A221" s="1"/>
      <c r="B221" s="1">
        <v>820323</v>
      </c>
      <c r="C221" s="1" t="s">
        <v>863</v>
      </c>
      <c r="D221" s="1" t="s">
        <v>864</v>
      </c>
      <c r="E221" s="2" t="s">
        <v>865</v>
      </c>
      <c r="F221" s="2" t="s">
        <v>866</v>
      </c>
      <c r="G221" s="2" t="s">
        <v>22</v>
      </c>
      <c r="H221" s="2" t="s">
        <v>23</v>
      </c>
      <c r="I221" s="1">
        <v>0</v>
      </c>
      <c r="J221" s="3" t="s">
        <v>17</v>
      </c>
      <c r="K221" s="2" t="str">
        <f>J221*186.00</f>
        <v>0</v>
      </c>
      <c r="L221" s="5"/>
    </row>
    <row r="222" spans="1:12" customHeight="1" ht="105" outlineLevel="3">
      <c r="A222" s="1"/>
      <c r="B222" s="1">
        <v>820324</v>
      </c>
      <c r="C222" s="1" t="s">
        <v>867</v>
      </c>
      <c r="D222" s="1" t="s">
        <v>868</v>
      </c>
      <c r="E222" s="2" t="s">
        <v>869</v>
      </c>
      <c r="F222" s="2" t="s">
        <v>541</v>
      </c>
      <c r="G222" s="2" t="s">
        <v>22</v>
      </c>
      <c r="H222" s="2" t="s">
        <v>23</v>
      </c>
      <c r="I222" s="1">
        <v>0</v>
      </c>
      <c r="J222" s="3" t="s">
        <v>17</v>
      </c>
      <c r="K222" s="2" t="str">
        <f>J222*297.00</f>
        <v>0</v>
      </c>
      <c r="L222" s="5"/>
    </row>
    <row r="223" spans="1:12" customHeight="1" ht="105" outlineLevel="3">
      <c r="A223" s="1"/>
      <c r="B223" s="1">
        <v>820325</v>
      </c>
      <c r="C223" s="1" t="s">
        <v>870</v>
      </c>
      <c r="D223" s="1" t="s">
        <v>871</v>
      </c>
      <c r="E223" s="2" t="s">
        <v>872</v>
      </c>
      <c r="F223" s="2" t="s">
        <v>873</v>
      </c>
      <c r="G223" s="2" t="s">
        <v>32</v>
      </c>
      <c r="H223" s="2" t="s">
        <v>33</v>
      </c>
      <c r="I223" s="1">
        <v>0</v>
      </c>
      <c r="J223" s="3" t="s">
        <v>17</v>
      </c>
      <c r="K223" s="2" t="str">
        <f>J223*105.00</f>
        <v>0</v>
      </c>
      <c r="L223" s="5"/>
    </row>
    <row r="224" spans="1:12" customHeight="1" ht="105" outlineLevel="3">
      <c r="A224" s="1"/>
      <c r="B224" s="1">
        <v>820326</v>
      </c>
      <c r="C224" s="1" t="s">
        <v>874</v>
      </c>
      <c r="D224" s="1" t="s">
        <v>875</v>
      </c>
      <c r="E224" s="2" t="s">
        <v>876</v>
      </c>
      <c r="F224" s="2" t="s">
        <v>877</v>
      </c>
      <c r="G224" s="2" t="s">
        <v>32</v>
      </c>
      <c r="H224" s="2" t="s">
        <v>33</v>
      </c>
      <c r="I224" s="1">
        <v>0</v>
      </c>
      <c r="J224" s="3" t="s">
        <v>17</v>
      </c>
      <c r="K224" s="2" t="str">
        <f>J224*110.00</f>
        <v>0</v>
      </c>
      <c r="L224" s="5"/>
    </row>
    <row r="225" spans="1:12" customHeight="1" ht="105" outlineLevel="3">
      <c r="A225" s="1"/>
      <c r="B225" s="1">
        <v>820327</v>
      </c>
      <c r="C225" s="1" t="s">
        <v>878</v>
      </c>
      <c r="D225" s="1" t="s">
        <v>879</v>
      </c>
      <c r="E225" s="2" t="s">
        <v>880</v>
      </c>
      <c r="F225" s="2" t="s">
        <v>877</v>
      </c>
      <c r="G225" s="2" t="s">
        <v>32</v>
      </c>
      <c r="H225" s="2" t="s">
        <v>42</v>
      </c>
      <c r="I225" s="1">
        <v>0</v>
      </c>
      <c r="J225" s="3" t="s">
        <v>17</v>
      </c>
      <c r="K225" s="2" t="str">
        <f>J225*110.00</f>
        <v>0</v>
      </c>
      <c r="L225" s="5"/>
    </row>
    <row r="226" spans="1:12" customHeight="1" ht="105" outlineLevel="3">
      <c r="A226" s="1"/>
      <c r="B226" s="1">
        <v>820328</v>
      </c>
      <c r="C226" s="1" t="s">
        <v>881</v>
      </c>
      <c r="D226" s="1" t="s">
        <v>882</v>
      </c>
      <c r="E226" s="2" t="s">
        <v>883</v>
      </c>
      <c r="F226" s="2" t="s">
        <v>451</v>
      </c>
      <c r="G226" s="2" t="s">
        <v>16</v>
      </c>
      <c r="H226" s="2" t="s">
        <v>33</v>
      </c>
      <c r="I226" s="1">
        <v>0</v>
      </c>
      <c r="J226" s="3" t="s">
        <v>17</v>
      </c>
      <c r="K226" s="2" t="str">
        <f>J226*119.00</f>
        <v>0</v>
      </c>
      <c r="L226" s="5"/>
    </row>
    <row r="227" spans="1:12" customHeight="1" ht="105" outlineLevel="3">
      <c r="A227" s="1"/>
      <c r="B227" s="1">
        <v>820329</v>
      </c>
      <c r="C227" s="1" t="s">
        <v>884</v>
      </c>
      <c r="D227" s="1" t="s">
        <v>885</v>
      </c>
      <c r="E227" s="2" t="s">
        <v>886</v>
      </c>
      <c r="F227" s="2" t="s">
        <v>887</v>
      </c>
      <c r="G227" s="2" t="s">
        <v>32</v>
      </c>
      <c r="H227" s="2" t="s">
        <v>33</v>
      </c>
      <c r="I227" s="1">
        <v>0</v>
      </c>
      <c r="J227" s="3" t="s">
        <v>17</v>
      </c>
      <c r="K227" s="2" t="str">
        <f>J227*131.00</f>
        <v>0</v>
      </c>
      <c r="L227" s="5"/>
    </row>
    <row r="228" spans="1:12" customHeight="1" ht="105" outlineLevel="3">
      <c r="A228" s="1"/>
      <c r="B228" s="1">
        <v>820330</v>
      </c>
      <c r="C228" s="1" t="s">
        <v>888</v>
      </c>
      <c r="D228" s="1" t="s">
        <v>889</v>
      </c>
      <c r="E228" s="2" t="s">
        <v>890</v>
      </c>
      <c r="F228" s="2" t="s">
        <v>891</v>
      </c>
      <c r="G228" s="2" t="s">
        <v>32</v>
      </c>
      <c r="H228" s="2" t="s">
        <v>33</v>
      </c>
      <c r="I228" s="1">
        <v>0</v>
      </c>
      <c r="J228" s="3" t="s">
        <v>17</v>
      </c>
      <c r="K228" s="2" t="str">
        <f>J228*135.00</f>
        <v>0</v>
      </c>
      <c r="L228" s="5"/>
    </row>
    <row r="229" spans="1:12" customHeight="1" ht="105" outlineLevel="3">
      <c r="A229" s="1"/>
      <c r="B229" s="1">
        <v>820331</v>
      </c>
      <c r="C229" s="1" t="s">
        <v>892</v>
      </c>
      <c r="D229" s="1" t="s">
        <v>893</v>
      </c>
      <c r="E229" s="2" t="s">
        <v>894</v>
      </c>
      <c r="F229" s="2" t="s">
        <v>895</v>
      </c>
      <c r="G229" s="2" t="s">
        <v>32</v>
      </c>
      <c r="H229" s="2" t="s">
        <v>33</v>
      </c>
      <c r="I229" s="1">
        <v>0</v>
      </c>
      <c r="J229" s="3" t="s">
        <v>17</v>
      </c>
      <c r="K229" s="2" t="str">
        <f>J229*182.00</f>
        <v>0</v>
      </c>
      <c r="L229" s="5"/>
    </row>
    <row r="230" spans="1:12" customHeight="1" ht="105" outlineLevel="3">
      <c r="A230" s="1"/>
      <c r="B230" s="1">
        <v>820332</v>
      </c>
      <c r="C230" s="1" t="s">
        <v>896</v>
      </c>
      <c r="D230" s="1" t="s">
        <v>897</v>
      </c>
      <c r="E230" s="2" t="s">
        <v>898</v>
      </c>
      <c r="F230" s="2" t="s">
        <v>899</v>
      </c>
      <c r="G230" s="2" t="s">
        <v>32</v>
      </c>
      <c r="H230" s="2" t="s">
        <v>33</v>
      </c>
      <c r="I230" s="1">
        <v>0</v>
      </c>
      <c r="J230" s="3" t="s">
        <v>17</v>
      </c>
      <c r="K230" s="2" t="str">
        <f>J230*142.00</f>
        <v>0</v>
      </c>
      <c r="L230" s="5"/>
    </row>
    <row r="231" spans="1:12" customHeight="1" ht="105" outlineLevel="3">
      <c r="A231" s="1"/>
      <c r="B231" s="1">
        <v>820333</v>
      </c>
      <c r="C231" s="1" t="s">
        <v>900</v>
      </c>
      <c r="D231" s="1" t="s">
        <v>901</v>
      </c>
      <c r="E231" s="2" t="s">
        <v>902</v>
      </c>
      <c r="F231" s="2" t="s">
        <v>725</v>
      </c>
      <c r="G231" s="2" t="s">
        <v>22</v>
      </c>
      <c r="H231" s="2" t="s">
        <v>23</v>
      </c>
      <c r="I231" s="1">
        <v>0</v>
      </c>
      <c r="J231" s="3" t="s">
        <v>17</v>
      </c>
      <c r="K231" s="2" t="str">
        <f>J231*240.00</f>
        <v>0</v>
      </c>
      <c r="L231" s="5"/>
    </row>
    <row r="232" spans="1:12" customHeight="1" ht="105" outlineLevel="3">
      <c r="A232" s="1"/>
      <c r="B232" s="1">
        <v>820334</v>
      </c>
      <c r="C232" s="1" t="s">
        <v>903</v>
      </c>
      <c r="D232" s="1" t="s">
        <v>904</v>
      </c>
      <c r="E232" s="2" t="s">
        <v>905</v>
      </c>
      <c r="F232" s="2" t="s">
        <v>906</v>
      </c>
      <c r="G232" s="2" t="s">
        <v>16</v>
      </c>
      <c r="H232" s="2" t="s">
        <v>33</v>
      </c>
      <c r="I232" s="1">
        <v>0</v>
      </c>
      <c r="J232" s="3" t="s">
        <v>17</v>
      </c>
      <c r="K232" s="2" t="str">
        <f>J232*219.00</f>
        <v>0</v>
      </c>
      <c r="L232" s="5"/>
    </row>
    <row r="233" spans="1:12" customHeight="1" ht="105" outlineLevel="3">
      <c r="A233" s="1"/>
      <c r="B233" s="1">
        <v>820335</v>
      </c>
      <c r="C233" s="1" t="s">
        <v>907</v>
      </c>
      <c r="D233" s="1" t="s">
        <v>908</v>
      </c>
      <c r="E233" s="2" t="s">
        <v>909</v>
      </c>
      <c r="F233" s="2" t="s">
        <v>294</v>
      </c>
      <c r="G233" s="2" t="s">
        <v>22</v>
      </c>
      <c r="H233" s="2" t="s">
        <v>42</v>
      </c>
      <c r="I233" s="1">
        <v>0</v>
      </c>
      <c r="J233" s="3" t="s">
        <v>17</v>
      </c>
      <c r="K233" s="2" t="str">
        <f>J233*329.00</f>
        <v>0</v>
      </c>
      <c r="L233" s="5"/>
    </row>
    <row r="234" spans="1:12" customHeight="1" ht="105" outlineLevel="3">
      <c r="A234" s="1"/>
      <c r="B234" s="1">
        <v>820336</v>
      </c>
      <c r="C234" s="1" t="s">
        <v>910</v>
      </c>
      <c r="D234" s="1" t="s">
        <v>911</v>
      </c>
      <c r="E234" s="2" t="s">
        <v>912</v>
      </c>
      <c r="F234" s="2" t="s">
        <v>913</v>
      </c>
      <c r="G234" s="2" t="s">
        <v>22</v>
      </c>
      <c r="H234" s="2" t="s">
        <v>42</v>
      </c>
      <c r="I234" s="1">
        <v>0</v>
      </c>
      <c r="J234" s="3" t="s">
        <v>17</v>
      </c>
      <c r="K234" s="2" t="str">
        <f>J234*369.00</f>
        <v>0</v>
      </c>
      <c r="L234" s="5"/>
    </row>
    <row r="235" spans="1:12" customHeight="1" ht="105" outlineLevel="3">
      <c r="A235" s="1"/>
      <c r="B235" s="1">
        <v>820337</v>
      </c>
      <c r="C235" s="1" t="s">
        <v>914</v>
      </c>
      <c r="D235" s="1" t="s">
        <v>915</v>
      </c>
      <c r="E235" s="2" t="s">
        <v>916</v>
      </c>
      <c r="F235" s="2" t="s">
        <v>917</v>
      </c>
      <c r="G235" s="2" t="s">
        <v>22</v>
      </c>
      <c r="H235" s="2" t="s">
        <v>23</v>
      </c>
      <c r="I235" s="1">
        <v>0</v>
      </c>
      <c r="J235" s="3" t="s">
        <v>17</v>
      </c>
      <c r="K235" s="2" t="str">
        <f>J235*574.00</f>
        <v>0</v>
      </c>
      <c r="L235" s="5"/>
    </row>
    <row r="236" spans="1:12" customHeight="1" ht="105" outlineLevel="3">
      <c r="A236" s="1"/>
      <c r="B236" s="1">
        <v>820338</v>
      </c>
      <c r="C236" s="1" t="s">
        <v>918</v>
      </c>
      <c r="D236" s="1" t="s">
        <v>919</v>
      </c>
      <c r="E236" s="2" t="s">
        <v>920</v>
      </c>
      <c r="F236" s="2" t="s">
        <v>431</v>
      </c>
      <c r="G236" s="2">
        <v>4</v>
      </c>
      <c r="H236" s="2" t="s">
        <v>23</v>
      </c>
      <c r="I236" s="1">
        <v>0</v>
      </c>
      <c r="J236" s="3" t="s">
        <v>17</v>
      </c>
      <c r="K236" s="2" t="str">
        <f>J236*848.00</f>
        <v>0</v>
      </c>
      <c r="L236" s="5"/>
    </row>
    <row r="237" spans="1:12" customHeight="1" ht="105" outlineLevel="3">
      <c r="A237" s="1"/>
      <c r="B237" s="1">
        <v>820339</v>
      </c>
      <c r="C237" s="1" t="s">
        <v>921</v>
      </c>
      <c r="D237" s="1" t="s">
        <v>922</v>
      </c>
      <c r="E237" s="2" t="s">
        <v>923</v>
      </c>
      <c r="F237" s="2" t="s">
        <v>924</v>
      </c>
      <c r="G237" s="2">
        <v>10</v>
      </c>
      <c r="H237" s="2" t="s">
        <v>32</v>
      </c>
      <c r="I237" s="1">
        <v>0</v>
      </c>
      <c r="J237" s="3" t="s">
        <v>17</v>
      </c>
      <c r="K237" s="2" t="str">
        <f>J237*1038.00</f>
        <v>0</v>
      </c>
      <c r="L237" s="5"/>
    </row>
    <row r="238" spans="1:12" customHeight="1" ht="105" outlineLevel="3">
      <c r="A238" s="1"/>
      <c r="B238" s="1">
        <v>820340</v>
      </c>
      <c r="C238" s="1" t="s">
        <v>925</v>
      </c>
      <c r="D238" s="1" t="s">
        <v>926</v>
      </c>
      <c r="E238" s="2" t="s">
        <v>927</v>
      </c>
      <c r="F238" s="2" t="s">
        <v>294</v>
      </c>
      <c r="G238" s="2" t="s">
        <v>16</v>
      </c>
      <c r="H238" s="2" t="s">
        <v>23</v>
      </c>
      <c r="I238" s="1">
        <v>0</v>
      </c>
      <c r="J238" s="3" t="s">
        <v>17</v>
      </c>
      <c r="K238" s="2" t="str">
        <f>J238*329.00</f>
        <v>0</v>
      </c>
      <c r="L238" s="5"/>
    </row>
    <row r="239" spans="1:12" customHeight="1" ht="105" outlineLevel="3">
      <c r="A239" s="1"/>
      <c r="B239" s="1">
        <v>820341</v>
      </c>
      <c r="C239" s="1" t="s">
        <v>928</v>
      </c>
      <c r="D239" s="1" t="s">
        <v>929</v>
      </c>
      <c r="E239" s="2" t="s">
        <v>930</v>
      </c>
      <c r="F239" s="2" t="s">
        <v>931</v>
      </c>
      <c r="G239" s="2" t="s">
        <v>22</v>
      </c>
      <c r="H239" s="2" t="s">
        <v>23</v>
      </c>
      <c r="I239" s="1">
        <v>0</v>
      </c>
      <c r="J239" s="3" t="s">
        <v>17</v>
      </c>
      <c r="K239" s="2" t="str">
        <f>J239*379.00</f>
        <v>0</v>
      </c>
      <c r="L239" s="5"/>
    </row>
    <row r="240" spans="1:12" customHeight="1" ht="105" outlineLevel="3">
      <c r="A240" s="1"/>
      <c r="B240" s="1">
        <v>820342</v>
      </c>
      <c r="C240" s="1" t="s">
        <v>932</v>
      </c>
      <c r="D240" s="1" t="s">
        <v>933</v>
      </c>
      <c r="E240" s="2" t="s">
        <v>934</v>
      </c>
      <c r="F240" s="2" t="s">
        <v>935</v>
      </c>
      <c r="G240" s="2" t="s">
        <v>22</v>
      </c>
      <c r="H240" s="2" t="s">
        <v>23</v>
      </c>
      <c r="I240" s="1">
        <v>0</v>
      </c>
      <c r="J240" s="3" t="s">
        <v>17</v>
      </c>
      <c r="K240" s="2" t="str">
        <f>J240*535.00</f>
        <v>0</v>
      </c>
      <c r="L240" s="5"/>
    </row>
    <row r="241" spans="1:12" customHeight="1" ht="105" outlineLevel="3">
      <c r="A241" s="1"/>
      <c r="B241" s="1">
        <v>820343</v>
      </c>
      <c r="C241" s="1" t="s">
        <v>936</v>
      </c>
      <c r="D241" s="1" t="s">
        <v>937</v>
      </c>
      <c r="E241" s="2" t="s">
        <v>938</v>
      </c>
      <c r="F241" s="2" t="s">
        <v>663</v>
      </c>
      <c r="G241" s="2" t="s">
        <v>22</v>
      </c>
      <c r="H241" s="2" t="s">
        <v>32</v>
      </c>
      <c r="I241" s="1">
        <v>0</v>
      </c>
      <c r="J241" s="3" t="s">
        <v>17</v>
      </c>
      <c r="K241" s="2" t="str">
        <f>J241*793.00</f>
        <v>0</v>
      </c>
      <c r="L241" s="5"/>
    </row>
    <row r="242" spans="1:12" customHeight="1" ht="105" outlineLevel="3">
      <c r="A242" s="1"/>
      <c r="B242" s="1">
        <v>820344</v>
      </c>
      <c r="C242" s="1" t="s">
        <v>939</v>
      </c>
      <c r="D242" s="1" t="s">
        <v>940</v>
      </c>
      <c r="E242" s="2" t="s">
        <v>941</v>
      </c>
      <c r="F242" s="2" t="s">
        <v>942</v>
      </c>
      <c r="G242" s="2">
        <v>6</v>
      </c>
      <c r="H242" s="2" t="s">
        <v>23</v>
      </c>
      <c r="I242" s="1">
        <v>0</v>
      </c>
      <c r="J242" s="3" t="s">
        <v>17</v>
      </c>
      <c r="K242" s="2" t="str">
        <f>J242*921.00</f>
        <v>0</v>
      </c>
      <c r="L242" s="5"/>
    </row>
    <row r="243" spans="1:12" customHeight="1" ht="105" outlineLevel="3">
      <c r="A243" s="1"/>
      <c r="B243" s="1">
        <v>820345</v>
      </c>
      <c r="C243" s="1" t="s">
        <v>943</v>
      </c>
      <c r="D243" s="1" t="s">
        <v>944</v>
      </c>
      <c r="E243" s="2" t="s">
        <v>945</v>
      </c>
      <c r="F243" s="2" t="s">
        <v>946</v>
      </c>
      <c r="G243" s="2" t="s">
        <v>32</v>
      </c>
      <c r="H243" s="2" t="s">
        <v>33</v>
      </c>
      <c r="I243" s="1">
        <v>0</v>
      </c>
      <c r="J243" s="3" t="s">
        <v>17</v>
      </c>
      <c r="K243" s="2" t="str">
        <f>J243*109.00</f>
        <v>0</v>
      </c>
      <c r="L243" s="5"/>
    </row>
    <row r="244" spans="1:12" customHeight="1" ht="105" outlineLevel="3">
      <c r="A244" s="1"/>
      <c r="B244" s="1">
        <v>820346</v>
      </c>
      <c r="C244" s="1" t="s">
        <v>947</v>
      </c>
      <c r="D244" s="1" t="s">
        <v>948</v>
      </c>
      <c r="E244" s="2" t="s">
        <v>949</v>
      </c>
      <c r="F244" s="2" t="s">
        <v>950</v>
      </c>
      <c r="G244" s="2" t="s">
        <v>32</v>
      </c>
      <c r="H244" s="2" t="s">
        <v>33</v>
      </c>
      <c r="I244" s="1">
        <v>0</v>
      </c>
      <c r="J244" s="3" t="s">
        <v>17</v>
      </c>
      <c r="K244" s="2" t="str">
        <f>J244*115.00</f>
        <v>0</v>
      </c>
      <c r="L244" s="5"/>
    </row>
    <row r="245" spans="1:12" customHeight="1" ht="105" outlineLevel="3">
      <c r="A245" s="1"/>
      <c r="B245" s="1">
        <v>820347</v>
      </c>
      <c r="C245" s="1" t="s">
        <v>951</v>
      </c>
      <c r="D245" s="1" t="s">
        <v>952</v>
      </c>
      <c r="E245" s="2" t="s">
        <v>953</v>
      </c>
      <c r="F245" s="2" t="s">
        <v>954</v>
      </c>
      <c r="G245" s="2" t="s">
        <v>16</v>
      </c>
      <c r="H245" s="2" t="s">
        <v>33</v>
      </c>
      <c r="I245" s="1">
        <v>0</v>
      </c>
      <c r="J245" s="3" t="s">
        <v>17</v>
      </c>
      <c r="K245" s="2" t="str">
        <f>J245*120.00</f>
        <v>0</v>
      </c>
      <c r="L245" s="5"/>
    </row>
    <row r="246" spans="1:12" customHeight="1" ht="105" outlineLevel="3">
      <c r="A246" s="1"/>
      <c r="B246" s="1">
        <v>820348</v>
      </c>
      <c r="C246" s="1" t="s">
        <v>955</v>
      </c>
      <c r="D246" s="1" t="s">
        <v>956</v>
      </c>
      <c r="E246" s="2" t="s">
        <v>957</v>
      </c>
      <c r="F246" s="2" t="s">
        <v>721</v>
      </c>
      <c r="G246" s="2" t="s">
        <v>32</v>
      </c>
      <c r="H246" s="2" t="s">
        <v>42</v>
      </c>
      <c r="I246" s="1">
        <v>0</v>
      </c>
      <c r="J246" s="3" t="s">
        <v>17</v>
      </c>
      <c r="K246" s="2" t="str">
        <f>J246*126.00</f>
        <v>0</v>
      </c>
      <c r="L246" s="5"/>
    </row>
    <row r="247" spans="1:12" customHeight="1" ht="105" outlineLevel="3">
      <c r="A247" s="1"/>
      <c r="B247" s="1">
        <v>820349</v>
      </c>
      <c r="C247" s="1" t="s">
        <v>958</v>
      </c>
      <c r="D247" s="1" t="s">
        <v>959</v>
      </c>
      <c r="E247" s="2" t="s">
        <v>960</v>
      </c>
      <c r="F247" s="2" t="s">
        <v>954</v>
      </c>
      <c r="G247" s="2" t="s">
        <v>32</v>
      </c>
      <c r="H247" s="2" t="s">
        <v>33</v>
      </c>
      <c r="I247" s="1">
        <v>0</v>
      </c>
      <c r="J247" s="3" t="s">
        <v>17</v>
      </c>
      <c r="K247" s="2" t="str">
        <f>J247*120.00</f>
        <v>0</v>
      </c>
      <c r="L247" s="5"/>
    </row>
    <row r="248" spans="1:12" customHeight="1" ht="105" outlineLevel="3">
      <c r="A248" s="1"/>
      <c r="B248" s="1">
        <v>820350</v>
      </c>
      <c r="C248" s="1" t="s">
        <v>961</v>
      </c>
      <c r="D248" s="1" t="s">
        <v>962</v>
      </c>
      <c r="E248" s="2" t="s">
        <v>963</v>
      </c>
      <c r="F248" s="2" t="s">
        <v>891</v>
      </c>
      <c r="G248" s="2" t="s">
        <v>16</v>
      </c>
      <c r="H248" s="2" t="s">
        <v>33</v>
      </c>
      <c r="I248" s="1">
        <v>0</v>
      </c>
      <c r="J248" s="3" t="s">
        <v>17</v>
      </c>
      <c r="K248" s="2" t="str">
        <f>J248*135.00</f>
        <v>0</v>
      </c>
      <c r="L248" s="5"/>
    </row>
    <row r="249" spans="1:12" customHeight="1" ht="105" outlineLevel="3">
      <c r="A249" s="1"/>
      <c r="B249" s="1">
        <v>820351</v>
      </c>
      <c r="C249" s="1" t="s">
        <v>964</v>
      </c>
      <c r="D249" s="1" t="s">
        <v>965</v>
      </c>
      <c r="E249" s="2" t="s">
        <v>966</v>
      </c>
      <c r="F249" s="2" t="s">
        <v>767</v>
      </c>
      <c r="G249" s="2" t="s">
        <v>16</v>
      </c>
      <c r="H249" s="2" t="s">
        <v>42</v>
      </c>
      <c r="I249" s="1">
        <v>0</v>
      </c>
      <c r="J249" s="3" t="s">
        <v>17</v>
      </c>
      <c r="K249" s="2" t="str">
        <f>J249*207.00</f>
        <v>0</v>
      </c>
      <c r="L249" s="5"/>
    </row>
    <row r="250" spans="1:12" customHeight="1" ht="105" outlineLevel="3">
      <c r="A250" s="1"/>
      <c r="B250" s="1">
        <v>820352</v>
      </c>
      <c r="C250" s="1" t="s">
        <v>967</v>
      </c>
      <c r="D250" s="1" t="s">
        <v>968</v>
      </c>
      <c r="E250" s="2" t="s">
        <v>969</v>
      </c>
      <c r="F250" s="2" t="s">
        <v>970</v>
      </c>
      <c r="G250" s="2" t="s">
        <v>42</v>
      </c>
      <c r="H250" s="2" t="s">
        <v>33</v>
      </c>
      <c r="I250" s="1">
        <v>0</v>
      </c>
      <c r="J250" s="3" t="s">
        <v>17</v>
      </c>
      <c r="K250" s="2" t="str">
        <f>J250*37.00</f>
        <v>0</v>
      </c>
      <c r="L250" s="5"/>
    </row>
    <row r="251" spans="1:12" customHeight="1" ht="105" outlineLevel="3">
      <c r="A251" s="1"/>
      <c r="B251" s="1">
        <v>820353</v>
      </c>
      <c r="C251" s="1" t="s">
        <v>971</v>
      </c>
      <c r="D251" s="1" t="s">
        <v>972</v>
      </c>
      <c r="E251" s="2" t="s">
        <v>973</v>
      </c>
      <c r="F251" s="2" t="s">
        <v>974</v>
      </c>
      <c r="G251" s="2" t="s">
        <v>23</v>
      </c>
      <c r="H251" s="2" t="s">
        <v>33</v>
      </c>
      <c r="I251" s="1">
        <v>0</v>
      </c>
      <c r="J251" s="3" t="s">
        <v>17</v>
      </c>
      <c r="K251" s="2" t="str">
        <f>J251*73.00</f>
        <v>0</v>
      </c>
      <c r="L251" s="5"/>
    </row>
    <row r="252" spans="1:12" customHeight="1" ht="105" outlineLevel="3">
      <c r="A252" s="1"/>
      <c r="B252" s="1">
        <v>820354</v>
      </c>
      <c r="C252" s="1" t="s">
        <v>975</v>
      </c>
      <c r="D252" s="1" t="s">
        <v>976</v>
      </c>
      <c r="E252" s="2" t="s">
        <v>977</v>
      </c>
      <c r="F252" s="2" t="s">
        <v>978</v>
      </c>
      <c r="G252" s="2" t="s">
        <v>22</v>
      </c>
      <c r="H252" s="2" t="s">
        <v>33</v>
      </c>
      <c r="I252" s="1">
        <v>0</v>
      </c>
      <c r="J252" s="3" t="s">
        <v>17</v>
      </c>
      <c r="K252" s="2" t="str">
        <f>J252*80.00</f>
        <v>0</v>
      </c>
      <c r="L252" s="5"/>
    </row>
    <row r="253" spans="1:12" customHeight="1" ht="105" outlineLevel="3">
      <c r="A253" s="1"/>
      <c r="B253" s="1">
        <v>820355</v>
      </c>
      <c r="C253" s="1" t="s">
        <v>979</v>
      </c>
      <c r="D253" s="1" t="s">
        <v>980</v>
      </c>
      <c r="E253" s="2" t="s">
        <v>981</v>
      </c>
      <c r="F253" s="2" t="s">
        <v>982</v>
      </c>
      <c r="G253" s="2">
        <v>3</v>
      </c>
      <c r="H253" s="2" t="s">
        <v>42</v>
      </c>
      <c r="I253" s="1">
        <v>0</v>
      </c>
      <c r="J253" s="3" t="s">
        <v>17</v>
      </c>
      <c r="K253" s="2" t="str">
        <f>J253*116.00</f>
        <v>0</v>
      </c>
      <c r="L253" s="5"/>
    </row>
    <row r="254" spans="1:12" customHeight="1" ht="105" outlineLevel="3">
      <c r="A254" s="1"/>
      <c r="B254" s="1">
        <v>820356</v>
      </c>
      <c r="C254" s="1" t="s">
        <v>983</v>
      </c>
      <c r="D254" s="1" t="s">
        <v>984</v>
      </c>
      <c r="E254" s="2" t="s">
        <v>985</v>
      </c>
      <c r="F254" s="2" t="s">
        <v>986</v>
      </c>
      <c r="G254" s="2" t="s">
        <v>22</v>
      </c>
      <c r="H254" s="2" t="s">
        <v>23</v>
      </c>
      <c r="I254" s="1">
        <v>0</v>
      </c>
      <c r="J254" s="3" t="s">
        <v>17</v>
      </c>
      <c r="K254" s="2" t="str">
        <f>J254*178.00</f>
        <v>0</v>
      </c>
      <c r="L254" s="5"/>
    </row>
    <row r="255" spans="1:12" customHeight="1" ht="105" outlineLevel="3">
      <c r="A255" s="1"/>
      <c r="B255" s="1">
        <v>820357</v>
      </c>
      <c r="C255" s="1" t="s">
        <v>987</v>
      </c>
      <c r="D255" s="1" t="s">
        <v>988</v>
      </c>
      <c r="E255" s="2" t="s">
        <v>989</v>
      </c>
      <c r="F255" s="2" t="s">
        <v>353</v>
      </c>
      <c r="G255" s="2" t="s">
        <v>22</v>
      </c>
      <c r="H255" s="2" t="s">
        <v>23</v>
      </c>
      <c r="I255" s="1">
        <v>0</v>
      </c>
      <c r="J255" s="3" t="s">
        <v>17</v>
      </c>
      <c r="K255" s="2" t="str">
        <f>J255*406.00</f>
        <v>0</v>
      </c>
      <c r="L255" s="5"/>
    </row>
    <row r="256" spans="1:12" customHeight="1" ht="105" outlineLevel="3">
      <c r="A256" s="1"/>
      <c r="B256" s="1">
        <v>820358</v>
      </c>
      <c r="C256" s="1" t="s">
        <v>990</v>
      </c>
      <c r="D256" s="1" t="s">
        <v>991</v>
      </c>
      <c r="E256" s="2" t="s">
        <v>992</v>
      </c>
      <c r="F256" s="2" t="s">
        <v>993</v>
      </c>
      <c r="G256" s="2" t="s">
        <v>22</v>
      </c>
      <c r="H256" s="2" t="s">
        <v>23</v>
      </c>
      <c r="I256" s="1">
        <v>0</v>
      </c>
      <c r="J256" s="3" t="s">
        <v>17</v>
      </c>
      <c r="K256" s="2" t="str">
        <f>J256*92.00</f>
        <v>0</v>
      </c>
      <c r="L256" s="5"/>
    </row>
    <row r="257" spans="1:12" customHeight="1" ht="105" outlineLevel="3">
      <c r="A257" s="1"/>
      <c r="B257" s="1">
        <v>820359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 t="s">
        <v>32</v>
      </c>
      <c r="H257" s="2" t="s">
        <v>23</v>
      </c>
      <c r="I257" s="1">
        <v>0</v>
      </c>
      <c r="J257" s="3" t="s">
        <v>17</v>
      </c>
      <c r="K257" s="2" t="str">
        <f>J257*102.00</f>
        <v>0</v>
      </c>
      <c r="L257" s="5"/>
    </row>
    <row r="258" spans="1:12" customHeight="1" ht="105" outlineLevel="3">
      <c r="A258" s="1"/>
      <c r="B258" s="1">
        <v>820360</v>
      </c>
      <c r="C258" s="1" t="s">
        <v>998</v>
      </c>
      <c r="D258" s="1" t="s">
        <v>999</v>
      </c>
      <c r="E258" s="2" t="s">
        <v>1000</v>
      </c>
      <c r="F258" s="2" t="s">
        <v>986</v>
      </c>
      <c r="G258" s="2" t="s">
        <v>22</v>
      </c>
      <c r="H258" s="2" t="s">
        <v>42</v>
      </c>
      <c r="I258" s="1">
        <v>0</v>
      </c>
      <c r="J258" s="3" t="s">
        <v>17</v>
      </c>
      <c r="K258" s="2" t="str">
        <f>J258*178.00</f>
        <v>0</v>
      </c>
      <c r="L258" s="5"/>
    </row>
    <row r="259" spans="1:12" customHeight="1" ht="105" outlineLevel="3">
      <c r="A259" s="1"/>
      <c r="B259" s="1">
        <v>820361</v>
      </c>
      <c r="C259" s="1" t="s">
        <v>1001</v>
      </c>
      <c r="D259" s="1" t="s">
        <v>1002</v>
      </c>
      <c r="E259" s="2" t="s">
        <v>1003</v>
      </c>
      <c r="F259" s="2" t="s">
        <v>1004</v>
      </c>
      <c r="G259" s="2">
        <v>8</v>
      </c>
      <c r="H259" s="2" t="s">
        <v>32</v>
      </c>
      <c r="I259" s="1">
        <v>0</v>
      </c>
      <c r="J259" s="3" t="s">
        <v>17</v>
      </c>
      <c r="K259" s="2" t="str">
        <f>J259*290.00</f>
        <v>0</v>
      </c>
      <c r="L259" s="5"/>
    </row>
    <row r="260" spans="1:12" customHeight="1" ht="105" outlineLevel="3">
      <c r="A260" s="1"/>
      <c r="B260" s="1">
        <v>820362</v>
      </c>
      <c r="C260" s="1" t="s">
        <v>1005</v>
      </c>
      <c r="D260" s="1" t="s">
        <v>1006</v>
      </c>
      <c r="E260" s="2" t="s">
        <v>1007</v>
      </c>
      <c r="F260" s="2" t="s">
        <v>1008</v>
      </c>
      <c r="G260" s="2" t="s">
        <v>16</v>
      </c>
      <c r="H260" s="2" t="s">
        <v>42</v>
      </c>
      <c r="I260" s="1">
        <v>0</v>
      </c>
      <c r="J260" s="3" t="s">
        <v>17</v>
      </c>
      <c r="K260" s="2" t="str">
        <f>J260*48.00</f>
        <v>0</v>
      </c>
      <c r="L260" s="5"/>
    </row>
    <row r="261" spans="1:12" customHeight="1" ht="105" outlineLevel="3">
      <c r="A261" s="1"/>
      <c r="B261" s="1">
        <v>820363</v>
      </c>
      <c r="C261" s="1" t="s">
        <v>1009</v>
      </c>
      <c r="D261" s="1" t="s">
        <v>1010</v>
      </c>
      <c r="E261" s="2" t="s">
        <v>1011</v>
      </c>
      <c r="F261" s="2" t="s">
        <v>694</v>
      </c>
      <c r="G261" s="2" t="s">
        <v>16</v>
      </c>
      <c r="H261" s="2" t="s">
        <v>23</v>
      </c>
      <c r="I261" s="1">
        <v>0</v>
      </c>
      <c r="J261" s="3" t="s">
        <v>17</v>
      </c>
      <c r="K261" s="2" t="str">
        <f>J261*70.00</f>
        <v>0</v>
      </c>
      <c r="L261" s="5"/>
    </row>
    <row r="262" spans="1:12" customHeight="1" ht="105" outlineLevel="3">
      <c r="A262" s="1"/>
      <c r="B262" s="1">
        <v>820364</v>
      </c>
      <c r="C262" s="1" t="s">
        <v>1012</v>
      </c>
      <c r="D262" s="1" t="s">
        <v>1013</v>
      </c>
      <c r="E262" s="2" t="s">
        <v>1014</v>
      </c>
      <c r="F262" s="2" t="s">
        <v>1015</v>
      </c>
      <c r="G262" s="2" t="s">
        <v>16</v>
      </c>
      <c r="H262" s="2" t="s">
        <v>42</v>
      </c>
      <c r="I262" s="1">
        <v>0</v>
      </c>
      <c r="J262" s="3" t="s">
        <v>17</v>
      </c>
      <c r="K262" s="2" t="str">
        <f>J262*87.00</f>
        <v>0</v>
      </c>
      <c r="L262" s="5"/>
    </row>
    <row r="263" spans="1:12" customHeight="1" ht="105" outlineLevel="3">
      <c r="A263" s="1"/>
      <c r="B263" s="1">
        <v>820365</v>
      </c>
      <c r="C263" s="1" t="s">
        <v>1016</v>
      </c>
      <c r="D263" s="1" t="s">
        <v>1017</v>
      </c>
      <c r="E263" s="2" t="s">
        <v>1018</v>
      </c>
      <c r="F263" s="2" t="s">
        <v>1019</v>
      </c>
      <c r="G263" s="2" t="s">
        <v>16</v>
      </c>
      <c r="H263" s="2" t="s">
        <v>42</v>
      </c>
      <c r="I263" s="1">
        <v>0</v>
      </c>
      <c r="J263" s="3" t="s">
        <v>17</v>
      </c>
      <c r="K263" s="2" t="str">
        <f>J263*103.00</f>
        <v>0</v>
      </c>
      <c r="L263" s="5"/>
    </row>
    <row r="264" spans="1:12" customHeight="1" ht="105" outlineLevel="3">
      <c r="A264" s="1"/>
      <c r="B264" s="1">
        <v>820366</v>
      </c>
      <c r="C264" s="1" t="s">
        <v>1020</v>
      </c>
      <c r="D264" s="1" t="s">
        <v>1021</v>
      </c>
      <c r="E264" s="2" t="s">
        <v>1022</v>
      </c>
      <c r="F264" s="2" t="s">
        <v>946</v>
      </c>
      <c r="G264" s="2" t="s">
        <v>16</v>
      </c>
      <c r="H264" s="2" t="s">
        <v>42</v>
      </c>
      <c r="I264" s="1">
        <v>0</v>
      </c>
      <c r="J264" s="3" t="s">
        <v>17</v>
      </c>
      <c r="K264" s="2" t="str">
        <f>J264*109.00</f>
        <v>0</v>
      </c>
      <c r="L264" s="5"/>
    </row>
    <row r="265" spans="1:12" customHeight="1" ht="105" outlineLevel="3">
      <c r="A265" s="1"/>
      <c r="B265" s="1">
        <v>820367</v>
      </c>
      <c r="C265" s="1" t="s">
        <v>1023</v>
      </c>
      <c r="D265" s="1" t="s">
        <v>1024</v>
      </c>
      <c r="E265" s="2" t="s">
        <v>1025</v>
      </c>
      <c r="F265" s="2" t="s">
        <v>1026</v>
      </c>
      <c r="G265" s="2" t="s">
        <v>16</v>
      </c>
      <c r="H265" s="2" t="s">
        <v>23</v>
      </c>
      <c r="I265" s="1">
        <v>0</v>
      </c>
      <c r="J265" s="3" t="s">
        <v>17</v>
      </c>
      <c r="K265" s="2" t="str">
        <f>J265*141.00</f>
        <v>0</v>
      </c>
      <c r="L265" s="5"/>
    </row>
    <row r="266" spans="1:12" customHeight="1" ht="105" outlineLevel="3">
      <c r="A266" s="1"/>
      <c r="B266" s="1">
        <v>820368</v>
      </c>
      <c r="C266" s="1" t="s">
        <v>1027</v>
      </c>
      <c r="D266" s="1" t="s">
        <v>1028</v>
      </c>
      <c r="E266" s="2" t="s">
        <v>1029</v>
      </c>
      <c r="F266" s="2" t="s">
        <v>1030</v>
      </c>
      <c r="G266" s="2" t="s">
        <v>22</v>
      </c>
      <c r="H266" s="2" t="s">
        <v>32</v>
      </c>
      <c r="I266" s="1">
        <v>0</v>
      </c>
      <c r="J266" s="3" t="s">
        <v>17</v>
      </c>
      <c r="K266" s="2" t="str">
        <f>J266*164.00</f>
        <v>0</v>
      </c>
      <c r="L266" s="5"/>
    </row>
    <row r="267" spans="1:12" customHeight="1" ht="105" outlineLevel="3">
      <c r="A267" s="1"/>
      <c r="B267" s="1">
        <v>820369</v>
      </c>
      <c r="C267" s="1" t="s">
        <v>1031</v>
      </c>
      <c r="D267" s="1" t="s">
        <v>1032</v>
      </c>
      <c r="E267" s="2" t="s">
        <v>1033</v>
      </c>
      <c r="F267" s="2" t="s">
        <v>1034</v>
      </c>
      <c r="G267" s="2">
        <v>10</v>
      </c>
      <c r="H267" s="2" t="s">
        <v>23</v>
      </c>
      <c r="I267" s="1">
        <v>0</v>
      </c>
      <c r="J267" s="3" t="s">
        <v>17</v>
      </c>
      <c r="K267" s="2" t="str">
        <f>J267*58.00</f>
        <v>0</v>
      </c>
      <c r="L267" s="5"/>
    </row>
    <row r="268" spans="1:12" customHeight="1" ht="105" outlineLevel="3">
      <c r="A268" s="1"/>
      <c r="B268" s="1">
        <v>820370</v>
      </c>
      <c r="C268" s="1" t="s">
        <v>1035</v>
      </c>
      <c r="D268" s="1" t="s">
        <v>1036</v>
      </c>
      <c r="E268" s="2" t="s">
        <v>1037</v>
      </c>
      <c r="F268" s="2" t="s">
        <v>1038</v>
      </c>
      <c r="G268" s="2" t="s">
        <v>22</v>
      </c>
      <c r="H268" s="2" t="s">
        <v>23</v>
      </c>
      <c r="I268" s="1">
        <v>0</v>
      </c>
      <c r="J268" s="3" t="s">
        <v>17</v>
      </c>
      <c r="K268" s="2" t="str">
        <f>J268*96.00</f>
        <v>0</v>
      </c>
      <c r="L268" s="5"/>
    </row>
    <row r="269" spans="1:12" customHeight="1" ht="105" outlineLevel="3">
      <c r="A269" s="1"/>
      <c r="B269" s="1">
        <v>820371</v>
      </c>
      <c r="C269" s="1" t="s">
        <v>1039</v>
      </c>
      <c r="D269" s="1" t="s">
        <v>1040</v>
      </c>
      <c r="E269" s="2" t="s">
        <v>1041</v>
      </c>
      <c r="F269" s="2" t="s">
        <v>322</v>
      </c>
      <c r="G269" s="2" t="s">
        <v>22</v>
      </c>
      <c r="H269" s="2" t="s">
        <v>23</v>
      </c>
      <c r="I269" s="1">
        <v>0</v>
      </c>
      <c r="J269" s="3" t="s">
        <v>17</v>
      </c>
      <c r="K269" s="2" t="str">
        <f>J269*315.00</f>
        <v>0</v>
      </c>
      <c r="L269" s="5"/>
    </row>
    <row r="270" spans="1:12" customHeight="1" ht="105" outlineLevel="3">
      <c r="A270" s="1"/>
      <c r="B270" s="1">
        <v>820372</v>
      </c>
      <c r="C270" s="1" t="s">
        <v>1042</v>
      </c>
      <c r="D270" s="1" t="s">
        <v>1043</v>
      </c>
      <c r="E270" s="2" t="s">
        <v>1044</v>
      </c>
      <c r="F270" s="2" t="s">
        <v>1045</v>
      </c>
      <c r="G270" s="2" t="s">
        <v>22</v>
      </c>
      <c r="H270" s="2" t="s">
        <v>33</v>
      </c>
      <c r="I270" s="1">
        <v>0</v>
      </c>
      <c r="J270" s="3" t="s">
        <v>17</v>
      </c>
      <c r="K270" s="2" t="str">
        <f>J270*230.00</f>
        <v>0</v>
      </c>
      <c r="L270" s="5"/>
    </row>
    <row r="271" spans="1:12" customHeight="1" ht="105" outlineLevel="3">
      <c r="A271" s="1"/>
      <c r="B271" s="1">
        <v>820373</v>
      </c>
      <c r="C271" s="1" t="s">
        <v>1046</v>
      </c>
      <c r="D271" s="1" t="s">
        <v>1047</v>
      </c>
      <c r="E271" s="2" t="s">
        <v>1048</v>
      </c>
      <c r="F271" s="2" t="s">
        <v>27</v>
      </c>
      <c r="G271" s="2" t="s">
        <v>16</v>
      </c>
      <c r="H271" s="2" t="s">
        <v>33</v>
      </c>
      <c r="I271" s="1">
        <v>0</v>
      </c>
      <c r="J271" s="3" t="s">
        <v>17</v>
      </c>
      <c r="K271" s="2" t="str">
        <f>J271*271.00</f>
        <v>0</v>
      </c>
      <c r="L271" s="5"/>
    </row>
    <row r="272" spans="1:12" customHeight="1" ht="105" outlineLevel="3">
      <c r="A272" s="1"/>
      <c r="B272" s="1">
        <v>820374</v>
      </c>
      <c r="C272" s="1" t="s">
        <v>1049</v>
      </c>
      <c r="D272" s="1" t="s">
        <v>1050</v>
      </c>
      <c r="E272" s="2" t="s">
        <v>1051</v>
      </c>
      <c r="F272" s="2" t="s">
        <v>1052</v>
      </c>
      <c r="G272" s="2" t="s">
        <v>22</v>
      </c>
      <c r="H272" s="2" t="s">
        <v>33</v>
      </c>
      <c r="I272" s="1">
        <v>0</v>
      </c>
      <c r="J272" s="3" t="s">
        <v>17</v>
      </c>
      <c r="K272" s="2" t="str">
        <f>J272*448.00</f>
        <v>0</v>
      </c>
      <c r="L272" s="5"/>
    </row>
    <row r="273" spans="1:12" customHeight="1" ht="105" outlineLevel="3">
      <c r="A273" s="1"/>
      <c r="B273" s="1">
        <v>820375</v>
      </c>
      <c r="C273" s="1" t="s">
        <v>1053</v>
      </c>
      <c r="D273" s="1" t="s">
        <v>1054</v>
      </c>
      <c r="E273" s="2" t="s">
        <v>1055</v>
      </c>
      <c r="F273" s="2" t="s">
        <v>1056</v>
      </c>
      <c r="G273" s="2">
        <v>10</v>
      </c>
      <c r="H273" s="2" t="s">
        <v>42</v>
      </c>
      <c r="I273" s="1">
        <v>0</v>
      </c>
      <c r="J273" s="3" t="s">
        <v>17</v>
      </c>
      <c r="K273" s="2" t="str">
        <f>J273*901.00</f>
        <v>0</v>
      </c>
      <c r="L273" s="5"/>
    </row>
    <row r="274" spans="1:12" customHeight="1" ht="105" outlineLevel="3">
      <c r="A274" s="1"/>
      <c r="B274" s="1">
        <v>820376</v>
      </c>
      <c r="C274" s="1" t="s">
        <v>1057</v>
      </c>
      <c r="D274" s="1" t="s">
        <v>1058</v>
      </c>
      <c r="E274" s="2" t="s">
        <v>1059</v>
      </c>
      <c r="F274" s="2" t="s">
        <v>1060</v>
      </c>
      <c r="G274" s="2">
        <v>5</v>
      </c>
      <c r="H274" s="2" t="s">
        <v>23</v>
      </c>
      <c r="I274" s="1">
        <v>0</v>
      </c>
      <c r="J274" s="3" t="s">
        <v>17</v>
      </c>
      <c r="K274" s="2" t="str">
        <f>J274*1296.00</f>
        <v>0</v>
      </c>
      <c r="L274" s="5"/>
    </row>
    <row r="275" spans="1:12" customHeight="1" ht="105" outlineLevel="3">
      <c r="A275" s="1"/>
      <c r="B275" s="1">
        <v>820377</v>
      </c>
      <c r="C275" s="1" t="s">
        <v>1061</v>
      </c>
      <c r="D275" s="1" t="s">
        <v>1062</v>
      </c>
      <c r="E275" s="2" t="s">
        <v>1063</v>
      </c>
      <c r="F275" s="2" t="s">
        <v>1064</v>
      </c>
      <c r="G275" s="2">
        <v>7</v>
      </c>
      <c r="H275" s="2" t="s">
        <v>32</v>
      </c>
      <c r="I275" s="1">
        <v>0</v>
      </c>
      <c r="J275" s="3" t="s">
        <v>17</v>
      </c>
      <c r="K275" s="2" t="str">
        <f>J275*1744.00</f>
        <v>0</v>
      </c>
      <c r="L275" s="5"/>
    </row>
    <row r="276" spans="1:12" customHeight="1" ht="105" outlineLevel="3">
      <c r="A276" s="1"/>
      <c r="B276" s="1">
        <v>820378</v>
      </c>
      <c r="C276" s="1" t="s">
        <v>1065</v>
      </c>
      <c r="D276" s="1" t="s">
        <v>1066</v>
      </c>
      <c r="E276" s="2" t="s">
        <v>1067</v>
      </c>
      <c r="F276" s="2" t="s">
        <v>1068</v>
      </c>
      <c r="G276" s="2">
        <v>2</v>
      </c>
      <c r="H276" s="2" t="s">
        <v>32</v>
      </c>
      <c r="I276" s="1">
        <v>0</v>
      </c>
      <c r="J276" s="3" t="s">
        <v>17</v>
      </c>
      <c r="K276" s="2" t="str">
        <f>J276*4243.00</f>
        <v>0</v>
      </c>
      <c r="L276" s="5"/>
    </row>
    <row r="277" spans="1:12" customHeight="1" ht="105" outlineLevel="3">
      <c r="A277" s="1"/>
      <c r="B277" s="1">
        <v>820379</v>
      </c>
      <c r="C277" s="1" t="s">
        <v>1069</v>
      </c>
      <c r="D277" s="1" t="s">
        <v>1070</v>
      </c>
      <c r="E277" s="2" t="s">
        <v>1071</v>
      </c>
      <c r="F277" s="2" t="s">
        <v>1072</v>
      </c>
      <c r="G277" s="2" t="s">
        <v>32</v>
      </c>
      <c r="H277" s="2" t="s">
        <v>33</v>
      </c>
      <c r="I277" s="1">
        <v>0</v>
      </c>
      <c r="J277" s="3" t="s">
        <v>17</v>
      </c>
      <c r="K277" s="2" t="str">
        <f>J277*424.00</f>
        <v>0</v>
      </c>
      <c r="L277" s="5"/>
    </row>
    <row r="278" spans="1:12" customHeight="1" ht="105" outlineLevel="3">
      <c r="A278" s="1"/>
      <c r="B278" s="1">
        <v>820380</v>
      </c>
      <c r="C278" s="1" t="s">
        <v>1073</v>
      </c>
      <c r="D278" s="1" t="s">
        <v>1074</v>
      </c>
      <c r="E278" s="2" t="s">
        <v>1075</v>
      </c>
      <c r="F278" s="2" t="s">
        <v>1076</v>
      </c>
      <c r="G278" s="2">
        <v>9</v>
      </c>
      <c r="H278" s="2" t="s">
        <v>32</v>
      </c>
      <c r="I278" s="1">
        <v>0</v>
      </c>
      <c r="J278" s="3" t="s">
        <v>17</v>
      </c>
      <c r="K278" s="2" t="str">
        <f>J278*347.00</f>
        <v>0</v>
      </c>
      <c r="L278" s="5"/>
    </row>
    <row r="279" spans="1:12" customHeight="1" ht="105" outlineLevel="3">
      <c r="A279" s="1"/>
      <c r="B279" s="1">
        <v>820381</v>
      </c>
      <c r="C279" s="1" t="s">
        <v>1077</v>
      </c>
      <c r="D279" s="1" t="s">
        <v>1078</v>
      </c>
      <c r="E279" s="2" t="s">
        <v>1079</v>
      </c>
      <c r="F279" s="2" t="s">
        <v>186</v>
      </c>
      <c r="G279" s="2">
        <v>8</v>
      </c>
      <c r="H279" s="2" t="s">
        <v>16</v>
      </c>
      <c r="I279" s="1">
        <v>0</v>
      </c>
      <c r="J279" s="3" t="s">
        <v>17</v>
      </c>
      <c r="K279" s="2" t="str">
        <f>J279*403.00</f>
        <v>0</v>
      </c>
      <c r="L279" s="5"/>
    </row>
    <row r="280" spans="1:12" customHeight="1" ht="105" outlineLevel="3">
      <c r="A280" s="1"/>
      <c r="B280" s="1">
        <v>820382</v>
      </c>
      <c r="C280" s="1" t="s">
        <v>1080</v>
      </c>
      <c r="D280" s="1" t="s">
        <v>1081</v>
      </c>
      <c r="E280" s="2" t="s">
        <v>1082</v>
      </c>
      <c r="F280" s="2" t="s">
        <v>1083</v>
      </c>
      <c r="G280" s="2" t="s">
        <v>22</v>
      </c>
      <c r="H280" s="2" t="s">
        <v>32</v>
      </c>
      <c r="I280" s="1">
        <v>0</v>
      </c>
      <c r="J280" s="3" t="s">
        <v>17</v>
      </c>
      <c r="K280" s="2" t="str">
        <f>J280*431.00</f>
        <v>0</v>
      </c>
      <c r="L280" s="5"/>
    </row>
    <row r="281" spans="1:12" customHeight="1" ht="105" outlineLevel="3">
      <c r="A281" s="1"/>
      <c r="B281" s="1">
        <v>820383</v>
      </c>
      <c r="C281" s="1" t="s">
        <v>1084</v>
      </c>
      <c r="D281" s="1" t="s">
        <v>1085</v>
      </c>
      <c r="E281" s="2" t="s">
        <v>1086</v>
      </c>
      <c r="F281" s="2" t="s">
        <v>917</v>
      </c>
      <c r="G281" s="2" t="s">
        <v>22</v>
      </c>
      <c r="H281" s="2" t="s">
        <v>33</v>
      </c>
      <c r="I281" s="1">
        <v>0</v>
      </c>
      <c r="J281" s="3" t="s">
        <v>17</v>
      </c>
      <c r="K281" s="2" t="str">
        <f>J281*574.00</f>
        <v>0</v>
      </c>
      <c r="L281" s="5"/>
    </row>
    <row r="282" spans="1:12" customHeight="1" ht="105" outlineLevel="3">
      <c r="A282" s="1"/>
      <c r="B282" s="1">
        <v>820384</v>
      </c>
      <c r="C282" s="1" t="s">
        <v>1087</v>
      </c>
      <c r="D282" s="1" t="s">
        <v>1088</v>
      </c>
      <c r="E282" s="2" t="s">
        <v>1089</v>
      </c>
      <c r="F282" s="2" t="s">
        <v>1090</v>
      </c>
      <c r="G282" s="2" t="s">
        <v>22</v>
      </c>
      <c r="H282" s="2" t="s">
        <v>42</v>
      </c>
      <c r="I282" s="1">
        <v>0</v>
      </c>
      <c r="J282" s="3" t="s">
        <v>17</v>
      </c>
      <c r="K282" s="2" t="str">
        <f>J282*606.00</f>
        <v>0</v>
      </c>
      <c r="L282" s="5"/>
    </row>
    <row r="283" spans="1:12" customHeight="1" ht="105" outlineLevel="3">
      <c r="A283" s="1"/>
      <c r="B283" s="1">
        <v>820385</v>
      </c>
      <c r="C283" s="1" t="s">
        <v>1091</v>
      </c>
      <c r="D283" s="1" t="s">
        <v>1092</v>
      </c>
      <c r="E283" s="2" t="s">
        <v>1093</v>
      </c>
      <c r="F283" s="2" t="s">
        <v>1094</v>
      </c>
      <c r="G283" s="2" t="s">
        <v>22</v>
      </c>
      <c r="H283" s="2" t="s">
        <v>23</v>
      </c>
      <c r="I283" s="1">
        <v>0</v>
      </c>
      <c r="J283" s="3" t="s">
        <v>17</v>
      </c>
      <c r="K283" s="2" t="str">
        <f>J283*1262.00</f>
        <v>0</v>
      </c>
      <c r="L283" s="5"/>
    </row>
    <row r="284" spans="1:12" customHeight="1" ht="105" outlineLevel="3">
      <c r="A284" s="1"/>
      <c r="B284" s="1">
        <v>820386</v>
      </c>
      <c r="C284" s="1" t="s">
        <v>1095</v>
      </c>
      <c r="D284" s="1" t="s">
        <v>1096</v>
      </c>
      <c r="E284" s="2" t="s">
        <v>1097</v>
      </c>
      <c r="F284" s="2" t="s">
        <v>1098</v>
      </c>
      <c r="G284" s="2" t="s">
        <v>22</v>
      </c>
      <c r="H284" s="2" t="s">
        <v>23</v>
      </c>
      <c r="I284" s="1">
        <v>0</v>
      </c>
      <c r="J284" s="3" t="s">
        <v>17</v>
      </c>
      <c r="K284" s="2" t="str">
        <f>J284*930.00</f>
        <v>0</v>
      </c>
      <c r="L284" s="5"/>
    </row>
    <row r="285" spans="1:12" customHeight="1" ht="105" outlineLevel="3">
      <c r="A285" s="1"/>
      <c r="B285" s="1">
        <v>820387</v>
      </c>
      <c r="C285" s="1" t="s">
        <v>1099</v>
      </c>
      <c r="D285" s="1" t="s">
        <v>1100</v>
      </c>
      <c r="E285" s="2" t="s">
        <v>1101</v>
      </c>
      <c r="F285" s="2" t="s">
        <v>230</v>
      </c>
      <c r="G285" s="2">
        <v>9</v>
      </c>
      <c r="H285" s="2" t="s">
        <v>32</v>
      </c>
      <c r="I285" s="1">
        <v>0</v>
      </c>
      <c r="J285" s="3" t="s">
        <v>17</v>
      </c>
      <c r="K285" s="2" t="str">
        <f>J285*1112.00</f>
        <v>0</v>
      </c>
      <c r="L285" s="5"/>
    </row>
    <row r="286" spans="1:12" customHeight="1" ht="105" outlineLevel="3">
      <c r="A286" s="1"/>
      <c r="B286" s="1">
        <v>820388</v>
      </c>
      <c r="C286" s="1" t="s">
        <v>1102</v>
      </c>
      <c r="D286" s="1" t="s">
        <v>1103</v>
      </c>
      <c r="E286" s="2" t="s">
        <v>1104</v>
      </c>
      <c r="F286" s="2" t="s">
        <v>1105</v>
      </c>
      <c r="G286" s="2" t="s">
        <v>22</v>
      </c>
      <c r="H286" s="2" t="s">
        <v>42</v>
      </c>
      <c r="I286" s="1">
        <v>0</v>
      </c>
      <c r="J286" s="3" t="s">
        <v>17</v>
      </c>
      <c r="K286" s="2" t="str">
        <f>J286*285.00</f>
        <v>0</v>
      </c>
      <c r="L286" s="5"/>
    </row>
    <row r="287" spans="1:12" customHeight="1" ht="105" outlineLevel="3">
      <c r="A287" s="1"/>
      <c r="B287" s="1">
        <v>820389</v>
      </c>
      <c r="C287" s="1" t="s">
        <v>1106</v>
      </c>
      <c r="D287" s="1" t="s">
        <v>1107</v>
      </c>
      <c r="E287" s="2" t="s">
        <v>1108</v>
      </c>
      <c r="F287" s="2" t="s">
        <v>1109</v>
      </c>
      <c r="G287" s="2" t="s">
        <v>16</v>
      </c>
      <c r="H287" s="2" t="s">
        <v>42</v>
      </c>
      <c r="I287" s="1">
        <v>0</v>
      </c>
      <c r="J287" s="3" t="s">
        <v>17</v>
      </c>
      <c r="K287" s="2" t="str">
        <f>J287*210.00</f>
        <v>0</v>
      </c>
      <c r="L287" s="5"/>
    </row>
    <row r="288" spans="1:12" customHeight="1" ht="105" outlineLevel="3">
      <c r="A288" s="1"/>
      <c r="B288" s="1">
        <v>820390</v>
      </c>
      <c r="C288" s="1" t="s">
        <v>1110</v>
      </c>
      <c r="D288" s="1" t="s">
        <v>1111</v>
      </c>
      <c r="E288" s="2" t="s">
        <v>1112</v>
      </c>
      <c r="F288" s="2" t="s">
        <v>1113</v>
      </c>
      <c r="G288" s="2" t="s">
        <v>22</v>
      </c>
      <c r="H288" s="2" t="s">
        <v>42</v>
      </c>
      <c r="I288" s="1">
        <v>0</v>
      </c>
      <c r="J288" s="3" t="s">
        <v>17</v>
      </c>
      <c r="K288" s="2" t="str">
        <f>J288*321.00</f>
        <v>0</v>
      </c>
      <c r="L288" s="5"/>
    </row>
    <row r="289" spans="1:12" customHeight="1" ht="105" outlineLevel="3">
      <c r="A289" s="1"/>
      <c r="B289" s="1">
        <v>820391</v>
      </c>
      <c r="C289" s="1" t="s">
        <v>1114</v>
      </c>
      <c r="D289" s="1" t="s">
        <v>1115</v>
      </c>
      <c r="E289" s="2" t="s">
        <v>1116</v>
      </c>
      <c r="F289" s="2" t="s">
        <v>1117</v>
      </c>
      <c r="G289" s="2">
        <v>6</v>
      </c>
      <c r="H289" s="2" t="s">
        <v>23</v>
      </c>
      <c r="I289" s="1">
        <v>0</v>
      </c>
      <c r="J289" s="3" t="s">
        <v>17</v>
      </c>
      <c r="K289" s="2" t="str">
        <f>J289*503.00</f>
        <v>0</v>
      </c>
      <c r="L289" s="5"/>
    </row>
    <row r="290" spans="1:12" customHeight="1" ht="105" outlineLevel="3">
      <c r="A290" s="1"/>
      <c r="B290" s="1">
        <v>820392</v>
      </c>
      <c r="C290" s="1" t="s">
        <v>1118</v>
      </c>
      <c r="D290" s="1" t="s">
        <v>1119</v>
      </c>
      <c r="E290" s="2" t="s">
        <v>1120</v>
      </c>
      <c r="F290" s="2" t="s">
        <v>1121</v>
      </c>
      <c r="G290" s="2">
        <v>10</v>
      </c>
      <c r="H290" s="2" t="s">
        <v>23</v>
      </c>
      <c r="I290" s="1">
        <v>0</v>
      </c>
      <c r="J290" s="3" t="s">
        <v>17</v>
      </c>
      <c r="K290" s="2" t="str">
        <f>J290*924.00</f>
        <v>0</v>
      </c>
      <c r="L290" s="5"/>
    </row>
    <row r="291" spans="1:12" customHeight="1" ht="105" outlineLevel="3">
      <c r="A291" s="1"/>
      <c r="B291" s="1">
        <v>820393</v>
      </c>
      <c r="C291" s="1" t="s">
        <v>1122</v>
      </c>
      <c r="D291" s="1" t="s">
        <v>1123</v>
      </c>
      <c r="E291" s="2" t="s">
        <v>1124</v>
      </c>
      <c r="F291" s="2" t="s">
        <v>1125</v>
      </c>
      <c r="G291" s="2" t="s">
        <v>32</v>
      </c>
      <c r="H291" s="2" t="s">
        <v>33</v>
      </c>
      <c r="I291" s="1">
        <v>0</v>
      </c>
      <c r="J291" s="3" t="s">
        <v>17</v>
      </c>
      <c r="K291" s="2" t="str">
        <f>J291*322.00</f>
        <v>0</v>
      </c>
      <c r="L291" s="5"/>
    </row>
    <row r="292" spans="1:12" customHeight="1" ht="105" outlineLevel="3">
      <c r="A292" s="1"/>
      <c r="B292" s="1">
        <v>820394</v>
      </c>
      <c r="C292" s="1" t="s">
        <v>1126</v>
      </c>
      <c r="D292" s="1" t="s">
        <v>1127</v>
      </c>
      <c r="E292" s="2" t="s">
        <v>1128</v>
      </c>
      <c r="F292" s="2" t="s">
        <v>1129</v>
      </c>
      <c r="G292" s="2" t="s">
        <v>22</v>
      </c>
      <c r="H292" s="2" t="s">
        <v>23</v>
      </c>
      <c r="I292" s="1">
        <v>0</v>
      </c>
      <c r="J292" s="3" t="s">
        <v>17</v>
      </c>
      <c r="K292" s="2" t="str">
        <f>J292*475.00</f>
        <v>0</v>
      </c>
      <c r="L292" s="5"/>
    </row>
    <row r="293" spans="1:12" customHeight="1" ht="105" outlineLevel="3">
      <c r="A293" s="1"/>
      <c r="B293" s="1">
        <v>820395</v>
      </c>
      <c r="C293" s="1" t="s">
        <v>1130</v>
      </c>
      <c r="D293" s="1" t="s">
        <v>1131</v>
      </c>
      <c r="E293" s="2" t="s">
        <v>1132</v>
      </c>
      <c r="F293" s="2" t="s">
        <v>122</v>
      </c>
      <c r="G293" s="2">
        <v>10</v>
      </c>
      <c r="H293" s="2" t="s">
        <v>23</v>
      </c>
      <c r="I293" s="1">
        <v>0</v>
      </c>
      <c r="J293" s="3" t="s">
        <v>17</v>
      </c>
      <c r="K293" s="2" t="str">
        <f>J293*445.00</f>
        <v>0</v>
      </c>
      <c r="L293" s="5"/>
    </row>
    <row r="294" spans="1:12" customHeight="1" ht="105" outlineLevel="3">
      <c r="A294" s="1"/>
      <c r="B294" s="1">
        <v>820396</v>
      </c>
      <c r="C294" s="1" t="s">
        <v>1133</v>
      </c>
      <c r="D294" s="1" t="s">
        <v>1134</v>
      </c>
      <c r="E294" s="2" t="s">
        <v>1135</v>
      </c>
      <c r="F294" s="2" t="s">
        <v>330</v>
      </c>
      <c r="G294" s="2">
        <v>8</v>
      </c>
      <c r="H294" s="2" t="s">
        <v>23</v>
      </c>
      <c r="I294" s="1">
        <v>0</v>
      </c>
      <c r="J294" s="3" t="s">
        <v>17</v>
      </c>
      <c r="K294" s="2" t="str">
        <f>J294*441.00</f>
        <v>0</v>
      </c>
      <c r="L294" s="5"/>
    </row>
    <row r="295" spans="1:12" customHeight="1" ht="105" outlineLevel="3">
      <c r="A295" s="1"/>
      <c r="B295" s="1">
        <v>820397</v>
      </c>
      <c r="C295" s="1" t="s">
        <v>1136</v>
      </c>
      <c r="D295" s="1" t="s">
        <v>1137</v>
      </c>
      <c r="E295" s="2" t="s">
        <v>1138</v>
      </c>
      <c r="F295" s="2" t="s">
        <v>1139</v>
      </c>
      <c r="G295" s="2" t="s">
        <v>22</v>
      </c>
      <c r="H295" s="2" t="s">
        <v>32</v>
      </c>
      <c r="I295" s="1">
        <v>0</v>
      </c>
      <c r="J295" s="3" t="s">
        <v>17</v>
      </c>
      <c r="K295" s="2" t="str">
        <f>J295*486.00</f>
        <v>0</v>
      </c>
      <c r="L295" s="5"/>
    </row>
    <row r="296" spans="1:12" customHeight="1" ht="105" outlineLevel="3">
      <c r="A296" s="1"/>
      <c r="B296" s="1">
        <v>820398</v>
      </c>
      <c r="C296" s="1" t="s">
        <v>1140</v>
      </c>
      <c r="D296" s="1" t="s">
        <v>1141</v>
      </c>
      <c r="E296" s="2" t="s">
        <v>1142</v>
      </c>
      <c r="F296" s="2" t="s">
        <v>1143</v>
      </c>
      <c r="G296" s="2" t="s">
        <v>23</v>
      </c>
      <c r="H296" s="2" t="s">
        <v>70</v>
      </c>
      <c r="I296" s="1">
        <v>0</v>
      </c>
      <c r="J296" s="3" t="s">
        <v>17</v>
      </c>
      <c r="K296" s="2" t="str">
        <f>J296*355.00</f>
        <v>0</v>
      </c>
      <c r="L296" s="5"/>
    </row>
    <row r="297" spans="1:12" customHeight="1" ht="105" outlineLevel="3">
      <c r="A297" s="1"/>
      <c r="B297" s="1">
        <v>820399</v>
      </c>
      <c r="C297" s="1" t="s">
        <v>1144</v>
      </c>
      <c r="D297" s="1" t="s">
        <v>1145</v>
      </c>
      <c r="E297" s="2" t="s">
        <v>1146</v>
      </c>
      <c r="F297" s="2" t="s">
        <v>1147</v>
      </c>
      <c r="G297" s="2" t="s">
        <v>16</v>
      </c>
      <c r="H297" s="2" t="s">
        <v>23</v>
      </c>
      <c r="I297" s="1">
        <v>0</v>
      </c>
      <c r="J297" s="3" t="s">
        <v>17</v>
      </c>
      <c r="K297" s="2" t="str">
        <f>J297*561.00</f>
        <v>0</v>
      </c>
      <c r="L297" s="5"/>
    </row>
    <row r="298" spans="1:12" customHeight="1" ht="105" outlineLevel="3">
      <c r="A298" s="1"/>
      <c r="B298" s="1">
        <v>820400</v>
      </c>
      <c r="C298" s="1" t="s">
        <v>1148</v>
      </c>
      <c r="D298" s="1" t="s">
        <v>1149</v>
      </c>
      <c r="E298" s="2" t="s">
        <v>1150</v>
      </c>
      <c r="F298" s="2" t="s">
        <v>302</v>
      </c>
      <c r="G298" s="2" t="s">
        <v>22</v>
      </c>
      <c r="H298" s="2" t="s">
        <v>32</v>
      </c>
      <c r="I298" s="1">
        <v>0</v>
      </c>
      <c r="J298" s="3" t="s">
        <v>17</v>
      </c>
      <c r="K298" s="2" t="str">
        <f>J298*401.00</f>
        <v>0</v>
      </c>
      <c r="L298" s="5"/>
    </row>
    <row r="299" spans="1:12" customHeight="1" ht="105" outlineLevel="3">
      <c r="A299" s="1"/>
      <c r="B299" s="1">
        <v>820401</v>
      </c>
      <c r="C299" s="1" t="s">
        <v>1151</v>
      </c>
      <c r="D299" s="1" t="s">
        <v>1152</v>
      </c>
      <c r="E299" s="2" t="s">
        <v>1153</v>
      </c>
      <c r="F299" s="2" t="s">
        <v>1052</v>
      </c>
      <c r="G299" s="2" t="s">
        <v>22</v>
      </c>
      <c r="H299" s="2" t="s">
        <v>42</v>
      </c>
      <c r="I299" s="1">
        <v>0</v>
      </c>
      <c r="J299" s="3" t="s">
        <v>17</v>
      </c>
      <c r="K299" s="2" t="str">
        <f>J299*448.00</f>
        <v>0</v>
      </c>
      <c r="L299" s="5"/>
    </row>
    <row r="300" spans="1:12" customHeight="1" ht="105" outlineLevel="3">
      <c r="A300" s="1"/>
      <c r="B300" s="1">
        <v>820402</v>
      </c>
      <c r="C300" s="1" t="s">
        <v>1154</v>
      </c>
      <c r="D300" s="1" t="s">
        <v>1155</v>
      </c>
      <c r="E300" s="2" t="s">
        <v>1156</v>
      </c>
      <c r="F300" s="2" t="s">
        <v>1157</v>
      </c>
      <c r="G300" s="2" t="s">
        <v>22</v>
      </c>
      <c r="H300" s="2" t="s">
        <v>23</v>
      </c>
      <c r="I300" s="1">
        <v>0</v>
      </c>
      <c r="J300" s="3" t="s">
        <v>17</v>
      </c>
      <c r="K300" s="2" t="str">
        <f>J300*485.00</f>
        <v>0</v>
      </c>
      <c r="L300" s="5"/>
    </row>
    <row r="301" spans="1:12" customHeight="1" ht="105" outlineLevel="3">
      <c r="A301" s="1"/>
      <c r="B301" s="1">
        <v>820403</v>
      </c>
      <c r="C301" s="1" t="s">
        <v>1158</v>
      </c>
      <c r="D301" s="1" t="s">
        <v>1159</v>
      </c>
      <c r="E301" s="2" t="s">
        <v>1160</v>
      </c>
      <c r="F301" s="2" t="s">
        <v>1161</v>
      </c>
      <c r="G301" s="2" t="s">
        <v>16</v>
      </c>
      <c r="H301" s="2" t="s">
        <v>33</v>
      </c>
      <c r="I301" s="1">
        <v>0</v>
      </c>
      <c r="J301" s="3" t="s">
        <v>17</v>
      </c>
      <c r="K301" s="2" t="str">
        <f>J301*339.00</f>
        <v>0</v>
      </c>
      <c r="L301" s="5"/>
    </row>
    <row r="302" spans="1:12" customHeight="1" ht="105" outlineLevel="3">
      <c r="A302" s="1"/>
      <c r="B302" s="1">
        <v>820404</v>
      </c>
      <c r="C302" s="1" t="s">
        <v>1162</v>
      </c>
      <c r="D302" s="1" t="s">
        <v>1163</v>
      </c>
      <c r="E302" s="2" t="s">
        <v>1164</v>
      </c>
      <c r="F302" s="2" t="s">
        <v>1165</v>
      </c>
      <c r="G302" s="2" t="s">
        <v>22</v>
      </c>
      <c r="H302" s="2" t="s">
        <v>23</v>
      </c>
      <c r="I302" s="1">
        <v>0</v>
      </c>
      <c r="J302" s="3" t="s">
        <v>17</v>
      </c>
      <c r="K302" s="2" t="str">
        <f>J302*564.00</f>
        <v>0</v>
      </c>
      <c r="L302" s="5"/>
    </row>
    <row r="303" spans="1:12" customHeight="1" ht="105" outlineLevel="3">
      <c r="A303" s="1"/>
      <c r="B303" s="1">
        <v>820405</v>
      </c>
      <c r="C303" s="1" t="s">
        <v>1166</v>
      </c>
      <c r="D303" s="1" t="s">
        <v>1167</v>
      </c>
      <c r="E303" s="2" t="s">
        <v>1168</v>
      </c>
      <c r="F303" s="2" t="s">
        <v>162</v>
      </c>
      <c r="G303" s="2" t="s">
        <v>22</v>
      </c>
      <c r="H303" s="2" t="s">
        <v>23</v>
      </c>
      <c r="I303" s="1">
        <v>0</v>
      </c>
      <c r="J303" s="3" t="s">
        <v>17</v>
      </c>
      <c r="K303" s="2" t="str">
        <f>J303*453.00</f>
        <v>0</v>
      </c>
      <c r="L303" s="5"/>
    </row>
    <row r="304" spans="1:12" customHeight="1" ht="105" outlineLevel="3">
      <c r="A304" s="1"/>
      <c r="B304" s="1">
        <v>820406</v>
      </c>
      <c r="C304" s="1" t="s">
        <v>1169</v>
      </c>
      <c r="D304" s="1" t="s">
        <v>1170</v>
      </c>
      <c r="E304" s="2" t="s">
        <v>1171</v>
      </c>
      <c r="F304" s="2" t="s">
        <v>1172</v>
      </c>
      <c r="G304" s="2" t="s">
        <v>22</v>
      </c>
      <c r="H304" s="2" t="s">
        <v>23</v>
      </c>
      <c r="I304" s="1">
        <v>0</v>
      </c>
      <c r="J304" s="3" t="s">
        <v>17</v>
      </c>
      <c r="K304" s="2" t="str">
        <f>J304*463.00</f>
        <v>0</v>
      </c>
      <c r="L304" s="5"/>
    </row>
    <row r="305" spans="1:12" customHeight="1" ht="105" outlineLevel="3">
      <c r="A305" s="1"/>
      <c r="B305" s="1">
        <v>820407</v>
      </c>
      <c r="C305" s="1" t="s">
        <v>1173</v>
      </c>
      <c r="D305" s="1" t="s">
        <v>1174</v>
      </c>
      <c r="E305" s="2" t="s">
        <v>1175</v>
      </c>
      <c r="F305" s="2" t="s">
        <v>1176</v>
      </c>
      <c r="G305" s="2" t="s">
        <v>22</v>
      </c>
      <c r="H305" s="2" t="s">
        <v>23</v>
      </c>
      <c r="I305" s="1">
        <v>0</v>
      </c>
      <c r="J305" s="3" t="s">
        <v>17</v>
      </c>
      <c r="K305" s="2" t="str">
        <f>J305*518.00</f>
        <v>0</v>
      </c>
      <c r="L305" s="5"/>
    </row>
    <row r="306" spans="1:12" customHeight="1" ht="105" outlineLevel="3">
      <c r="A306" s="1"/>
      <c r="B306" s="1">
        <v>820408</v>
      </c>
      <c r="C306" s="1" t="s">
        <v>1177</v>
      </c>
      <c r="D306" s="1" t="s">
        <v>1178</v>
      </c>
      <c r="E306" s="2" t="s">
        <v>1179</v>
      </c>
      <c r="F306" s="2" t="s">
        <v>1180</v>
      </c>
      <c r="G306" s="2" t="s">
        <v>22</v>
      </c>
      <c r="H306" s="2" t="s">
        <v>23</v>
      </c>
      <c r="I306" s="1">
        <v>0</v>
      </c>
      <c r="J306" s="3" t="s">
        <v>17</v>
      </c>
      <c r="K306" s="2" t="str">
        <f>J306*479.00</f>
        <v>0</v>
      </c>
      <c r="L306" s="5"/>
    </row>
    <row r="307" spans="1:12" customHeight="1" ht="105" outlineLevel="3">
      <c r="A307" s="1"/>
      <c r="B307" s="1">
        <v>820409</v>
      </c>
      <c r="C307" s="1" t="s">
        <v>1181</v>
      </c>
      <c r="D307" s="1" t="s">
        <v>1182</v>
      </c>
      <c r="E307" s="2" t="s">
        <v>1183</v>
      </c>
      <c r="F307" s="2" t="s">
        <v>1184</v>
      </c>
      <c r="G307" s="2">
        <v>0</v>
      </c>
      <c r="H307" s="2">
        <v>8</v>
      </c>
      <c r="I307" s="1">
        <v>0</v>
      </c>
      <c r="J307" s="3" t="s">
        <v>17</v>
      </c>
      <c r="K307" s="2" t="str">
        <f>J307*575.00</f>
        <v>0</v>
      </c>
      <c r="L307" s="5"/>
    </row>
    <row r="308" spans="1:12" customHeight="1" ht="105" outlineLevel="3">
      <c r="A308" s="1"/>
      <c r="B308" s="1">
        <v>820410</v>
      </c>
      <c r="C308" s="1" t="s">
        <v>1185</v>
      </c>
      <c r="D308" s="1" t="s">
        <v>1186</v>
      </c>
      <c r="E308" s="2" t="s">
        <v>1187</v>
      </c>
      <c r="F308" s="2" t="s">
        <v>499</v>
      </c>
      <c r="G308" s="2">
        <v>0</v>
      </c>
      <c r="H308" s="2" t="s">
        <v>32</v>
      </c>
      <c r="I308" s="1">
        <v>0</v>
      </c>
      <c r="J308" s="3" t="s">
        <v>17</v>
      </c>
      <c r="K308" s="2" t="str">
        <f>J308*652.00</f>
        <v>0</v>
      </c>
      <c r="L308" s="5"/>
    </row>
    <row r="309" spans="1:12" customHeight="1" ht="105" outlineLevel="3">
      <c r="A309" s="1"/>
      <c r="B309" s="1">
        <v>820411</v>
      </c>
      <c r="C309" s="1" t="s">
        <v>1188</v>
      </c>
      <c r="D309" s="1" t="s">
        <v>1189</v>
      </c>
      <c r="E309" s="2" t="s">
        <v>1190</v>
      </c>
      <c r="F309" s="2" t="s">
        <v>659</v>
      </c>
      <c r="G309" s="2">
        <v>0</v>
      </c>
      <c r="H309" s="2" t="s">
        <v>32</v>
      </c>
      <c r="I309" s="1">
        <v>0</v>
      </c>
      <c r="J309" s="3" t="s">
        <v>17</v>
      </c>
      <c r="K309" s="2" t="str">
        <f>J309*885.00</f>
        <v>0</v>
      </c>
      <c r="L309" s="5"/>
    </row>
    <row r="310" spans="1:12" customHeight="1" ht="105" outlineLevel="3">
      <c r="A310" s="1"/>
      <c r="B310" s="1">
        <v>883032</v>
      </c>
      <c r="C310" s="1" t="s">
        <v>1191</v>
      </c>
      <c r="D310" s="1" t="s">
        <v>1192</v>
      </c>
      <c r="E310" s="2" t="s">
        <v>1193</v>
      </c>
      <c r="F310" s="2" t="s">
        <v>1194</v>
      </c>
      <c r="G310" s="2">
        <v>9</v>
      </c>
      <c r="H310" s="2">
        <v>0</v>
      </c>
      <c r="I310" s="1">
        <v>0</v>
      </c>
      <c r="J310" s="3" t="s">
        <v>17</v>
      </c>
      <c r="K310" s="2" t="str">
        <f>J310*1967.00</f>
        <v>0</v>
      </c>
      <c r="L310" s="5"/>
    </row>
    <row r="311" spans="1:12" customHeight="1" ht="105" outlineLevel="3">
      <c r="A311" s="1"/>
      <c r="B311" s="1">
        <v>820420</v>
      </c>
      <c r="C311" s="1" t="s">
        <v>1195</v>
      </c>
      <c r="D311" s="1" t="s">
        <v>1196</v>
      </c>
      <c r="E311" s="2" t="s">
        <v>1197</v>
      </c>
      <c r="F311" s="2" t="s">
        <v>1198</v>
      </c>
      <c r="G311" s="2" t="s">
        <v>22</v>
      </c>
      <c r="H311" s="2" t="s">
        <v>16</v>
      </c>
      <c r="I311" s="1">
        <v>0</v>
      </c>
      <c r="J311" s="3" t="s">
        <v>17</v>
      </c>
      <c r="K311" s="2" t="str">
        <f>J311*676.00</f>
        <v>0</v>
      </c>
      <c r="L311" s="5"/>
    </row>
    <row r="312" spans="1:12" customHeight="1" ht="105" outlineLevel="3">
      <c r="A312" s="1"/>
      <c r="B312" s="1">
        <v>820421</v>
      </c>
      <c r="C312" s="1" t="s">
        <v>1199</v>
      </c>
      <c r="D312" s="1" t="s">
        <v>1200</v>
      </c>
      <c r="E312" s="2" t="s">
        <v>1201</v>
      </c>
      <c r="F312" s="2" t="s">
        <v>1202</v>
      </c>
      <c r="G312" s="2">
        <v>10</v>
      </c>
      <c r="H312" s="2" t="s">
        <v>32</v>
      </c>
      <c r="I312" s="1">
        <v>0</v>
      </c>
      <c r="J312" s="3" t="s">
        <v>17</v>
      </c>
      <c r="K312" s="2" t="str">
        <f>J312*716.00</f>
        <v>0</v>
      </c>
      <c r="L312" s="5"/>
    </row>
    <row r="313" spans="1:12" customHeight="1" ht="105" outlineLevel="3">
      <c r="A313" s="1"/>
      <c r="B313" s="1">
        <v>836189</v>
      </c>
      <c r="C313" s="1" t="s">
        <v>1203</v>
      </c>
      <c r="D313" s="1" t="s">
        <v>1204</v>
      </c>
      <c r="E313" s="2" t="s">
        <v>1205</v>
      </c>
      <c r="F313" s="2" t="s">
        <v>993</v>
      </c>
      <c r="G313" s="2">
        <v>0</v>
      </c>
      <c r="H313" s="2" t="s">
        <v>32</v>
      </c>
      <c r="I313" s="1">
        <v>0</v>
      </c>
      <c r="J313" s="3" t="s">
        <v>17</v>
      </c>
      <c r="K313" s="2" t="str">
        <f>J313*92.00</f>
        <v>0</v>
      </c>
      <c r="L313" s="5"/>
    </row>
    <row r="314" spans="1:12" customHeight="1" ht="105" outlineLevel="3">
      <c r="A314" s="1"/>
      <c r="B314" s="1">
        <v>836302</v>
      </c>
      <c r="C314" s="1" t="s">
        <v>1206</v>
      </c>
      <c r="D314" s="1">
        <v>600</v>
      </c>
      <c r="E314" s="2" t="s">
        <v>1207</v>
      </c>
      <c r="F314" s="2" t="s">
        <v>1208</v>
      </c>
      <c r="G314" s="2">
        <v>0</v>
      </c>
      <c r="H314" s="2">
        <v>2</v>
      </c>
      <c r="I314" s="1">
        <v>0</v>
      </c>
      <c r="J314" s="3" t="s">
        <v>17</v>
      </c>
      <c r="K314" s="2" t="str">
        <f>J314*700.00</f>
        <v>0</v>
      </c>
      <c r="L314" s="5"/>
    </row>
    <row r="315" spans="1:12" customHeight="1" ht="105" outlineLevel="3">
      <c r="A315" s="1"/>
      <c r="B315" s="1">
        <v>837109</v>
      </c>
      <c r="C315" s="1" t="s">
        <v>1209</v>
      </c>
      <c r="D315" s="1" t="s">
        <v>1210</v>
      </c>
      <c r="E315" s="2" t="s">
        <v>1211</v>
      </c>
      <c r="F315" s="2" t="s">
        <v>833</v>
      </c>
      <c r="G315" s="2">
        <v>0</v>
      </c>
      <c r="H315" s="2">
        <v>0</v>
      </c>
      <c r="I315" s="1">
        <v>0</v>
      </c>
      <c r="J315" s="3" t="s">
        <v>17</v>
      </c>
      <c r="K315" s="2" t="str">
        <f>J315*127.00</f>
        <v>0</v>
      </c>
      <c r="L315" s="5"/>
    </row>
    <row r="316" spans="1:12" outlineLevel="1">
      <c r="A316" s="7" t="s">
        <v>1212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5"/>
    </row>
    <row r="317" spans="1:12" customHeight="1" ht="105" outlineLevel="3">
      <c r="A317" s="1"/>
      <c r="B317" s="1">
        <v>837051</v>
      </c>
      <c r="C317" s="1" t="s">
        <v>1213</v>
      </c>
      <c r="D317" s="1" t="s">
        <v>1214</v>
      </c>
      <c r="E317" s="2" t="s">
        <v>1215</v>
      </c>
      <c r="F317" s="2" t="s">
        <v>1216</v>
      </c>
      <c r="G317" s="2">
        <v>-3</v>
      </c>
      <c r="H317" s="2">
        <v>0</v>
      </c>
      <c r="I317" s="1" t="s">
        <v>32</v>
      </c>
      <c r="J317" s="3" t="s">
        <v>17</v>
      </c>
      <c r="K317" s="2" t="str">
        <f>J317*479.12</f>
        <v>0</v>
      </c>
      <c r="L317" s="5"/>
    </row>
    <row r="318" spans="1:12" customHeight="1" ht="105" outlineLevel="3">
      <c r="A318" s="1"/>
      <c r="B318" s="1">
        <v>837052</v>
      </c>
      <c r="C318" s="1" t="s">
        <v>1217</v>
      </c>
      <c r="D318" s="1" t="s">
        <v>1218</v>
      </c>
      <c r="E318" s="2" t="s">
        <v>1219</v>
      </c>
      <c r="F318" s="2" t="s">
        <v>1220</v>
      </c>
      <c r="G318" s="2" t="s">
        <v>16</v>
      </c>
      <c r="H318" s="2">
        <v>0</v>
      </c>
      <c r="I318" s="1">
        <v>0</v>
      </c>
      <c r="J318" s="3" t="s">
        <v>17</v>
      </c>
      <c r="K318" s="2" t="str">
        <f>J318*623.47</f>
        <v>0</v>
      </c>
      <c r="L318" s="5"/>
    </row>
    <row r="319" spans="1:12" customHeight="1" ht="105" outlineLevel="3">
      <c r="A319" s="1"/>
      <c r="B319" s="1">
        <v>837295</v>
      </c>
      <c r="C319" s="1" t="s">
        <v>1221</v>
      </c>
      <c r="D319" s="1" t="s">
        <v>1222</v>
      </c>
      <c r="E319" s="2" t="s">
        <v>1223</v>
      </c>
      <c r="F319" s="2" t="s">
        <v>1224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J319*526.68</f>
        <v>0</v>
      </c>
      <c r="L319" s="5"/>
    </row>
    <row r="320" spans="1:12" customHeight="1" ht="105" outlineLevel="3">
      <c r="A320" s="1"/>
      <c r="B320" s="1">
        <v>837296</v>
      </c>
      <c r="C320" s="1" t="s">
        <v>1225</v>
      </c>
      <c r="D320" s="1" t="s">
        <v>1226</v>
      </c>
      <c r="E320" s="2" t="s">
        <v>1227</v>
      </c>
      <c r="F320" s="2" t="s">
        <v>1228</v>
      </c>
      <c r="G320" s="2" t="s">
        <v>32</v>
      </c>
      <c r="H320" s="2">
        <v>0</v>
      </c>
      <c r="I320" s="1">
        <v>0</v>
      </c>
      <c r="J320" s="3" t="s">
        <v>17</v>
      </c>
      <c r="K320" s="2" t="str">
        <f>J320*603.68</f>
        <v>0</v>
      </c>
      <c r="L320" s="5"/>
    </row>
    <row r="321" spans="1:12" outlineLevel="1">
      <c r="A321" s="7" t="s">
        <v>1229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5"/>
    </row>
    <row r="322" spans="1:12" customHeight="1" ht="105" outlineLevel="3">
      <c r="A322" s="1"/>
      <c r="B322" s="1">
        <v>820422</v>
      </c>
      <c r="C322" s="1" t="s">
        <v>1230</v>
      </c>
      <c r="D322" s="1" t="s">
        <v>1231</v>
      </c>
      <c r="E322" s="2" t="s">
        <v>1232</v>
      </c>
      <c r="F322" s="2" t="s">
        <v>1233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J322*69.91</f>
        <v>0</v>
      </c>
      <c r="L322" s="5"/>
    </row>
    <row r="323" spans="1:12" customHeight="1" ht="105" outlineLevel="3">
      <c r="A323" s="1"/>
      <c r="B323" s="1">
        <v>820423</v>
      </c>
      <c r="C323" s="1" t="s">
        <v>1234</v>
      </c>
      <c r="D323" s="1" t="s">
        <v>1235</v>
      </c>
      <c r="E323" s="2" t="s">
        <v>1236</v>
      </c>
      <c r="F323" s="2" t="s">
        <v>1237</v>
      </c>
      <c r="G323" s="2" t="s">
        <v>42</v>
      </c>
      <c r="H323" s="2">
        <v>0</v>
      </c>
      <c r="I323" s="1">
        <v>0</v>
      </c>
      <c r="J323" s="3" t="s">
        <v>17</v>
      </c>
      <c r="K323" s="2" t="str">
        <f>J323*62.48</f>
        <v>0</v>
      </c>
      <c r="L323" s="5"/>
    </row>
    <row r="324" spans="1:12" customHeight="1" ht="105" outlineLevel="3">
      <c r="A324" s="1"/>
      <c r="B324" s="1">
        <v>820424</v>
      </c>
      <c r="C324" s="1" t="s">
        <v>1238</v>
      </c>
      <c r="D324" s="1" t="s">
        <v>1239</v>
      </c>
      <c r="E324" s="2" t="s">
        <v>1240</v>
      </c>
      <c r="F324" s="2" t="s">
        <v>1241</v>
      </c>
      <c r="G324" s="2" t="s">
        <v>23</v>
      </c>
      <c r="H324" s="2">
        <v>0</v>
      </c>
      <c r="I324" s="1">
        <v>0</v>
      </c>
      <c r="J324" s="3" t="s">
        <v>17</v>
      </c>
      <c r="K324" s="2" t="str">
        <f>J324*98.18</f>
        <v>0</v>
      </c>
      <c r="L324" s="5"/>
    </row>
    <row r="325" spans="1:12" customHeight="1" ht="105" outlineLevel="3">
      <c r="A325" s="1"/>
      <c r="B325" s="1">
        <v>820425</v>
      </c>
      <c r="C325" s="1" t="s">
        <v>1242</v>
      </c>
      <c r="D325" s="1" t="s">
        <v>1243</v>
      </c>
      <c r="E325" s="2" t="s">
        <v>1244</v>
      </c>
      <c r="F325" s="2" t="s">
        <v>1245</v>
      </c>
      <c r="G325" s="2" t="s">
        <v>23</v>
      </c>
      <c r="H325" s="2">
        <v>0</v>
      </c>
      <c r="I325" s="1">
        <v>0</v>
      </c>
      <c r="J325" s="3" t="s">
        <v>17</v>
      </c>
      <c r="K325" s="2" t="str">
        <f>J325*181.48</f>
        <v>0</v>
      </c>
      <c r="L325" s="5"/>
    </row>
    <row r="326" spans="1:12" customHeight="1" ht="105" outlineLevel="3">
      <c r="A326" s="1"/>
      <c r="B326" s="1">
        <v>820426</v>
      </c>
      <c r="C326" s="1" t="s">
        <v>1246</v>
      </c>
      <c r="D326" s="1" t="s">
        <v>1247</v>
      </c>
      <c r="E326" s="2" t="s">
        <v>1248</v>
      </c>
      <c r="F326" s="2" t="s">
        <v>1249</v>
      </c>
      <c r="G326" s="2">
        <v>0</v>
      </c>
      <c r="H326" s="2">
        <v>0</v>
      </c>
      <c r="I326" s="1">
        <v>0</v>
      </c>
      <c r="J326" s="3" t="s">
        <v>17</v>
      </c>
      <c r="K326" s="2" t="str">
        <f>J326*258.83</f>
        <v>0</v>
      </c>
      <c r="L326" s="5"/>
    </row>
    <row r="327" spans="1:12" customHeight="1" ht="105" outlineLevel="3">
      <c r="A327" s="1"/>
      <c r="B327" s="1">
        <v>820427</v>
      </c>
      <c r="C327" s="1" t="s">
        <v>1250</v>
      </c>
      <c r="D327" s="1" t="s">
        <v>1251</v>
      </c>
      <c r="E327" s="2" t="s">
        <v>1252</v>
      </c>
      <c r="F327" s="2" t="s">
        <v>1253</v>
      </c>
      <c r="G327" s="2">
        <v>7</v>
      </c>
      <c r="H327" s="2">
        <v>0</v>
      </c>
      <c r="I327" s="1">
        <v>0</v>
      </c>
      <c r="J327" s="3" t="s">
        <v>17</v>
      </c>
      <c r="K327" s="2" t="str">
        <f>J327*348.08</f>
        <v>0</v>
      </c>
      <c r="L327" s="5"/>
    </row>
    <row r="328" spans="1:12" customHeight="1" ht="105" outlineLevel="3">
      <c r="A328" s="1"/>
      <c r="B328" s="1">
        <v>820428</v>
      </c>
      <c r="C328" s="1" t="s">
        <v>1254</v>
      </c>
      <c r="D328" s="1" t="s">
        <v>1255</v>
      </c>
      <c r="E328" s="2" t="s">
        <v>1256</v>
      </c>
      <c r="F328" s="2" t="s">
        <v>1257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J328*584.59</f>
        <v>0</v>
      </c>
      <c r="L328" s="5"/>
    </row>
    <row r="329" spans="1:12" customHeight="1" ht="105" outlineLevel="3">
      <c r="A329" s="1"/>
      <c r="B329" s="1">
        <v>820429</v>
      </c>
      <c r="C329" s="1" t="s">
        <v>1258</v>
      </c>
      <c r="D329" s="1" t="s">
        <v>1259</v>
      </c>
      <c r="E329" s="2" t="s">
        <v>1260</v>
      </c>
      <c r="F329" s="2" t="s">
        <v>1261</v>
      </c>
      <c r="G329" s="2" t="s">
        <v>23</v>
      </c>
      <c r="H329" s="2">
        <v>0</v>
      </c>
      <c r="I329" s="1">
        <v>0</v>
      </c>
      <c r="J329" s="3" t="s">
        <v>17</v>
      </c>
      <c r="K329" s="2" t="str">
        <f>J329*93.71</f>
        <v>0</v>
      </c>
      <c r="L329" s="5"/>
    </row>
    <row r="330" spans="1:12" customHeight="1" ht="105" outlineLevel="3">
      <c r="A330" s="1"/>
      <c r="B330" s="1">
        <v>820430</v>
      </c>
      <c r="C330" s="1" t="s">
        <v>1262</v>
      </c>
      <c r="D330" s="1" t="s">
        <v>1263</v>
      </c>
      <c r="E330" s="2" t="s">
        <v>1264</v>
      </c>
      <c r="F330" s="2" t="s">
        <v>1265</v>
      </c>
      <c r="G330" s="2" t="s">
        <v>23</v>
      </c>
      <c r="H330" s="2">
        <v>0</v>
      </c>
      <c r="I330" s="1">
        <v>0</v>
      </c>
      <c r="J330" s="3" t="s">
        <v>17</v>
      </c>
      <c r="K330" s="2" t="str">
        <f>J330*147.26</f>
        <v>0</v>
      </c>
      <c r="L330" s="5"/>
    </row>
    <row r="331" spans="1:12" customHeight="1" ht="105" outlineLevel="3">
      <c r="A331" s="1"/>
      <c r="B331" s="1">
        <v>820431</v>
      </c>
      <c r="C331" s="1" t="s">
        <v>1266</v>
      </c>
      <c r="D331" s="1" t="s">
        <v>1267</v>
      </c>
      <c r="E331" s="2" t="s">
        <v>1268</v>
      </c>
      <c r="F331" s="2" t="s">
        <v>1269</v>
      </c>
      <c r="G331" s="2" t="s">
        <v>32</v>
      </c>
      <c r="H331" s="2">
        <v>0</v>
      </c>
      <c r="I331" s="1">
        <v>0</v>
      </c>
      <c r="J331" s="3" t="s">
        <v>17</v>
      </c>
      <c r="K331" s="2" t="str">
        <f>J331*177.01</f>
        <v>0</v>
      </c>
      <c r="L331" s="5"/>
    </row>
    <row r="332" spans="1:12" customHeight="1" ht="105" outlineLevel="3">
      <c r="A332" s="1"/>
      <c r="B332" s="1">
        <v>820432</v>
      </c>
      <c r="C332" s="1" t="s">
        <v>1270</v>
      </c>
      <c r="D332" s="1" t="s">
        <v>1271</v>
      </c>
      <c r="E332" s="2" t="s">
        <v>1272</v>
      </c>
      <c r="F332" s="2" t="s">
        <v>1273</v>
      </c>
      <c r="G332" s="2" t="s">
        <v>22</v>
      </c>
      <c r="H332" s="2">
        <v>0</v>
      </c>
      <c r="I332" s="1">
        <v>0</v>
      </c>
      <c r="J332" s="3" t="s">
        <v>17</v>
      </c>
      <c r="K332" s="2" t="str">
        <f>J332*221.64</f>
        <v>0</v>
      </c>
      <c r="L332" s="5"/>
    </row>
    <row r="333" spans="1:12" customHeight="1" ht="105" outlineLevel="3">
      <c r="A333" s="1"/>
      <c r="B333" s="1">
        <v>820433</v>
      </c>
      <c r="C333" s="1" t="s">
        <v>1274</v>
      </c>
      <c r="D333" s="1" t="s">
        <v>1275</v>
      </c>
      <c r="E333" s="2" t="s">
        <v>1276</v>
      </c>
      <c r="F333" s="2" t="s">
        <v>1277</v>
      </c>
      <c r="G333" s="2" t="s">
        <v>22</v>
      </c>
      <c r="H333" s="2">
        <v>0</v>
      </c>
      <c r="I333" s="1">
        <v>0</v>
      </c>
      <c r="J333" s="3" t="s">
        <v>17</v>
      </c>
      <c r="K333" s="2" t="str">
        <f>J333*245.44</f>
        <v>0</v>
      </c>
      <c r="L333" s="5"/>
    </row>
    <row r="334" spans="1:12" customHeight="1" ht="105" outlineLevel="3">
      <c r="A334" s="1"/>
      <c r="B334" s="1">
        <v>820434</v>
      </c>
      <c r="C334" s="1" t="s">
        <v>1278</v>
      </c>
      <c r="D334" s="1" t="s">
        <v>1279</v>
      </c>
      <c r="E334" s="2" t="s">
        <v>1280</v>
      </c>
      <c r="F334" s="2" t="s">
        <v>1281</v>
      </c>
      <c r="G334" s="2">
        <v>0</v>
      </c>
      <c r="H334" s="2">
        <v>0</v>
      </c>
      <c r="I334" s="1">
        <v>0</v>
      </c>
      <c r="J334" s="3" t="s">
        <v>17</v>
      </c>
      <c r="K334" s="2" t="str">
        <f>J334*263.29</f>
        <v>0</v>
      </c>
      <c r="L334" s="5"/>
    </row>
    <row r="335" spans="1:12" customHeight="1" ht="105" outlineLevel="3">
      <c r="A335" s="1"/>
      <c r="B335" s="1">
        <v>820435</v>
      </c>
      <c r="C335" s="1" t="s">
        <v>1282</v>
      </c>
      <c r="D335" s="1" t="s">
        <v>1283</v>
      </c>
      <c r="E335" s="2" t="s">
        <v>1284</v>
      </c>
      <c r="F335" s="2" t="s">
        <v>1285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J335*354.03</f>
        <v>0</v>
      </c>
      <c r="L335" s="5"/>
    </row>
    <row r="336" spans="1:12" customHeight="1" ht="105" outlineLevel="3">
      <c r="A336" s="1"/>
      <c r="B336" s="1">
        <v>820436</v>
      </c>
      <c r="C336" s="1" t="s">
        <v>1286</v>
      </c>
      <c r="D336" s="1" t="s">
        <v>1287</v>
      </c>
      <c r="E336" s="2" t="s">
        <v>1288</v>
      </c>
      <c r="F336" s="2" t="s">
        <v>1289</v>
      </c>
      <c r="G336" s="2">
        <v>0</v>
      </c>
      <c r="H336" s="2">
        <v>0</v>
      </c>
      <c r="I336" s="1">
        <v>0</v>
      </c>
      <c r="J336" s="3" t="s">
        <v>17</v>
      </c>
      <c r="K336" s="2" t="str">
        <f>J336*358.49</f>
        <v>0</v>
      </c>
      <c r="L336" s="5"/>
    </row>
    <row r="337" spans="1:12" customHeight="1" ht="105" outlineLevel="3">
      <c r="A337" s="1"/>
      <c r="B337" s="1">
        <v>820437</v>
      </c>
      <c r="C337" s="1" t="s">
        <v>1290</v>
      </c>
      <c r="D337" s="1" t="s">
        <v>1291</v>
      </c>
      <c r="E337" s="2" t="s">
        <v>1292</v>
      </c>
      <c r="F337" s="2" t="s">
        <v>1293</v>
      </c>
      <c r="G337" s="2">
        <v>6</v>
      </c>
      <c r="H337" s="2">
        <v>0</v>
      </c>
      <c r="I337" s="1">
        <v>0</v>
      </c>
      <c r="J337" s="3" t="s">
        <v>17</v>
      </c>
      <c r="K337" s="2" t="str">
        <f>J337*541.45</f>
        <v>0</v>
      </c>
      <c r="L337" s="5"/>
    </row>
    <row r="338" spans="1:12" customHeight="1" ht="105" outlineLevel="3">
      <c r="A338" s="1"/>
      <c r="B338" s="1">
        <v>820438</v>
      </c>
      <c r="C338" s="1" t="s">
        <v>1294</v>
      </c>
      <c r="D338" s="1" t="s">
        <v>1295</v>
      </c>
      <c r="E338" s="2" t="s">
        <v>1296</v>
      </c>
      <c r="F338" s="2" t="s">
        <v>1297</v>
      </c>
      <c r="G338" s="2">
        <v>2</v>
      </c>
      <c r="H338" s="2">
        <v>0</v>
      </c>
      <c r="I338" s="1">
        <v>0</v>
      </c>
      <c r="J338" s="3" t="s">
        <v>17</v>
      </c>
      <c r="K338" s="2" t="str">
        <f>J338*507.24</f>
        <v>0</v>
      </c>
      <c r="L338" s="5"/>
    </row>
    <row r="339" spans="1:12" customHeight="1" ht="105" outlineLevel="3">
      <c r="A339" s="1"/>
      <c r="B339" s="1">
        <v>820439</v>
      </c>
      <c r="C339" s="1" t="s">
        <v>1298</v>
      </c>
      <c r="D339" s="1" t="s">
        <v>1299</v>
      </c>
      <c r="E339" s="2" t="s">
        <v>1300</v>
      </c>
      <c r="F339" s="2" t="s">
        <v>1301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J339*554.84</f>
        <v>0</v>
      </c>
      <c r="L339" s="5"/>
    </row>
    <row r="340" spans="1:12" customHeight="1" ht="105" outlineLevel="3">
      <c r="A340" s="1"/>
      <c r="B340" s="1">
        <v>820440</v>
      </c>
      <c r="C340" s="1" t="s">
        <v>1302</v>
      </c>
      <c r="D340" s="1" t="s">
        <v>1303</v>
      </c>
      <c r="E340" s="2" t="s">
        <v>1304</v>
      </c>
      <c r="F340" s="2" t="s">
        <v>1305</v>
      </c>
      <c r="G340" s="2" t="s">
        <v>23</v>
      </c>
      <c r="H340" s="2">
        <v>0</v>
      </c>
      <c r="I340" s="1">
        <v>0</v>
      </c>
      <c r="J340" s="3" t="s">
        <v>17</v>
      </c>
      <c r="K340" s="2" t="str">
        <f>J340*41.65</f>
        <v>0</v>
      </c>
      <c r="L340" s="5"/>
    </row>
    <row r="341" spans="1:12" customHeight="1" ht="105" outlineLevel="3">
      <c r="A341" s="1"/>
      <c r="B341" s="1">
        <v>820441</v>
      </c>
      <c r="C341" s="1" t="s">
        <v>1306</v>
      </c>
      <c r="D341" s="1" t="s">
        <v>1307</v>
      </c>
      <c r="E341" s="2" t="s">
        <v>1308</v>
      </c>
      <c r="F341" s="2" t="s">
        <v>1237</v>
      </c>
      <c r="G341" s="2" t="s">
        <v>16</v>
      </c>
      <c r="H341" s="2">
        <v>0</v>
      </c>
      <c r="I341" s="1">
        <v>0</v>
      </c>
      <c r="J341" s="3" t="s">
        <v>17</v>
      </c>
      <c r="K341" s="2" t="str">
        <f>J341*62.48</f>
        <v>0</v>
      </c>
      <c r="L341" s="5"/>
    </row>
    <row r="342" spans="1:12" customHeight="1" ht="105" outlineLevel="3">
      <c r="A342" s="1"/>
      <c r="B342" s="1">
        <v>820442</v>
      </c>
      <c r="C342" s="1" t="s">
        <v>1309</v>
      </c>
      <c r="D342" s="1" t="s">
        <v>1310</v>
      </c>
      <c r="E342" s="2" t="s">
        <v>1311</v>
      </c>
      <c r="F342" s="2" t="s">
        <v>1312</v>
      </c>
      <c r="G342" s="2" t="s">
        <v>23</v>
      </c>
      <c r="H342" s="2">
        <v>0</v>
      </c>
      <c r="I342" s="1">
        <v>0</v>
      </c>
      <c r="J342" s="3" t="s">
        <v>17</v>
      </c>
      <c r="K342" s="2" t="str">
        <f>J342*127.93</f>
        <v>0</v>
      </c>
      <c r="L342" s="5"/>
    </row>
    <row r="343" spans="1:12" customHeight="1" ht="105" outlineLevel="3">
      <c r="A343" s="1"/>
      <c r="B343" s="1">
        <v>820443</v>
      </c>
      <c r="C343" s="1" t="s">
        <v>1313</v>
      </c>
      <c r="D343" s="1" t="s">
        <v>1314</v>
      </c>
      <c r="E343" s="2" t="s">
        <v>1315</v>
      </c>
      <c r="F343" s="2" t="s">
        <v>1316</v>
      </c>
      <c r="G343" s="2" t="s">
        <v>23</v>
      </c>
      <c r="H343" s="2">
        <v>0</v>
      </c>
      <c r="I343" s="1">
        <v>0</v>
      </c>
      <c r="J343" s="3" t="s">
        <v>17</v>
      </c>
      <c r="K343" s="2" t="str">
        <f>J343*46.11</f>
        <v>0</v>
      </c>
      <c r="L343" s="5"/>
    </row>
    <row r="344" spans="1:12" customHeight="1" ht="105" outlineLevel="3">
      <c r="A344" s="1"/>
      <c r="B344" s="1">
        <v>820444</v>
      </c>
      <c r="C344" s="1" t="s">
        <v>1317</v>
      </c>
      <c r="D344" s="1" t="s">
        <v>1318</v>
      </c>
      <c r="E344" s="2" t="s">
        <v>1319</v>
      </c>
      <c r="F344" s="2" t="s">
        <v>1233</v>
      </c>
      <c r="G344" s="2" t="s">
        <v>23</v>
      </c>
      <c r="H344" s="2">
        <v>0</v>
      </c>
      <c r="I344" s="1">
        <v>0</v>
      </c>
      <c r="J344" s="3" t="s">
        <v>17</v>
      </c>
      <c r="K344" s="2" t="str">
        <f>J344*69.91</f>
        <v>0</v>
      </c>
      <c r="L344" s="5"/>
    </row>
    <row r="345" spans="1:12" customHeight="1" ht="105" outlineLevel="3">
      <c r="A345" s="1"/>
      <c r="B345" s="1">
        <v>820445</v>
      </c>
      <c r="C345" s="1" t="s">
        <v>1320</v>
      </c>
      <c r="D345" s="1" t="s">
        <v>1321</v>
      </c>
      <c r="E345" s="2" t="s">
        <v>1322</v>
      </c>
      <c r="F345" s="2" t="s">
        <v>1323</v>
      </c>
      <c r="G345" s="2" t="s">
        <v>23</v>
      </c>
      <c r="H345" s="2">
        <v>0</v>
      </c>
      <c r="I345" s="1">
        <v>0</v>
      </c>
      <c r="J345" s="3" t="s">
        <v>17</v>
      </c>
      <c r="K345" s="2" t="str">
        <f>J345*123.46</f>
        <v>0</v>
      </c>
      <c r="L345" s="5"/>
    </row>
    <row r="346" spans="1:12" customHeight="1" ht="105" outlineLevel="3">
      <c r="A346" s="1"/>
      <c r="B346" s="1">
        <v>820446</v>
      </c>
      <c r="C346" s="1" t="s">
        <v>1324</v>
      </c>
      <c r="D346" s="1" t="s">
        <v>1325</v>
      </c>
      <c r="E346" s="2" t="s">
        <v>1326</v>
      </c>
      <c r="F346" s="2" t="s">
        <v>1327</v>
      </c>
      <c r="G346" s="2" t="s">
        <v>16</v>
      </c>
      <c r="H346" s="2">
        <v>0</v>
      </c>
      <c r="I346" s="1">
        <v>0</v>
      </c>
      <c r="J346" s="3" t="s">
        <v>17</v>
      </c>
      <c r="K346" s="2" t="str">
        <f>J346*206.76</f>
        <v>0</v>
      </c>
      <c r="L346" s="5"/>
    </row>
    <row r="347" spans="1:12" customHeight="1" ht="105" outlineLevel="3">
      <c r="A347" s="1"/>
      <c r="B347" s="1">
        <v>820447</v>
      </c>
      <c r="C347" s="1" t="s">
        <v>1328</v>
      </c>
      <c r="D347" s="1" t="s">
        <v>1329</v>
      </c>
      <c r="E347" s="2" t="s">
        <v>1330</v>
      </c>
      <c r="F347" s="2" t="s">
        <v>1331</v>
      </c>
      <c r="G347" s="2">
        <v>5</v>
      </c>
      <c r="H347" s="2">
        <v>0</v>
      </c>
      <c r="I347" s="1">
        <v>0</v>
      </c>
      <c r="J347" s="3" t="s">
        <v>17</v>
      </c>
      <c r="K347" s="2" t="str">
        <f>J347*304.94</f>
        <v>0</v>
      </c>
      <c r="L347" s="5"/>
    </row>
    <row r="348" spans="1:12" customHeight="1" ht="105" outlineLevel="3">
      <c r="A348" s="1"/>
      <c r="B348" s="1">
        <v>820448</v>
      </c>
      <c r="C348" s="1" t="s">
        <v>1332</v>
      </c>
      <c r="D348" s="1" t="s">
        <v>1333</v>
      </c>
      <c r="E348" s="2" t="s">
        <v>1334</v>
      </c>
      <c r="F348" s="2" t="s">
        <v>1335</v>
      </c>
      <c r="G348" s="2">
        <v>7</v>
      </c>
      <c r="H348" s="2">
        <v>0</v>
      </c>
      <c r="I348" s="1">
        <v>0</v>
      </c>
      <c r="J348" s="3" t="s">
        <v>17</v>
      </c>
      <c r="K348" s="2" t="str">
        <f>J348*409.06</f>
        <v>0</v>
      </c>
      <c r="L348" s="5"/>
    </row>
    <row r="349" spans="1:12" customHeight="1" ht="105" outlineLevel="3">
      <c r="A349" s="1"/>
      <c r="B349" s="1">
        <v>820449</v>
      </c>
      <c r="C349" s="1" t="s">
        <v>1336</v>
      </c>
      <c r="D349" s="1" t="s">
        <v>1337</v>
      </c>
      <c r="E349" s="2" t="s">
        <v>1338</v>
      </c>
      <c r="F349" s="2" t="s">
        <v>1339</v>
      </c>
      <c r="G349" s="2" t="s">
        <v>23</v>
      </c>
      <c r="H349" s="2">
        <v>0</v>
      </c>
      <c r="I349" s="1">
        <v>0</v>
      </c>
      <c r="J349" s="3" t="s">
        <v>17</v>
      </c>
      <c r="K349" s="2" t="str">
        <f>J349*23.80</f>
        <v>0</v>
      </c>
      <c r="L349" s="5"/>
    </row>
    <row r="350" spans="1:12" customHeight="1" ht="105" outlineLevel="3">
      <c r="A350" s="1"/>
      <c r="B350" s="1">
        <v>820450</v>
      </c>
      <c r="C350" s="1" t="s">
        <v>1340</v>
      </c>
      <c r="D350" s="1" t="s">
        <v>1341</v>
      </c>
      <c r="E350" s="2" t="s">
        <v>1342</v>
      </c>
      <c r="F350" s="2" t="s">
        <v>1343</v>
      </c>
      <c r="G350" s="2" t="s">
        <v>32</v>
      </c>
      <c r="H350" s="2">
        <v>0</v>
      </c>
      <c r="I350" s="1">
        <v>0</v>
      </c>
      <c r="J350" s="3" t="s">
        <v>17</v>
      </c>
      <c r="K350" s="2" t="str">
        <f>J350*35.70</f>
        <v>0</v>
      </c>
      <c r="L350" s="5"/>
    </row>
    <row r="351" spans="1:12" customHeight="1" ht="105" outlineLevel="3">
      <c r="A351" s="1"/>
      <c r="B351" s="1">
        <v>820451</v>
      </c>
      <c r="C351" s="1" t="s">
        <v>1344</v>
      </c>
      <c r="D351" s="1" t="s">
        <v>1345</v>
      </c>
      <c r="E351" s="2" t="s">
        <v>1346</v>
      </c>
      <c r="F351" s="2" t="s">
        <v>1347</v>
      </c>
      <c r="G351" s="2" t="s">
        <v>16</v>
      </c>
      <c r="H351" s="2">
        <v>0</v>
      </c>
      <c r="I351" s="1">
        <v>0</v>
      </c>
      <c r="J351" s="3" t="s">
        <v>17</v>
      </c>
      <c r="K351" s="2" t="str">
        <f>J351*59.50</f>
        <v>0</v>
      </c>
      <c r="L351" s="5"/>
    </row>
    <row r="352" spans="1:12" customHeight="1" ht="105" outlineLevel="3">
      <c r="A352" s="1"/>
      <c r="B352" s="1">
        <v>820452</v>
      </c>
      <c r="C352" s="1" t="s">
        <v>1348</v>
      </c>
      <c r="D352" s="1" t="s">
        <v>1349</v>
      </c>
      <c r="E352" s="2" t="s">
        <v>1350</v>
      </c>
      <c r="F352" s="2" t="s">
        <v>1351</v>
      </c>
      <c r="G352" s="2" t="s">
        <v>32</v>
      </c>
      <c r="H352" s="2">
        <v>0</v>
      </c>
      <c r="I352" s="1">
        <v>0</v>
      </c>
      <c r="J352" s="3" t="s">
        <v>17</v>
      </c>
      <c r="K352" s="2" t="str">
        <f>J352*56.53</f>
        <v>0</v>
      </c>
      <c r="L352" s="5"/>
    </row>
    <row r="353" spans="1:12" customHeight="1" ht="105" outlineLevel="3">
      <c r="A353" s="1"/>
      <c r="B353" s="1">
        <v>820453</v>
      </c>
      <c r="C353" s="1" t="s">
        <v>1352</v>
      </c>
      <c r="D353" s="1" t="s">
        <v>1353</v>
      </c>
      <c r="E353" s="2" t="s">
        <v>1354</v>
      </c>
      <c r="F353" s="2" t="s">
        <v>1355</v>
      </c>
      <c r="G353" s="2" t="s">
        <v>32</v>
      </c>
      <c r="H353" s="2">
        <v>0</v>
      </c>
      <c r="I353" s="1">
        <v>0</v>
      </c>
      <c r="J353" s="3" t="s">
        <v>17</v>
      </c>
      <c r="K353" s="2" t="str">
        <f>J353*84.79</f>
        <v>0</v>
      </c>
      <c r="L353" s="5"/>
    </row>
    <row r="354" spans="1:12" customHeight="1" ht="105" outlineLevel="3">
      <c r="A354" s="1"/>
      <c r="B354" s="1">
        <v>820454</v>
      </c>
      <c r="C354" s="1" t="s">
        <v>1356</v>
      </c>
      <c r="D354" s="1" t="s">
        <v>1357</v>
      </c>
      <c r="E354" s="2" t="s">
        <v>1358</v>
      </c>
      <c r="F354" s="2" t="s">
        <v>1359</v>
      </c>
      <c r="G354" s="2" t="s">
        <v>16</v>
      </c>
      <c r="H354" s="2">
        <v>0</v>
      </c>
      <c r="I354" s="1">
        <v>0</v>
      </c>
      <c r="J354" s="3" t="s">
        <v>17</v>
      </c>
      <c r="K354" s="2" t="str">
        <f>J354*105.61</f>
        <v>0</v>
      </c>
      <c r="L354" s="5"/>
    </row>
    <row r="355" spans="1:12" customHeight="1" ht="105" outlineLevel="3">
      <c r="A355" s="1"/>
      <c r="B355" s="1">
        <v>820455</v>
      </c>
      <c r="C355" s="1" t="s">
        <v>1360</v>
      </c>
      <c r="D355" s="1" t="s">
        <v>1361</v>
      </c>
      <c r="E355" s="2" t="s">
        <v>1362</v>
      </c>
      <c r="F355" s="2" t="s">
        <v>1363</v>
      </c>
      <c r="G355" s="2" t="s">
        <v>16</v>
      </c>
      <c r="H355" s="2">
        <v>0</v>
      </c>
      <c r="I355" s="1">
        <v>0</v>
      </c>
      <c r="J355" s="3" t="s">
        <v>17</v>
      </c>
      <c r="K355" s="2" t="str">
        <f>J355*107.10</f>
        <v>0</v>
      </c>
      <c r="L355" s="5"/>
    </row>
    <row r="356" spans="1:12" customHeight="1" ht="105" outlineLevel="3">
      <c r="A356" s="1"/>
      <c r="B356" s="1">
        <v>820456</v>
      </c>
      <c r="C356" s="1" t="s">
        <v>1364</v>
      </c>
      <c r="D356" s="1" t="s">
        <v>1365</v>
      </c>
      <c r="E356" s="2" t="s">
        <v>1366</v>
      </c>
      <c r="F356" s="2" t="s">
        <v>1367</v>
      </c>
      <c r="G356" s="2">
        <v>2</v>
      </c>
      <c r="H356" s="2">
        <v>0</v>
      </c>
      <c r="I356" s="1">
        <v>0</v>
      </c>
      <c r="J356" s="3" t="s">
        <v>17</v>
      </c>
      <c r="K356" s="2" t="str">
        <f>J356*159.16</f>
        <v>0</v>
      </c>
      <c r="L356" s="5"/>
    </row>
    <row r="357" spans="1:12" customHeight="1" ht="105" outlineLevel="3">
      <c r="A357" s="1"/>
      <c r="B357" s="1">
        <v>820457</v>
      </c>
      <c r="C357" s="1" t="s">
        <v>1368</v>
      </c>
      <c r="D357" s="1" t="s">
        <v>1369</v>
      </c>
      <c r="E357" s="2" t="s">
        <v>1370</v>
      </c>
      <c r="F357" s="2" t="s">
        <v>1371</v>
      </c>
      <c r="G357" s="2" t="s">
        <v>22</v>
      </c>
      <c r="H357" s="2">
        <v>0</v>
      </c>
      <c r="I357" s="1">
        <v>0</v>
      </c>
      <c r="J357" s="3" t="s">
        <v>17</v>
      </c>
      <c r="K357" s="2" t="str">
        <f>J357*200.81</f>
        <v>0</v>
      </c>
      <c r="L357" s="5"/>
    </row>
    <row r="358" spans="1:12" customHeight="1" ht="105" outlineLevel="3">
      <c r="A358" s="1"/>
      <c r="B358" s="1">
        <v>820458</v>
      </c>
      <c r="C358" s="1" t="s">
        <v>1372</v>
      </c>
      <c r="D358" s="1" t="s">
        <v>1373</v>
      </c>
      <c r="E358" s="2" t="s">
        <v>1374</v>
      </c>
      <c r="F358" s="2" t="s">
        <v>1253</v>
      </c>
      <c r="G358" s="2">
        <v>5</v>
      </c>
      <c r="H358" s="2">
        <v>0</v>
      </c>
      <c r="I358" s="1">
        <v>0</v>
      </c>
      <c r="J358" s="3" t="s">
        <v>17</v>
      </c>
      <c r="K358" s="2" t="str">
        <f>J358*348.08</f>
        <v>0</v>
      </c>
      <c r="L358" s="5"/>
    </row>
    <row r="359" spans="1:12" customHeight="1" ht="105" outlineLevel="3">
      <c r="A359" s="1"/>
      <c r="B359" s="1">
        <v>820459</v>
      </c>
      <c r="C359" s="1" t="s">
        <v>1375</v>
      </c>
      <c r="D359" s="1" t="s">
        <v>1376</v>
      </c>
      <c r="E359" s="2" t="s">
        <v>1377</v>
      </c>
      <c r="F359" s="2" t="s">
        <v>1378</v>
      </c>
      <c r="G359" s="2" t="s">
        <v>16</v>
      </c>
      <c r="H359" s="2">
        <v>0</v>
      </c>
      <c r="I359" s="1">
        <v>0</v>
      </c>
      <c r="J359" s="3" t="s">
        <v>17</v>
      </c>
      <c r="K359" s="2" t="str">
        <f>J359*523.60</f>
        <v>0</v>
      </c>
      <c r="L359" s="5"/>
    </row>
    <row r="360" spans="1:12" customHeight="1" ht="105" outlineLevel="3">
      <c r="A360" s="1"/>
      <c r="B360" s="1">
        <v>820460</v>
      </c>
      <c r="C360" s="1" t="s">
        <v>1379</v>
      </c>
      <c r="D360" s="1" t="s">
        <v>1380</v>
      </c>
      <c r="E360" s="2" t="s">
        <v>1381</v>
      </c>
      <c r="F360" s="2" t="s">
        <v>1382</v>
      </c>
      <c r="G360" s="2" t="s">
        <v>22</v>
      </c>
      <c r="H360" s="2">
        <v>0</v>
      </c>
      <c r="I360" s="1">
        <v>0</v>
      </c>
      <c r="J360" s="3" t="s">
        <v>17</v>
      </c>
      <c r="K360" s="2" t="str">
        <f>J360*736.31</f>
        <v>0</v>
      </c>
      <c r="L360" s="5"/>
    </row>
    <row r="361" spans="1:12" customHeight="1" ht="105" outlineLevel="3">
      <c r="A361" s="1"/>
      <c r="B361" s="1">
        <v>820461</v>
      </c>
      <c r="C361" s="1" t="s">
        <v>1383</v>
      </c>
      <c r="D361" s="1" t="s">
        <v>1384</v>
      </c>
      <c r="E361" s="2" t="s">
        <v>1385</v>
      </c>
      <c r="F361" s="2" t="s">
        <v>1355</v>
      </c>
      <c r="G361" s="2" t="s">
        <v>23</v>
      </c>
      <c r="H361" s="2">
        <v>0</v>
      </c>
      <c r="I361" s="1">
        <v>0</v>
      </c>
      <c r="J361" s="3" t="s">
        <v>17</v>
      </c>
      <c r="K361" s="2" t="str">
        <f>J361*84.79</f>
        <v>0</v>
      </c>
      <c r="L361" s="5"/>
    </row>
    <row r="362" spans="1:12" customHeight="1" ht="105" outlineLevel="3">
      <c r="A362" s="1"/>
      <c r="B362" s="1">
        <v>820462</v>
      </c>
      <c r="C362" s="1" t="s">
        <v>1386</v>
      </c>
      <c r="D362" s="1" t="s">
        <v>1387</v>
      </c>
      <c r="E362" s="2" t="s">
        <v>1388</v>
      </c>
      <c r="F362" s="2" t="s">
        <v>1389</v>
      </c>
      <c r="G362" s="2" t="s">
        <v>32</v>
      </c>
      <c r="H362" s="2">
        <v>0</v>
      </c>
      <c r="I362" s="1">
        <v>0</v>
      </c>
      <c r="J362" s="3" t="s">
        <v>17</v>
      </c>
      <c r="K362" s="2" t="str">
        <f>J362*121.98</f>
        <v>0</v>
      </c>
      <c r="L362" s="5"/>
    </row>
    <row r="363" spans="1:12" customHeight="1" ht="105" outlineLevel="3">
      <c r="A363" s="1"/>
      <c r="B363" s="1">
        <v>820463</v>
      </c>
      <c r="C363" s="1" t="s">
        <v>1390</v>
      </c>
      <c r="D363" s="1" t="s">
        <v>1391</v>
      </c>
      <c r="E363" s="2" t="s">
        <v>1392</v>
      </c>
      <c r="F363" s="2" t="s">
        <v>1393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J363*166.60</f>
        <v>0</v>
      </c>
      <c r="L363" s="5"/>
    </row>
    <row r="364" spans="1:12" customHeight="1" ht="105" outlineLevel="3">
      <c r="A364" s="1"/>
      <c r="B364" s="1">
        <v>820464</v>
      </c>
      <c r="C364" s="1" t="s">
        <v>1394</v>
      </c>
      <c r="D364" s="1" t="s">
        <v>1395</v>
      </c>
      <c r="E364" s="2" t="s">
        <v>1396</v>
      </c>
      <c r="F364" s="2" t="s">
        <v>1397</v>
      </c>
      <c r="G364" s="2" t="s">
        <v>22</v>
      </c>
      <c r="H364" s="2">
        <v>0</v>
      </c>
      <c r="I364" s="1">
        <v>0</v>
      </c>
      <c r="J364" s="3" t="s">
        <v>17</v>
      </c>
      <c r="K364" s="2" t="str">
        <f>J364*185.94</f>
        <v>0</v>
      </c>
      <c r="L364" s="5"/>
    </row>
    <row r="365" spans="1:12" customHeight="1" ht="105" outlineLevel="3">
      <c r="A365" s="1"/>
      <c r="B365" s="1">
        <v>820465</v>
      </c>
      <c r="C365" s="1" t="s">
        <v>1398</v>
      </c>
      <c r="D365" s="1" t="s">
        <v>1399</v>
      </c>
      <c r="E365" s="2" t="s">
        <v>1400</v>
      </c>
      <c r="F365" s="2" t="s">
        <v>1401</v>
      </c>
      <c r="G365" s="2" t="s">
        <v>22</v>
      </c>
      <c r="H365" s="2">
        <v>0</v>
      </c>
      <c r="I365" s="1">
        <v>0</v>
      </c>
      <c r="J365" s="3" t="s">
        <v>17</v>
      </c>
      <c r="K365" s="2" t="str">
        <f>J365*404.60</f>
        <v>0</v>
      </c>
      <c r="L365" s="5"/>
    </row>
    <row r="366" spans="1:12" customHeight="1" ht="105" outlineLevel="3">
      <c r="A366" s="1"/>
      <c r="B366" s="1">
        <v>820466</v>
      </c>
      <c r="C366" s="1" t="s">
        <v>1402</v>
      </c>
      <c r="D366" s="1" t="s">
        <v>1403</v>
      </c>
      <c r="E366" s="2" t="s">
        <v>1404</v>
      </c>
      <c r="F366" s="2" t="s">
        <v>1405</v>
      </c>
      <c r="G366" s="2">
        <v>3</v>
      </c>
      <c r="H366" s="2">
        <v>0</v>
      </c>
      <c r="I366" s="1">
        <v>0</v>
      </c>
      <c r="J366" s="3" t="s">
        <v>17</v>
      </c>
      <c r="K366" s="2" t="str">
        <f>J366*281.14</f>
        <v>0</v>
      </c>
      <c r="L366" s="5"/>
    </row>
    <row r="367" spans="1:12" customHeight="1" ht="105" outlineLevel="3">
      <c r="A367" s="1"/>
      <c r="B367" s="1">
        <v>820467</v>
      </c>
      <c r="C367" s="1" t="s">
        <v>1406</v>
      </c>
      <c r="D367" s="1" t="s">
        <v>1407</v>
      </c>
      <c r="E367" s="2" t="s">
        <v>1408</v>
      </c>
      <c r="F367" s="2" t="s">
        <v>1409</v>
      </c>
      <c r="G367" s="2">
        <v>7</v>
      </c>
      <c r="H367" s="2">
        <v>0</v>
      </c>
      <c r="I367" s="1">
        <v>0</v>
      </c>
      <c r="J367" s="3" t="s">
        <v>17</v>
      </c>
      <c r="K367" s="2" t="str">
        <f>J367*296.01</f>
        <v>0</v>
      </c>
      <c r="L367" s="5"/>
    </row>
    <row r="368" spans="1:12" customHeight="1" ht="105" outlineLevel="3">
      <c r="A368" s="1"/>
      <c r="B368" s="1">
        <v>820468</v>
      </c>
      <c r="C368" s="1" t="s">
        <v>1410</v>
      </c>
      <c r="D368" s="1" t="s">
        <v>1411</v>
      </c>
      <c r="E368" s="2" t="s">
        <v>1412</v>
      </c>
      <c r="F368" s="2" t="s">
        <v>1413</v>
      </c>
      <c r="G368" s="2">
        <v>0</v>
      </c>
      <c r="H368" s="2">
        <v>0</v>
      </c>
      <c r="I368" s="1">
        <v>0</v>
      </c>
      <c r="J368" s="3" t="s">
        <v>17</v>
      </c>
      <c r="K368" s="2" t="str">
        <f>J368*380.80</f>
        <v>0</v>
      </c>
      <c r="L368" s="5"/>
    </row>
    <row r="369" spans="1:12" customHeight="1" ht="105" outlineLevel="3">
      <c r="A369" s="1"/>
      <c r="B369" s="1">
        <v>820469</v>
      </c>
      <c r="C369" s="1" t="s">
        <v>1414</v>
      </c>
      <c r="D369" s="1" t="s">
        <v>1415</v>
      </c>
      <c r="E369" s="2" t="s">
        <v>1416</v>
      </c>
      <c r="F369" s="2" t="s">
        <v>1401</v>
      </c>
      <c r="G369" s="2" t="s">
        <v>32</v>
      </c>
      <c r="H369" s="2">
        <v>0</v>
      </c>
      <c r="I369" s="1">
        <v>0</v>
      </c>
      <c r="J369" s="3" t="s">
        <v>17</v>
      </c>
      <c r="K369" s="2" t="str">
        <f>J369*404.60</f>
        <v>0</v>
      </c>
      <c r="L369" s="5"/>
    </row>
    <row r="370" spans="1:12" customHeight="1" ht="105" outlineLevel="3">
      <c r="A370" s="1"/>
      <c r="B370" s="1">
        <v>820470</v>
      </c>
      <c r="C370" s="1" t="s">
        <v>1417</v>
      </c>
      <c r="D370" s="1" t="s">
        <v>1418</v>
      </c>
      <c r="E370" s="2" t="s">
        <v>1419</v>
      </c>
      <c r="F370" s="2" t="s">
        <v>1420</v>
      </c>
      <c r="G370" s="2">
        <v>5</v>
      </c>
      <c r="H370" s="2">
        <v>0</v>
      </c>
      <c r="I370" s="1">
        <v>0</v>
      </c>
      <c r="J370" s="3" t="s">
        <v>17</v>
      </c>
      <c r="K370" s="2" t="str">
        <f>J370*608.39</f>
        <v>0</v>
      </c>
      <c r="L370" s="5"/>
    </row>
    <row r="371" spans="1:12" customHeight="1" ht="105" outlineLevel="3">
      <c r="A371" s="1"/>
      <c r="B371" s="1">
        <v>820471</v>
      </c>
      <c r="C371" s="1" t="s">
        <v>1421</v>
      </c>
      <c r="D371" s="1" t="s">
        <v>1422</v>
      </c>
      <c r="E371" s="2" t="s">
        <v>1423</v>
      </c>
      <c r="F371" s="2" t="s">
        <v>1424</v>
      </c>
      <c r="G371" s="2">
        <v>6</v>
      </c>
      <c r="H371" s="2">
        <v>0</v>
      </c>
      <c r="I371" s="1">
        <v>0</v>
      </c>
      <c r="J371" s="3" t="s">
        <v>17</v>
      </c>
      <c r="K371" s="2" t="str">
        <f>J371*586.08</f>
        <v>0</v>
      </c>
      <c r="L371" s="5"/>
    </row>
    <row r="372" spans="1:12" customHeight="1" ht="105" outlineLevel="3">
      <c r="A372" s="1"/>
      <c r="B372" s="1">
        <v>820472</v>
      </c>
      <c r="C372" s="1" t="s">
        <v>1425</v>
      </c>
      <c r="D372" s="1" t="s">
        <v>1426</v>
      </c>
      <c r="E372" s="2" t="s">
        <v>1427</v>
      </c>
      <c r="F372" s="2" t="s">
        <v>1420</v>
      </c>
      <c r="G372" s="2">
        <v>5</v>
      </c>
      <c r="H372" s="2">
        <v>0</v>
      </c>
      <c r="I372" s="1">
        <v>0</v>
      </c>
      <c r="J372" s="3" t="s">
        <v>17</v>
      </c>
      <c r="K372" s="2" t="str">
        <f>J372*608.39</f>
        <v>0</v>
      </c>
      <c r="L372" s="5"/>
    </row>
    <row r="373" spans="1:12" customHeight="1" ht="105" outlineLevel="3">
      <c r="A373" s="1"/>
      <c r="B373" s="1">
        <v>820473</v>
      </c>
      <c r="C373" s="1" t="s">
        <v>1428</v>
      </c>
      <c r="D373" s="1" t="s">
        <v>1429</v>
      </c>
      <c r="E373" s="2" t="s">
        <v>1430</v>
      </c>
      <c r="F373" s="2" t="s">
        <v>1431</v>
      </c>
      <c r="G373" s="2" t="s">
        <v>32</v>
      </c>
      <c r="H373" s="2">
        <v>0</v>
      </c>
      <c r="I373" s="1">
        <v>0</v>
      </c>
      <c r="J373" s="3" t="s">
        <v>17</v>
      </c>
      <c r="K373" s="2" t="str">
        <f>J373*66.94</f>
        <v>0</v>
      </c>
      <c r="L373" s="5"/>
    </row>
    <row r="374" spans="1:12" customHeight="1" ht="105" outlineLevel="3">
      <c r="A374" s="1"/>
      <c r="B374" s="1">
        <v>820474</v>
      </c>
      <c r="C374" s="1" t="s">
        <v>1432</v>
      </c>
      <c r="D374" s="1" t="s">
        <v>1433</v>
      </c>
      <c r="E374" s="2" t="s">
        <v>1434</v>
      </c>
      <c r="F374" s="2" t="s">
        <v>1435</v>
      </c>
      <c r="G374" s="2">
        <v>0</v>
      </c>
      <c r="H374" s="2">
        <v>0</v>
      </c>
      <c r="I374" s="1">
        <v>0</v>
      </c>
      <c r="J374" s="3" t="s">
        <v>17</v>
      </c>
      <c r="K374" s="2" t="str">
        <f>J374*105.88</f>
        <v>0</v>
      </c>
      <c r="L374" s="5"/>
    </row>
    <row r="375" spans="1:12" customHeight="1" ht="105" outlineLevel="3">
      <c r="A375" s="1"/>
      <c r="B375" s="1">
        <v>820475</v>
      </c>
      <c r="C375" s="1" t="s">
        <v>1436</v>
      </c>
      <c r="D375" s="1" t="s">
        <v>1437</v>
      </c>
      <c r="E375" s="2" t="s">
        <v>1438</v>
      </c>
      <c r="F375" s="2" t="s">
        <v>1439</v>
      </c>
      <c r="G375" s="2" t="s">
        <v>23</v>
      </c>
      <c r="H375" s="2">
        <v>0</v>
      </c>
      <c r="I375" s="1">
        <v>0</v>
      </c>
      <c r="J375" s="3" t="s">
        <v>17</v>
      </c>
      <c r="K375" s="2" t="str">
        <f>J375*102.64</f>
        <v>0</v>
      </c>
      <c r="L375" s="5"/>
    </row>
    <row r="376" spans="1:12" customHeight="1" ht="105" outlineLevel="3">
      <c r="A376" s="1"/>
      <c r="B376" s="1">
        <v>820476</v>
      </c>
      <c r="C376" s="1" t="s">
        <v>1440</v>
      </c>
      <c r="D376" s="1" t="s">
        <v>1441</v>
      </c>
      <c r="E376" s="2" t="s">
        <v>1442</v>
      </c>
      <c r="F376" s="2" t="s">
        <v>1443</v>
      </c>
      <c r="G376" s="2">
        <v>0</v>
      </c>
      <c r="H376" s="2">
        <v>0</v>
      </c>
      <c r="I376" s="1">
        <v>0</v>
      </c>
      <c r="J376" s="3" t="s">
        <v>17</v>
      </c>
      <c r="K376" s="2" t="str">
        <f>J376*162.35</f>
        <v>0</v>
      </c>
      <c r="L376" s="5"/>
    </row>
    <row r="377" spans="1:12" customHeight="1" ht="105" outlineLevel="3">
      <c r="A377" s="1"/>
      <c r="B377" s="1">
        <v>820477</v>
      </c>
      <c r="C377" s="1" t="s">
        <v>1444</v>
      </c>
      <c r="D377" s="1" t="s">
        <v>1445</v>
      </c>
      <c r="E377" s="2" t="s">
        <v>1446</v>
      </c>
      <c r="F377" s="2" t="s">
        <v>1447</v>
      </c>
      <c r="G377" s="2" t="s">
        <v>23</v>
      </c>
      <c r="H377" s="2">
        <v>0</v>
      </c>
      <c r="I377" s="1">
        <v>0</v>
      </c>
      <c r="J377" s="3" t="s">
        <v>17</v>
      </c>
      <c r="K377" s="2" t="str">
        <f>J377*168.09</f>
        <v>0</v>
      </c>
      <c r="L377" s="5"/>
    </row>
    <row r="378" spans="1:12" customHeight="1" ht="105" outlineLevel="3">
      <c r="A378" s="1"/>
      <c r="B378" s="1">
        <v>820478</v>
      </c>
      <c r="C378" s="1" t="s">
        <v>1448</v>
      </c>
      <c r="D378" s="1" t="s">
        <v>1449</v>
      </c>
      <c r="E378" s="2" t="s">
        <v>1450</v>
      </c>
      <c r="F378" s="2" t="s">
        <v>1269</v>
      </c>
      <c r="G378" s="2" t="s">
        <v>23</v>
      </c>
      <c r="H378" s="2">
        <v>0</v>
      </c>
      <c r="I378" s="1">
        <v>0</v>
      </c>
      <c r="J378" s="3" t="s">
        <v>17</v>
      </c>
      <c r="K378" s="2" t="str">
        <f>J378*177.01</f>
        <v>0</v>
      </c>
      <c r="L378" s="5"/>
    </row>
    <row r="379" spans="1:12" customHeight="1" ht="105" outlineLevel="3">
      <c r="A379" s="1"/>
      <c r="B379" s="1">
        <v>820479</v>
      </c>
      <c r="C379" s="1" t="s">
        <v>1451</v>
      </c>
      <c r="D379" s="1" t="s">
        <v>1452</v>
      </c>
      <c r="E379" s="2" t="s">
        <v>1453</v>
      </c>
      <c r="F379" s="2" t="s">
        <v>1454</v>
      </c>
      <c r="G379" s="2" t="s">
        <v>22</v>
      </c>
      <c r="H379" s="2">
        <v>0</v>
      </c>
      <c r="I379" s="1">
        <v>0</v>
      </c>
      <c r="J379" s="3" t="s">
        <v>17</v>
      </c>
      <c r="K379" s="2" t="str">
        <f>J379*272.21</f>
        <v>0</v>
      </c>
      <c r="L379" s="5"/>
    </row>
    <row r="380" spans="1:12" customHeight="1" ht="105" outlineLevel="3">
      <c r="A380" s="1"/>
      <c r="B380" s="1">
        <v>820480</v>
      </c>
      <c r="C380" s="1" t="s">
        <v>1455</v>
      </c>
      <c r="D380" s="1" t="s">
        <v>1456</v>
      </c>
      <c r="E380" s="2" t="s">
        <v>1457</v>
      </c>
      <c r="F380" s="2" t="s">
        <v>1405</v>
      </c>
      <c r="G380" s="2">
        <v>9</v>
      </c>
      <c r="H380" s="2">
        <v>0</v>
      </c>
      <c r="I380" s="1">
        <v>0</v>
      </c>
      <c r="J380" s="3" t="s">
        <v>17</v>
      </c>
      <c r="K380" s="2" t="str">
        <f>J380*281.14</f>
        <v>0</v>
      </c>
      <c r="L380" s="5"/>
    </row>
    <row r="381" spans="1:12" customHeight="1" ht="105" outlineLevel="3">
      <c r="A381" s="1"/>
      <c r="B381" s="1">
        <v>820481</v>
      </c>
      <c r="C381" s="1" t="s">
        <v>1458</v>
      </c>
      <c r="D381" s="1" t="s">
        <v>1459</v>
      </c>
      <c r="E381" s="2" t="s">
        <v>1460</v>
      </c>
      <c r="F381" s="2" t="s">
        <v>1461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J381*300.48</f>
        <v>0</v>
      </c>
      <c r="L381" s="5"/>
    </row>
    <row r="382" spans="1:12" customHeight="1" ht="105" outlineLevel="3">
      <c r="A382" s="1"/>
      <c r="B382" s="1">
        <v>820482</v>
      </c>
      <c r="C382" s="1" t="s">
        <v>1462</v>
      </c>
      <c r="D382" s="1" t="s">
        <v>1463</v>
      </c>
      <c r="E382" s="2" t="s">
        <v>1464</v>
      </c>
      <c r="F382" s="2" t="s">
        <v>1465</v>
      </c>
      <c r="G382" s="2">
        <v>7</v>
      </c>
      <c r="H382" s="2">
        <v>0</v>
      </c>
      <c r="I382" s="1">
        <v>0</v>
      </c>
      <c r="J382" s="3" t="s">
        <v>17</v>
      </c>
      <c r="K382" s="2" t="str">
        <f>J382*355.51</f>
        <v>0</v>
      </c>
      <c r="L382" s="5"/>
    </row>
    <row r="383" spans="1:12" customHeight="1" ht="105" outlineLevel="3">
      <c r="A383" s="1"/>
      <c r="B383" s="1">
        <v>820483</v>
      </c>
      <c r="C383" s="1" t="s">
        <v>1466</v>
      </c>
      <c r="D383" s="1" t="s">
        <v>1467</v>
      </c>
      <c r="E383" s="2" t="s">
        <v>1468</v>
      </c>
      <c r="F383" s="2" t="s">
        <v>1469</v>
      </c>
      <c r="G383" s="2">
        <v>0</v>
      </c>
      <c r="H383" s="2">
        <v>0</v>
      </c>
      <c r="I383" s="1">
        <v>0</v>
      </c>
      <c r="J383" s="3" t="s">
        <v>17</v>
      </c>
      <c r="K383" s="2" t="str">
        <f>J383*400.14</f>
        <v>0</v>
      </c>
      <c r="L383" s="5"/>
    </row>
    <row r="384" spans="1:12" customHeight="1" ht="105" outlineLevel="3">
      <c r="A384" s="1"/>
      <c r="B384" s="1">
        <v>820484</v>
      </c>
      <c r="C384" s="1" t="s">
        <v>1470</v>
      </c>
      <c r="D384" s="1" t="s">
        <v>1471</v>
      </c>
      <c r="E384" s="2" t="s">
        <v>1472</v>
      </c>
      <c r="F384" s="2" t="s">
        <v>1473</v>
      </c>
      <c r="G384" s="2" t="s">
        <v>22</v>
      </c>
      <c r="H384" s="2">
        <v>0</v>
      </c>
      <c r="I384" s="1">
        <v>0</v>
      </c>
      <c r="J384" s="3" t="s">
        <v>17</v>
      </c>
      <c r="K384" s="2" t="str">
        <f>J384*417.99</f>
        <v>0</v>
      </c>
      <c r="L384" s="5"/>
    </row>
    <row r="385" spans="1:12" customHeight="1" ht="105" outlineLevel="3">
      <c r="A385" s="1"/>
      <c r="B385" s="1">
        <v>820485</v>
      </c>
      <c r="C385" s="1" t="s">
        <v>1474</v>
      </c>
      <c r="D385" s="1" t="s">
        <v>1475</v>
      </c>
      <c r="E385" s="2" t="s">
        <v>1476</v>
      </c>
      <c r="F385" s="2" t="s">
        <v>1477</v>
      </c>
      <c r="G385" s="2">
        <v>5</v>
      </c>
      <c r="H385" s="2">
        <v>0</v>
      </c>
      <c r="I385" s="1">
        <v>0</v>
      </c>
      <c r="J385" s="3" t="s">
        <v>17</v>
      </c>
      <c r="K385" s="2" t="str">
        <f>J385*633.68</f>
        <v>0</v>
      </c>
      <c r="L385" s="5"/>
    </row>
    <row r="386" spans="1:12" customHeight="1" ht="105" outlineLevel="3">
      <c r="A386" s="1"/>
      <c r="B386" s="1">
        <v>820486</v>
      </c>
      <c r="C386" s="1" t="s">
        <v>1478</v>
      </c>
      <c r="D386" s="1" t="s">
        <v>1479</v>
      </c>
      <c r="E386" s="2" t="s">
        <v>1480</v>
      </c>
      <c r="F386" s="2" t="s">
        <v>1481</v>
      </c>
      <c r="G386" s="2">
        <v>0</v>
      </c>
      <c r="H386" s="2">
        <v>0</v>
      </c>
      <c r="I386" s="1">
        <v>0</v>
      </c>
      <c r="J386" s="3" t="s">
        <v>17</v>
      </c>
      <c r="K386" s="2" t="str">
        <f>J386*691.69</f>
        <v>0</v>
      </c>
      <c r="L386" s="5"/>
    </row>
    <row r="387" spans="1:12" customHeight="1" ht="105" outlineLevel="3">
      <c r="A387" s="1"/>
      <c r="B387" s="1">
        <v>820487</v>
      </c>
      <c r="C387" s="1" t="s">
        <v>1482</v>
      </c>
      <c r="D387" s="1" t="s">
        <v>1483</v>
      </c>
      <c r="E387" s="2" t="s">
        <v>1484</v>
      </c>
      <c r="F387" s="2" t="s">
        <v>1485</v>
      </c>
      <c r="G387" s="2">
        <v>7</v>
      </c>
      <c r="H387" s="2">
        <v>0</v>
      </c>
      <c r="I387" s="1">
        <v>0</v>
      </c>
      <c r="J387" s="3" t="s">
        <v>17</v>
      </c>
      <c r="K387" s="2" t="str">
        <f>J387*629.21</f>
        <v>0</v>
      </c>
      <c r="L387" s="5"/>
    </row>
    <row r="388" spans="1:12" customHeight="1" ht="105" outlineLevel="3">
      <c r="A388" s="1"/>
      <c r="B388" s="1">
        <v>820488</v>
      </c>
      <c r="C388" s="1" t="s">
        <v>1486</v>
      </c>
      <c r="D388" s="1" t="s">
        <v>1487</v>
      </c>
      <c r="E388" s="2" t="s">
        <v>1488</v>
      </c>
      <c r="F388" s="2" t="s">
        <v>1489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J388*239.49</f>
        <v>0</v>
      </c>
      <c r="L388" s="5"/>
    </row>
    <row r="389" spans="1:12" customHeight="1" ht="105" outlineLevel="3">
      <c r="A389" s="1"/>
      <c r="B389" s="1">
        <v>820489</v>
      </c>
      <c r="C389" s="1" t="s">
        <v>1490</v>
      </c>
      <c r="D389" s="1" t="s">
        <v>1491</v>
      </c>
      <c r="E389" s="2" t="s">
        <v>1492</v>
      </c>
      <c r="F389" s="2" t="s">
        <v>1493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J389*426.91</f>
        <v>0</v>
      </c>
      <c r="L389" s="5"/>
    </row>
    <row r="390" spans="1:12" customHeight="1" ht="105" outlineLevel="3">
      <c r="A390" s="1"/>
      <c r="B390" s="1">
        <v>820490</v>
      </c>
      <c r="C390" s="1" t="s">
        <v>1494</v>
      </c>
      <c r="D390" s="1" t="s">
        <v>1495</v>
      </c>
      <c r="E390" s="2" t="s">
        <v>1496</v>
      </c>
      <c r="F390" s="2" t="s">
        <v>1497</v>
      </c>
      <c r="G390" s="2">
        <v>0</v>
      </c>
      <c r="H390" s="2">
        <v>0</v>
      </c>
      <c r="I390" s="1">
        <v>0</v>
      </c>
      <c r="J390" s="3" t="s">
        <v>17</v>
      </c>
      <c r="K390" s="2" t="str">
        <f>J390*632.19</f>
        <v>0</v>
      </c>
      <c r="L390" s="5"/>
    </row>
    <row r="391" spans="1:12" customHeight="1" ht="105" outlineLevel="3">
      <c r="A391" s="1"/>
      <c r="B391" s="1">
        <v>820491</v>
      </c>
      <c r="C391" s="1" t="s">
        <v>1498</v>
      </c>
      <c r="D391" s="1" t="s">
        <v>1499</v>
      </c>
      <c r="E391" s="2" t="s">
        <v>1500</v>
      </c>
      <c r="F391" s="2" t="s">
        <v>1501</v>
      </c>
      <c r="G391" s="2">
        <v>8</v>
      </c>
      <c r="H391" s="2">
        <v>0</v>
      </c>
      <c r="I391" s="1">
        <v>0</v>
      </c>
      <c r="J391" s="3" t="s">
        <v>17</v>
      </c>
      <c r="K391" s="2" t="str">
        <f>J391*197.84</f>
        <v>0</v>
      </c>
      <c r="L391" s="5"/>
    </row>
    <row r="392" spans="1:12" customHeight="1" ht="105" outlineLevel="3">
      <c r="A392" s="1"/>
      <c r="B392" s="1">
        <v>820492</v>
      </c>
      <c r="C392" s="1" t="s">
        <v>1502</v>
      </c>
      <c r="D392" s="1" t="s">
        <v>1503</v>
      </c>
      <c r="E392" s="2" t="s">
        <v>1504</v>
      </c>
      <c r="F392" s="2" t="s">
        <v>1505</v>
      </c>
      <c r="G392" s="2">
        <v>0</v>
      </c>
      <c r="H392" s="2">
        <v>0</v>
      </c>
      <c r="I392" s="1">
        <v>0</v>
      </c>
      <c r="J392" s="3" t="s">
        <v>17</v>
      </c>
      <c r="K392" s="2" t="str">
        <f>J392*319.81</f>
        <v>0</v>
      </c>
      <c r="L392" s="5"/>
    </row>
    <row r="393" spans="1:12" customHeight="1" ht="105" outlineLevel="3">
      <c r="A393" s="1"/>
      <c r="B393" s="1">
        <v>820493</v>
      </c>
      <c r="C393" s="1" t="s">
        <v>1506</v>
      </c>
      <c r="D393" s="1" t="s">
        <v>1507</v>
      </c>
      <c r="E393" s="2" t="s">
        <v>1508</v>
      </c>
      <c r="F393" s="2" t="s">
        <v>1509</v>
      </c>
      <c r="G393" s="2">
        <v>1</v>
      </c>
      <c r="H393" s="2">
        <v>0</v>
      </c>
      <c r="I393" s="1">
        <v>0</v>
      </c>
      <c r="J393" s="3" t="s">
        <v>17</v>
      </c>
      <c r="K393" s="2" t="str">
        <f>J393*550.38</f>
        <v>0</v>
      </c>
      <c r="L393" s="5"/>
    </row>
    <row r="394" spans="1:12" customHeight="1" ht="105" outlineLevel="3">
      <c r="A394" s="1"/>
      <c r="B394" s="1">
        <v>820494</v>
      </c>
      <c r="C394" s="1" t="s">
        <v>1510</v>
      </c>
      <c r="D394" s="1" t="s">
        <v>1511</v>
      </c>
      <c r="E394" s="2" t="s">
        <v>1512</v>
      </c>
      <c r="F394" s="2" t="s">
        <v>1513</v>
      </c>
      <c r="G394" s="2">
        <v>4</v>
      </c>
      <c r="H394" s="2">
        <v>0</v>
      </c>
      <c r="I394" s="1">
        <v>0</v>
      </c>
      <c r="J394" s="3" t="s">
        <v>17</v>
      </c>
      <c r="K394" s="2" t="str">
        <f>J394*819.61</f>
        <v>0</v>
      </c>
      <c r="L394" s="5"/>
    </row>
    <row r="395" spans="1:12" customHeight="1" ht="105" outlineLevel="3">
      <c r="A395" s="1"/>
      <c r="B395" s="1">
        <v>820495</v>
      </c>
      <c r="C395" s="1" t="s">
        <v>1514</v>
      </c>
      <c r="D395" s="1" t="s">
        <v>1515</v>
      </c>
      <c r="E395" s="2" t="s">
        <v>1516</v>
      </c>
      <c r="F395" s="2" t="s">
        <v>1517</v>
      </c>
      <c r="G395" s="2">
        <v>3</v>
      </c>
      <c r="H395" s="2">
        <v>0</v>
      </c>
      <c r="I395" s="1">
        <v>0</v>
      </c>
      <c r="J395" s="3" t="s">
        <v>17</v>
      </c>
      <c r="K395" s="2" t="str">
        <f>J395*1051.66</f>
        <v>0</v>
      </c>
      <c r="L395" s="5"/>
    </row>
    <row r="396" spans="1:12" customHeight="1" ht="105" outlineLevel="3">
      <c r="A396" s="1"/>
      <c r="B396" s="1">
        <v>820496</v>
      </c>
      <c r="C396" s="1" t="s">
        <v>1518</v>
      </c>
      <c r="D396" s="1" t="s">
        <v>1519</v>
      </c>
      <c r="E396" s="2" t="s">
        <v>1520</v>
      </c>
      <c r="F396" s="2" t="s">
        <v>1521</v>
      </c>
      <c r="G396" s="2" t="s">
        <v>23</v>
      </c>
      <c r="H396" s="2">
        <v>0</v>
      </c>
      <c r="I396" s="1">
        <v>0</v>
      </c>
      <c r="J396" s="3" t="s">
        <v>17</v>
      </c>
      <c r="K396" s="2" t="str">
        <f>J396*187.43</f>
        <v>0</v>
      </c>
      <c r="L396" s="5"/>
    </row>
    <row r="397" spans="1:12" customHeight="1" ht="105" outlineLevel="3">
      <c r="A397" s="1"/>
      <c r="B397" s="1">
        <v>820497</v>
      </c>
      <c r="C397" s="1" t="s">
        <v>1522</v>
      </c>
      <c r="D397" s="1" t="s">
        <v>1523</v>
      </c>
      <c r="E397" s="2" t="s">
        <v>1524</v>
      </c>
      <c r="F397" s="2" t="s">
        <v>1409</v>
      </c>
      <c r="G397" s="2" t="s">
        <v>32</v>
      </c>
      <c r="H397" s="2">
        <v>0</v>
      </c>
      <c r="I397" s="1">
        <v>0</v>
      </c>
      <c r="J397" s="3" t="s">
        <v>17</v>
      </c>
      <c r="K397" s="2" t="str">
        <f>J397*296.01</f>
        <v>0</v>
      </c>
      <c r="L397" s="5"/>
    </row>
    <row r="398" spans="1:12" customHeight="1" ht="105" outlineLevel="3">
      <c r="A398" s="1"/>
      <c r="B398" s="1">
        <v>820499</v>
      </c>
      <c r="C398" s="1" t="s">
        <v>1525</v>
      </c>
      <c r="D398" s="1" t="s">
        <v>1526</v>
      </c>
      <c r="E398" s="2" t="s">
        <v>1527</v>
      </c>
      <c r="F398" s="2" t="s">
        <v>1528</v>
      </c>
      <c r="G398" s="2" t="s">
        <v>22</v>
      </c>
      <c r="H398" s="2">
        <v>0</v>
      </c>
      <c r="I398" s="1">
        <v>0</v>
      </c>
      <c r="J398" s="3" t="s">
        <v>17</v>
      </c>
      <c r="K398" s="2" t="str">
        <f>J398*449.23</f>
        <v>0</v>
      </c>
      <c r="L398" s="5"/>
    </row>
    <row r="399" spans="1:12" customHeight="1" ht="105" outlineLevel="3">
      <c r="A399" s="1"/>
      <c r="B399" s="1">
        <v>820500</v>
      </c>
      <c r="C399" s="1" t="s">
        <v>1529</v>
      </c>
      <c r="D399" s="1" t="s">
        <v>1530</v>
      </c>
      <c r="E399" s="2" t="s">
        <v>1531</v>
      </c>
      <c r="F399" s="2" t="s">
        <v>1532</v>
      </c>
      <c r="G399" s="2" t="s">
        <v>23</v>
      </c>
      <c r="H399" s="2">
        <v>0</v>
      </c>
      <c r="I399" s="1">
        <v>0</v>
      </c>
      <c r="J399" s="3" t="s">
        <v>17</v>
      </c>
      <c r="K399" s="2" t="str">
        <f>J399*212.71</f>
        <v>0</v>
      </c>
      <c r="L399" s="5"/>
    </row>
    <row r="400" spans="1:12" customHeight="1" ht="105" outlineLevel="3">
      <c r="A400" s="1"/>
      <c r="B400" s="1">
        <v>820501</v>
      </c>
      <c r="C400" s="1" t="s">
        <v>1533</v>
      </c>
      <c r="D400" s="1" t="s">
        <v>1534</v>
      </c>
      <c r="E400" s="2" t="s">
        <v>1535</v>
      </c>
      <c r="F400" s="2" t="s">
        <v>1461</v>
      </c>
      <c r="G400" s="2">
        <v>7</v>
      </c>
      <c r="H400" s="2">
        <v>0</v>
      </c>
      <c r="I400" s="1">
        <v>0</v>
      </c>
      <c r="J400" s="3" t="s">
        <v>17</v>
      </c>
      <c r="K400" s="2" t="str">
        <f>J400*300.48</f>
        <v>0</v>
      </c>
      <c r="L400" s="5"/>
    </row>
    <row r="401" spans="1:12" customHeight="1" ht="105" outlineLevel="3">
      <c r="A401" s="1"/>
      <c r="B401" s="1">
        <v>820502</v>
      </c>
      <c r="C401" s="1" t="s">
        <v>1536</v>
      </c>
      <c r="D401" s="1" t="s">
        <v>1537</v>
      </c>
      <c r="E401" s="2" t="s">
        <v>1538</v>
      </c>
      <c r="F401" s="2" t="s">
        <v>1539</v>
      </c>
      <c r="G401" s="2" t="s">
        <v>16</v>
      </c>
      <c r="H401" s="2">
        <v>0</v>
      </c>
      <c r="I401" s="1">
        <v>0</v>
      </c>
      <c r="J401" s="3" t="s">
        <v>17</v>
      </c>
      <c r="K401" s="2" t="str">
        <f>J401*440.30</f>
        <v>0</v>
      </c>
      <c r="L401" s="5"/>
    </row>
    <row r="402" spans="1:12" customHeight="1" ht="105" outlineLevel="3">
      <c r="A402" s="1"/>
      <c r="B402" s="1">
        <v>820503</v>
      </c>
      <c r="C402" s="1" t="s">
        <v>1540</v>
      </c>
      <c r="D402" s="1" t="s">
        <v>1541</v>
      </c>
      <c r="E402" s="2" t="s">
        <v>1542</v>
      </c>
      <c r="F402" s="2" t="s">
        <v>1543</v>
      </c>
      <c r="G402" s="2" t="s">
        <v>32</v>
      </c>
      <c r="H402" s="2">
        <v>0</v>
      </c>
      <c r="I402" s="1">
        <v>0</v>
      </c>
      <c r="J402" s="3" t="s">
        <v>17</v>
      </c>
      <c r="K402" s="2" t="str">
        <f>J402*208.25</f>
        <v>0</v>
      </c>
      <c r="L402" s="5"/>
    </row>
    <row r="403" spans="1:12" customHeight="1" ht="105" outlineLevel="3">
      <c r="A403" s="1"/>
      <c r="B403" s="1">
        <v>820504</v>
      </c>
      <c r="C403" s="1" t="s">
        <v>1544</v>
      </c>
      <c r="D403" s="1" t="s">
        <v>1545</v>
      </c>
      <c r="E403" s="2" t="s">
        <v>1546</v>
      </c>
      <c r="F403" s="2" t="s">
        <v>1547</v>
      </c>
      <c r="G403" s="2">
        <v>2</v>
      </c>
      <c r="H403" s="2">
        <v>0</v>
      </c>
      <c r="I403" s="1">
        <v>0</v>
      </c>
      <c r="J403" s="3" t="s">
        <v>17</v>
      </c>
      <c r="K403" s="2" t="str">
        <f>J403*368.90</f>
        <v>0</v>
      </c>
      <c r="L403" s="5"/>
    </row>
    <row r="404" spans="1:12" customHeight="1" ht="105" outlineLevel="3">
      <c r="A404" s="1"/>
      <c r="B404" s="1">
        <v>820505</v>
      </c>
      <c r="C404" s="1" t="s">
        <v>1548</v>
      </c>
      <c r="D404" s="1" t="s">
        <v>1549</v>
      </c>
      <c r="E404" s="2" t="s">
        <v>1550</v>
      </c>
      <c r="F404" s="2" t="s">
        <v>1335</v>
      </c>
      <c r="G404" s="2" t="s">
        <v>22</v>
      </c>
      <c r="H404" s="2">
        <v>0</v>
      </c>
      <c r="I404" s="1">
        <v>0</v>
      </c>
      <c r="J404" s="3" t="s">
        <v>17</v>
      </c>
      <c r="K404" s="2" t="str">
        <f>J404*409.06</f>
        <v>0</v>
      </c>
      <c r="L404" s="5"/>
    </row>
    <row r="405" spans="1:12" customHeight="1" ht="105" outlineLevel="3">
      <c r="A405" s="1"/>
      <c r="B405" s="1">
        <v>820506</v>
      </c>
      <c r="C405" s="1" t="s">
        <v>1551</v>
      </c>
      <c r="D405" s="1" t="s">
        <v>1552</v>
      </c>
      <c r="E405" s="2" t="s">
        <v>1553</v>
      </c>
      <c r="F405" s="2" t="s">
        <v>1554</v>
      </c>
      <c r="G405" s="2" t="s">
        <v>23</v>
      </c>
      <c r="H405" s="2">
        <v>0</v>
      </c>
      <c r="I405" s="1">
        <v>0</v>
      </c>
      <c r="J405" s="3" t="s">
        <v>17</v>
      </c>
      <c r="K405" s="2" t="str">
        <f>J405*254.36</f>
        <v>0</v>
      </c>
      <c r="L405" s="5"/>
    </row>
    <row r="406" spans="1:12" customHeight="1" ht="105" outlineLevel="3">
      <c r="A406" s="1"/>
      <c r="B406" s="1">
        <v>820507</v>
      </c>
      <c r="C406" s="1" t="s">
        <v>1555</v>
      </c>
      <c r="D406" s="1" t="s">
        <v>1556</v>
      </c>
      <c r="E406" s="2" t="s">
        <v>1557</v>
      </c>
      <c r="F406" s="2" t="s">
        <v>1558</v>
      </c>
      <c r="G406" s="2" t="s">
        <v>23</v>
      </c>
      <c r="H406" s="2">
        <v>0</v>
      </c>
      <c r="I406" s="1">
        <v>0</v>
      </c>
      <c r="J406" s="3" t="s">
        <v>17</v>
      </c>
      <c r="K406" s="2" t="str">
        <f>J406*157.68</f>
        <v>0</v>
      </c>
      <c r="L406" s="5"/>
    </row>
    <row r="407" spans="1:12" customHeight="1" ht="105" outlineLevel="3">
      <c r="A407" s="1"/>
      <c r="B407" s="1">
        <v>820508</v>
      </c>
      <c r="C407" s="1" t="s">
        <v>1559</v>
      </c>
      <c r="D407" s="1" t="s">
        <v>1560</v>
      </c>
      <c r="E407" s="2" t="s">
        <v>1561</v>
      </c>
      <c r="F407" s="2" t="s">
        <v>1543</v>
      </c>
      <c r="G407" s="2">
        <v>0</v>
      </c>
      <c r="H407" s="2">
        <v>0</v>
      </c>
      <c r="I407" s="1">
        <v>0</v>
      </c>
      <c r="J407" s="3" t="s">
        <v>17</v>
      </c>
      <c r="K407" s="2" t="str">
        <f>J407*208.25</f>
        <v>0</v>
      </c>
      <c r="L407" s="5"/>
    </row>
    <row r="408" spans="1:12" customHeight="1" ht="105" outlineLevel="3">
      <c r="A408" s="1"/>
      <c r="B408" s="1">
        <v>820509</v>
      </c>
      <c r="C408" s="1" t="s">
        <v>1562</v>
      </c>
      <c r="D408" s="1" t="s">
        <v>1563</v>
      </c>
      <c r="E408" s="2" t="s">
        <v>1564</v>
      </c>
      <c r="F408" s="2" t="s">
        <v>1413</v>
      </c>
      <c r="G408" s="2" t="s">
        <v>16</v>
      </c>
      <c r="H408" s="2">
        <v>0</v>
      </c>
      <c r="I408" s="1">
        <v>0</v>
      </c>
      <c r="J408" s="3" t="s">
        <v>17</v>
      </c>
      <c r="K408" s="2" t="str">
        <f>J408*380.80</f>
        <v>0</v>
      </c>
      <c r="L408" s="5"/>
    </row>
    <row r="409" spans="1:12" customHeight="1" ht="105" outlineLevel="3">
      <c r="A409" s="1"/>
      <c r="B409" s="1">
        <v>820510</v>
      </c>
      <c r="C409" s="1" t="s">
        <v>1565</v>
      </c>
      <c r="D409" s="1" t="s">
        <v>1566</v>
      </c>
      <c r="E409" s="2" t="s">
        <v>1567</v>
      </c>
      <c r="F409" s="2" t="s">
        <v>1393</v>
      </c>
      <c r="G409" s="2" t="s">
        <v>23</v>
      </c>
      <c r="H409" s="2">
        <v>0</v>
      </c>
      <c r="I409" s="1">
        <v>0</v>
      </c>
      <c r="J409" s="3" t="s">
        <v>17</v>
      </c>
      <c r="K409" s="2" t="str">
        <f>J409*166.60</f>
        <v>0</v>
      </c>
      <c r="L409" s="5"/>
    </row>
    <row r="410" spans="1:12" customHeight="1" ht="105" outlineLevel="3">
      <c r="A410" s="1"/>
      <c r="B410" s="1">
        <v>820511</v>
      </c>
      <c r="C410" s="1" t="s">
        <v>1568</v>
      </c>
      <c r="D410" s="1" t="s">
        <v>1569</v>
      </c>
      <c r="E410" s="2" t="s">
        <v>1570</v>
      </c>
      <c r="F410" s="2" t="s">
        <v>1571</v>
      </c>
      <c r="G410" s="2" t="s">
        <v>32</v>
      </c>
      <c r="H410" s="2">
        <v>0</v>
      </c>
      <c r="I410" s="1">
        <v>0</v>
      </c>
      <c r="J410" s="3" t="s">
        <v>17</v>
      </c>
      <c r="K410" s="2" t="str">
        <f>J410*232.05</f>
        <v>0</v>
      </c>
      <c r="L410" s="5"/>
    </row>
    <row r="411" spans="1:12" customHeight="1" ht="105" outlineLevel="3">
      <c r="A411" s="1"/>
      <c r="B411" s="1">
        <v>820512</v>
      </c>
      <c r="C411" s="1" t="s">
        <v>1572</v>
      </c>
      <c r="D411" s="1" t="s">
        <v>1573</v>
      </c>
      <c r="E411" s="2" t="s">
        <v>1574</v>
      </c>
      <c r="F411" s="2" t="s">
        <v>1575</v>
      </c>
      <c r="G411" s="2" t="s">
        <v>32</v>
      </c>
      <c r="H411" s="2">
        <v>0</v>
      </c>
      <c r="I411" s="1">
        <v>0</v>
      </c>
      <c r="J411" s="3" t="s">
        <v>17</v>
      </c>
      <c r="K411" s="2" t="str">
        <f>J411*410.55</f>
        <v>0</v>
      </c>
      <c r="L411" s="5"/>
    </row>
    <row r="412" spans="1:12" customHeight="1" ht="105" outlineLevel="3">
      <c r="A412" s="1"/>
      <c r="B412" s="1">
        <v>820513</v>
      </c>
      <c r="C412" s="1" t="s">
        <v>1576</v>
      </c>
      <c r="D412" s="1" t="s">
        <v>1577</v>
      </c>
      <c r="E412" s="2" t="s">
        <v>1578</v>
      </c>
      <c r="F412" s="2" t="s">
        <v>1558</v>
      </c>
      <c r="G412" s="2" t="s">
        <v>32</v>
      </c>
      <c r="H412" s="2">
        <v>0</v>
      </c>
      <c r="I412" s="1">
        <v>0</v>
      </c>
      <c r="J412" s="3" t="s">
        <v>17</v>
      </c>
      <c r="K412" s="2" t="str">
        <f>J412*157.68</f>
        <v>0</v>
      </c>
      <c r="L412" s="5"/>
    </row>
    <row r="413" spans="1:12" customHeight="1" ht="105" outlineLevel="3">
      <c r="A413" s="1"/>
      <c r="B413" s="1">
        <v>820514</v>
      </c>
      <c r="C413" s="1" t="s">
        <v>1579</v>
      </c>
      <c r="D413" s="1" t="s">
        <v>1580</v>
      </c>
      <c r="E413" s="2" t="s">
        <v>1581</v>
      </c>
      <c r="F413" s="2" t="s">
        <v>1582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J413*235.03</f>
        <v>0</v>
      </c>
      <c r="L413" s="5"/>
    </row>
    <row r="414" spans="1:12" customHeight="1" ht="105" outlineLevel="3">
      <c r="A414" s="1"/>
      <c r="B414" s="1">
        <v>820515</v>
      </c>
      <c r="C414" s="1" t="s">
        <v>1583</v>
      </c>
      <c r="D414" s="1" t="s">
        <v>1584</v>
      </c>
      <c r="E414" s="2" t="s">
        <v>1585</v>
      </c>
      <c r="F414" s="2" t="s">
        <v>1586</v>
      </c>
      <c r="G414" s="2">
        <v>10</v>
      </c>
      <c r="H414" s="2">
        <v>0</v>
      </c>
      <c r="I414" s="1">
        <v>0</v>
      </c>
      <c r="J414" s="3" t="s">
        <v>17</v>
      </c>
      <c r="K414" s="2" t="str">
        <f>J414*394.19</f>
        <v>0</v>
      </c>
      <c r="L414" s="5"/>
    </row>
    <row r="415" spans="1:12" customHeight="1" ht="105" outlineLevel="3">
      <c r="A415" s="1"/>
      <c r="B415" s="1">
        <v>820520</v>
      </c>
      <c r="C415" s="1" t="s">
        <v>1587</v>
      </c>
      <c r="D415" s="1" t="s">
        <v>1588</v>
      </c>
      <c r="E415" s="2" t="s">
        <v>1589</v>
      </c>
      <c r="F415" s="2" t="s">
        <v>1558</v>
      </c>
      <c r="G415" s="2" t="s">
        <v>22</v>
      </c>
      <c r="H415" s="2">
        <v>0</v>
      </c>
      <c r="I415" s="1">
        <v>0</v>
      </c>
      <c r="J415" s="3" t="s">
        <v>17</v>
      </c>
      <c r="K415" s="2" t="str">
        <f>J415*157.68</f>
        <v>0</v>
      </c>
      <c r="L415" s="5"/>
    </row>
    <row r="416" spans="1:12" customHeight="1" ht="105" outlineLevel="3">
      <c r="A416" s="1"/>
      <c r="B416" s="1">
        <v>820521</v>
      </c>
      <c r="C416" s="1" t="s">
        <v>1590</v>
      </c>
      <c r="D416" s="1" t="s">
        <v>1591</v>
      </c>
      <c r="E416" s="2" t="s">
        <v>1592</v>
      </c>
      <c r="F416" s="2" t="s">
        <v>1233</v>
      </c>
      <c r="G416" s="2" t="s">
        <v>16</v>
      </c>
      <c r="H416" s="2">
        <v>0</v>
      </c>
      <c r="I416" s="1">
        <v>0</v>
      </c>
      <c r="J416" s="3" t="s">
        <v>17</v>
      </c>
      <c r="K416" s="2" t="str">
        <f>J416*69.91</f>
        <v>0</v>
      </c>
      <c r="L416" s="5"/>
    </row>
    <row r="417" spans="1:12" customHeight="1" ht="105" outlineLevel="3">
      <c r="A417" s="1"/>
      <c r="B417" s="1">
        <v>820522</v>
      </c>
      <c r="C417" s="1" t="s">
        <v>1593</v>
      </c>
      <c r="D417" s="1" t="s">
        <v>1594</v>
      </c>
      <c r="E417" s="2" t="s">
        <v>1595</v>
      </c>
      <c r="F417" s="2" t="s">
        <v>1596</v>
      </c>
      <c r="G417" s="2" t="s">
        <v>16</v>
      </c>
      <c r="H417" s="2">
        <v>0</v>
      </c>
      <c r="I417" s="1">
        <v>0</v>
      </c>
      <c r="J417" s="3" t="s">
        <v>17</v>
      </c>
      <c r="K417" s="2" t="str">
        <f>J417*80.33</f>
        <v>0</v>
      </c>
      <c r="L417" s="5"/>
    </row>
    <row r="418" spans="1:12" customHeight="1" ht="105" outlineLevel="3">
      <c r="A418" s="1"/>
      <c r="B418" s="1">
        <v>820523</v>
      </c>
      <c r="C418" s="1" t="s">
        <v>1597</v>
      </c>
      <c r="D418" s="1" t="s">
        <v>1598</v>
      </c>
      <c r="E418" s="2" t="s">
        <v>1599</v>
      </c>
      <c r="F418" s="2" t="s">
        <v>1600</v>
      </c>
      <c r="G418" s="2" t="s">
        <v>16</v>
      </c>
      <c r="H418" s="2">
        <v>0</v>
      </c>
      <c r="I418" s="1">
        <v>0</v>
      </c>
      <c r="J418" s="3" t="s">
        <v>17</v>
      </c>
      <c r="K418" s="2" t="str">
        <f>J418*89.25</f>
        <v>0</v>
      </c>
      <c r="L418" s="5"/>
    </row>
    <row r="419" spans="1:12" customHeight="1" ht="105" outlineLevel="3">
      <c r="A419" s="1"/>
      <c r="B419" s="1">
        <v>820524</v>
      </c>
      <c r="C419" s="1" t="s">
        <v>1601</v>
      </c>
      <c r="D419" s="1" t="s">
        <v>1602</v>
      </c>
      <c r="E419" s="2" t="s">
        <v>1603</v>
      </c>
      <c r="F419" s="2" t="s">
        <v>1604</v>
      </c>
      <c r="G419" s="2" t="s">
        <v>16</v>
      </c>
      <c r="H419" s="2">
        <v>0</v>
      </c>
      <c r="I419" s="1">
        <v>0</v>
      </c>
      <c r="J419" s="3" t="s">
        <v>17</v>
      </c>
      <c r="K419" s="2" t="str">
        <f>J419*108.59</f>
        <v>0</v>
      </c>
      <c r="L419" s="5"/>
    </row>
    <row r="420" spans="1:12" customHeight="1" ht="105" outlineLevel="3">
      <c r="A420" s="1"/>
      <c r="B420" s="1">
        <v>820525</v>
      </c>
      <c r="C420" s="1" t="s">
        <v>1605</v>
      </c>
      <c r="D420" s="1" t="s">
        <v>1606</v>
      </c>
      <c r="E420" s="2" t="s">
        <v>1607</v>
      </c>
      <c r="F420" s="2" t="s">
        <v>1608</v>
      </c>
      <c r="G420" s="2">
        <v>1</v>
      </c>
      <c r="H420" s="2">
        <v>0</v>
      </c>
      <c r="I420" s="1">
        <v>0</v>
      </c>
      <c r="J420" s="3" t="s">
        <v>17</v>
      </c>
      <c r="K420" s="2" t="str">
        <f>J420*132.39</f>
        <v>0</v>
      </c>
      <c r="L420" s="5"/>
    </row>
    <row r="421" spans="1:12" customHeight="1" ht="105" outlineLevel="3">
      <c r="A421" s="1"/>
      <c r="B421" s="1">
        <v>820526</v>
      </c>
      <c r="C421" s="1" t="s">
        <v>1609</v>
      </c>
      <c r="D421" s="1" t="s">
        <v>1610</v>
      </c>
      <c r="E421" s="2" t="s">
        <v>1611</v>
      </c>
      <c r="F421" s="2" t="s">
        <v>1393</v>
      </c>
      <c r="G421" s="2" t="s">
        <v>16</v>
      </c>
      <c r="H421" s="2">
        <v>0</v>
      </c>
      <c r="I421" s="1">
        <v>0</v>
      </c>
      <c r="J421" s="3" t="s">
        <v>17</v>
      </c>
      <c r="K421" s="2" t="str">
        <f>J421*166.60</f>
        <v>0</v>
      </c>
      <c r="L421" s="5"/>
    </row>
    <row r="422" spans="1:12" customHeight="1" ht="105" outlineLevel="3">
      <c r="A422" s="1"/>
      <c r="B422" s="1">
        <v>820527</v>
      </c>
      <c r="C422" s="1" t="s">
        <v>1612</v>
      </c>
      <c r="D422" s="1" t="s">
        <v>1613</v>
      </c>
      <c r="E422" s="2" t="s">
        <v>1614</v>
      </c>
      <c r="F422" s="2" t="s">
        <v>1615</v>
      </c>
      <c r="G422" s="2" t="s">
        <v>16</v>
      </c>
      <c r="H422" s="2">
        <v>0</v>
      </c>
      <c r="I422" s="1">
        <v>0</v>
      </c>
      <c r="J422" s="3" t="s">
        <v>17</v>
      </c>
      <c r="K422" s="2" t="str">
        <f>J422*193.38</f>
        <v>0</v>
      </c>
      <c r="L422" s="5"/>
    </row>
    <row r="423" spans="1:12" customHeight="1" ht="105" outlineLevel="3">
      <c r="A423" s="1"/>
      <c r="B423" s="1">
        <v>820528</v>
      </c>
      <c r="C423" s="1" t="s">
        <v>1616</v>
      </c>
      <c r="D423" s="1" t="s">
        <v>1617</v>
      </c>
      <c r="E423" s="2" t="s">
        <v>1618</v>
      </c>
      <c r="F423" s="2" t="s">
        <v>1619</v>
      </c>
      <c r="G423" s="2" t="s">
        <v>22</v>
      </c>
      <c r="H423" s="2">
        <v>0</v>
      </c>
      <c r="I423" s="1">
        <v>0</v>
      </c>
      <c r="J423" s="3" t="s">
        <v>17</v>
      </c>
      <c r="K423" s="2" t="str">
        <f>J423*230.56</f>
        <v>0</v>
      </c>
      <c r="L423" s="5"/>
    </row>
    <row r="424" spans="1:12" customHeight="1" ht="105" outlineLevel="3">
      <c r="A424" s="1"/>
      <c r="B424" s="1">
        <v>820529</v>
      </c>
      <c r="C424" s="1" t="s">
        <v>1620</v>
      </c>
      <c r="D424" s="1" t="s">
        <v>1621</v>
      </c>
      <c r="E424" s="2" t="s">
        <v>1622</v>
      </c>
      <c r="F424" s="2" t="s">
        <v>1281</v>
      </c>
      <c r="G424" s="2">
        <v>6</v>
      </c>
      <c r="H424" s="2">
        <v>0</v>
      </c>
      <c r="I424" s="1">
        <v>0</v>
      </c>
      <c r="J424" s="3" t="s">
        <v>17</v>
      </c>
      <c r="K424" s="2" t="str">
        <f>J424*263.29</f>
        <v>0</v>
      </c>
      <c r="L424" s="5"/>
    </row>
    <row r="425" spans="1:12" customHeight="1" ht="105" outlineLevel="3">
      <c r="A425" s="1"/>
      <c r="B425" s="1">
        <v>820530</v>
      </c>
      <c r="C425" s="1" t="s">
        <v>1623</v>
      </c>
      <c r="D425" s="1" t="s">
        <v>1624</v>
      </c>
      <c r="E425" s="2" t="s">
        <v>1625</v>
      </c>
      <c r="F425" s="2" t="s">
        <v>1626</v>
      </c>
      <c r="G425" s="2" t="s">
        <v>22</v>
      </c>
      <c r="H425" s="2">
        <v>0</v>
      </c>
      <c r="I425" s="1">
        <v>0</v>
      </c>
      <c r="J425" s="3" t="s">
        <v>17</v>
      </c>
      <c r="K425" s="2" t="str">
        <f>J425*298.99</f>
        <v>0</v>
      </c>
      <c r="L425" s="5"/>
    </row>
    <row r="426" spans="1:12" customHeight="1" ht="105" outlineLevel="3">
      <c r="A426" s="1"/>
      <c r="B426" s="1">
        <v>820531</v>
      </c>
      <c r="C426" s="1" t="s">
        <v>1627</v>
      </c>
      <c r="D426" s="1" t="s">
        <v>1628</v>
      </c>
      <c r="E426" s="2" t="s">
        <v>1629</v>
      </c>
      <c r="F426" s="2" t="s">
        <v>1505</v>
      </c>
      <c r="G426" s="2" t="s">
        <v>22</v>
      </c>
      <c r="H426" s="2">
        <v>0</v>
      </c>
      <c r="I426" s="1">
        <v>0</v>
      </c>
      <c r="J426" s="3" t="s">
        <v>17</v>
      </c>
      <c r="K426" s="2" t="str">
        <f>J426*319.81</f>
        <v>0</v>
      </c>
      <c r="L426" s="5"/>
    </row>
    <row r="427" spans="1:12" customHeight="1" ht="105" outlineLevel="3">
      <c r="A427" s="1"/>
      <c r="B427" s="1">
        <v>820532</v>
      </c>
      <c r="C427" s="1" t="s">
        <v>1630</v>
      </c>
      <c r="D427" s="1" t="s">
        <v>1631</v>
      </c>
      <c r="E427" s="2" t="s">
        <v>1632</v>
      </c>
      <c r="F427" s="2" t="s">
        <v>1633</v>
      </c>
      <c r="G427" s="2" t="s">
        <v>16</v>
      </c>
      <c r="H427" s="2">
        <v>0</v>
      </c>
      <c r="I427" s="1">
        <v>0</v>
      </c>
      <c r="J427" s="3" t="s">
        <v>17</v>
      </c>
      <c r="K427" s="2" t="str">
        <f>J427*362.95</f>
        <v>0</v>
      </c>
      <c r="L427" s="5"/>
    </row>
    <row r="428" spans="1:12" customHeight="1" ht="105" outlineLevel="3">
      <c r="A428" s="1"/>
      <c r="B428" s="1">
        <v>820533</v>
      </c>
      <c r="C428" s="1" t="s">
        <v>1634</v>
      </c>
      <c r="D428" s="1" t="s">
        <v>1635</v>
      </c>
      <c r="E428" s="2" t="s">
        <v>1636</v>
      </c>
      <c r="F428" s="2" t="s">
        <v>1316</v>
      </c>
      <c r="G428" s="2" t="s">
        <v>32</v>
      </c>
      <c r="H428" s="2">
        <v>0</v>
      </c>
      <c r="I428" s="1">
        <v>0</v>
      </c>
      <c r="J428" s="3" t="s">
        <v>17</v>
      </c>
      <c r="K428" s="2" t="str">
        <f>J428*46.11</f>
        <v>0</v>
      </c>
      <c r="L428" s="5"/>
    </row>
    <row r="429" spans="1:12" customHeight="1" ht="105" outlineLevel="3">
      <c r="A429" s="1"/>
      <c r="B429" s="1">
        <v>820534</v>
      </c>
      <c r="C429" s="1" t="s">
        <v>1637</v>
      </c>
      <c r="D429" s="1" t="s">
        <v>1638</v>
      </c>
      <c r="E429" s="2" t="s">
        <v>1639</v>
      </c>
      <c r="F429" s="2" t="s">
        <v>1233</v>
      </c>
      <c r="G429" s="2" t="s">
        <v>23</v>
      </c>
      <c r="H429" s="2">
        <v>0</v>
      </c>
      <c r="I429" s="1">
        <v>0</v>
      </c>
      <c r="J429" s="3" t="s">
        <v>17</v>
      </c>
      <c r="K429" s="2" t="str">
        <f>J429*69.91</f>
        <v>0</v>
      </c>
      <c r="L429" s="5"/>
    </row>
    <row r="430" spans="1:12" customHeight="1" ht="105" outlineLevel="3">
      <c r="A430" s="1"/>
      <c r="B430" s="1">
        <v>820535</v>
      </c>
      <c r="C430" s="1" t="s">
        <v>1640</v>
      </c>
      <c r="D430" s="1" t="s">
        <v>1641</v>
      </c>
      <c r="E430" s="2" t="s">
        <v>1642</v>
      </c>
      <c r="F430" s="2" t="s">
        <v>1643</v>
      </c>
      <c r="G430" s="2" t="s">
        <v>23</v>
      </c>
      <c r="H430" s="2">
        <v>0</v>
      </c>
      <c r="I430" s="1">
        <v>0</v>
      </c>
      <c r="J430" s="3" t="s">
        <v>17</v>
      </c>
      <c r="K430" s="2" t="str">
        <f>J430*174.04</f>
        <v>0</v>
      </c>
      <c r="L430" s="5"/>
    </row>
    <row r="431" spans="1:12" customHeight="1" ht="105" outlineLevel="3">
      <c r="A431" s="1"/>
      <c r="B431" s="1">
        <v>820536</v>
      </c>
      <c r="C431" s="1" t="s">
        <v>1644</v>
      </c>
      <c r="D431" s="1" t="s">
        <v>1645</v>
      </c>
      <c r="E431" s="2" t="s">
        <v>1646</v>
      </c>
      <c r="F431" s="2" t="s">
        <v>1608</v>
      </c>
      <c r="G431" s="2" t="s">
        <v>23</v>
      </c>
      <c r="H431" s="2">
        <v>0</v>
      </c>
      <c r="I431" s="1">
        <v>0</v>
      </c>
      <c r="J431" s="3" t="s">
        <v>17</v>
      </c>
      <c r="K431" s="2" t="str">
        <f>J431*132.39</f>
        <v>0</v>
      </c>
      <c r="L431" s="5"/>
    </row>
    <row r="432" spans="1:12" customHeight="1" ht="105" outlineLevel="3">
      <c r="A432" s="1"/>
      <c r="B432" s="1">
        <v>820538</v>
      </c>
      <c r="C432" s="1" t="s">
        <v>1647</v>
      </c>
      <c r="D432" s="1" t="s">
        <v>1648</v>
      </c>
      <c r="E432" s="2" t="s">
        <v>1649</v>
      </c>
      <c r="F432" s="2" t="s">
        <v>1650</v>
      </c>
      <c r="G432" s="2" t="s">
        <v>16</v>
      </c>
      <c r="H432" s="2">
        <v>0</v>
      </c>
      <c r="I432" s="1">
        <v>0</v>
      </c>
      <c r="J432" s="3" t="s">
        <v>17</v>
      </c>
      <c r="K432" s="2" t="str">
        <f>J432*227.59</f>
        <v>0</v>
      </c>
      <c r="L432" s="5"/>
    </row>
    <row r="433" spans="1:12" customHeight="1" ht="105" outlineLevel="3">
      <c r="A433" s="1"/>
      <c r="B433" s="1">
        <v>820539</v>
      </c>
      <c r="C433" s="1" t="s">
        <v>1651</v>
      </c>
      <c r="D433" s="1" t="s">
        <v>1652</v>
      </c>
      <c r="E433" s="2" t="s">
        <v>1653</v>
      </c>
      <c r="F433" s="2" t="s">
        <v>1654</v>
      </c>
      <c r="G433" s="2" t="s">
        <v>22</v>
      </c>
      <c r="H433" s="2">
        <v>0</v>
      </c>
      <c r="I433" s="1">
        <v>0</v>
      </c>
      <c r="J433" s="3" t="s">
        <v>17</v>
      </c>
      <c r="K433" s="2" t="str">
        <f>J433*374.85</f>
        <v>0</v>
      </c>
      <c r="L433" s="5"/>
    </row>
    <row r="434" spans="1:12" customHeight="1" ht="105" outlineLevel="3">
      <c r="A434" s="1"/>
      <c r="B434" s="1">
        <v>820540</v>
      </c>
      <c r="C434" s="1" t="s">
        <v>1655</v>
      </c>
      <c r="D434" s="1" t="s">
        <v>1656</v>
      </c>
      <c r="E434" s="2" t="s">
        <v>1657</v>
      </c>
      <c r="F434" s="2" t="s">
        <v>1658</v>
      </c>
      <c r="G434" s="2">
        <v>10</v>
      </c>
      <c r="H434" s="2">
        <v>0</v>
      </c>
      <c r="I434" s="1">
        <v>0</v>
      </c>
      <c r="J434" s="3" t="s">
        <v>17</v>
      </c>
      <c r="K434" s="2" t="str">
        <f>J434*321.30</f>
        <v>0</v>
      </c>
      <c r="L434" s="5"/>
    </row>
    <row r="435" spans="1:12" customHeight="1" ht="105" outlineLevel="3">
      <c r="A435" s="1"/>
      <c r="B435" s="1">
        <v>820541</v>
      </c>
      <c r="C435" s="1" t="s">
        <v>1659</v>
      </c>
      <c r="D435" s="1" t="s">
        <v>1660</v>
      </c>
      <c r="E435" s="2" t="s">
        <v>1661</v>
      </c>
      <c r="F435" s="2" t="s">
        <v>1662</v>
      </c>
      <c r="G435" s="2" t="s">
        <v>22</v>
      </c>
      <c r="H435" s="2">
        <v>0</v>
      </c>
      <c r="I435" s="1">
        <v>0</v>
      </c>
      <c r="J435" s="3" t="s">
        <v>17</v>
      </c>
      <c r="K435" s="2" t="str">
        <f>J435*499.80</f>
        <v>0</v>
      </c>
      <c r="L435" s="5"/>
    </row>
    <row r="436" spans="1:12" customHeight="1" ht="105" outlineLevel="3">
      <c r="A436" s="1"/>
      <c r="B436" s="1">
        <v>820542</v>
      </c>
      <c r="C436" s="1" t="s">
        <v>1663</v>
      </c>
      <c r="D436" s="1" t="s">
        <v>1664</v>
      </c>
      <c r="E436" s="2" t="s">
        <v>1665</v>
      </c>
      <c r="F436" s="2" t="s">
        <v>1666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J436*539.96</f>
        <v>0</v>
      </c>
      <c r="L436" s="5"/>
    </row>
    <row r="437" spans="1:12" customHeight="1" ht="105" outlineLevel="3">
      <c r="A437" s="1"/>
      <c r="B437" s="1">
        <v>820543</v>
      </c>
      <c r="C437" s="1" t="s">
        <v>1667</v>
      </c>
      <c r="D437" s="1" t="s">
        <v>1668</v>
      </c>
      <c r="E437" s="2" t="s">
        <v>1669</v>
      </c>
      <c r="F437" s="2" t="s">
        <v>1670</v>
      </c>
      <c r="G437" s="2">
        <v>1</v>
      </c>
      <c r="H437" s="2">
        <v>0</v>
      </c>
      <c r="I437" s="1">
        <v>0</v>
      </c>
      <c r="J437" s="3" t="s">
        <v>17</v>
      </c>
      <c r="K437" s="2" t="str">
        <f>J437*636.65</f>
        <v>0</v>
      </c>
      <c r="L437" s="5"/>
    </row>
    <row r="438" spans="1:12" customHeight="1" ht="105" outlineLevel="3">
      <c r="A438" s="1"/>
      <c r="B438" s="1">
        <v>820544</v>
      </c>
      <c r="C438" s="1" t="s">
        <v>1671</v>
      </c>
      <c r="D438" s="1" t="s">
        <v>1672</v>
      </c>
      <c r="E438" s="2" t="s">
        <v>1673</v>
      </c>
      <c r="F438" s="2" t="s">
        <v>1674</v>
      </c>
      <c r="G438" s="2" t="s">
        <v>32</v>
      </c>
      <c r="H438" s="2">
        <v>0</v>
      </c>
      <c r="I438" s="1">
        <v>0</v>
      </c>
      <c r="J438" s="3" t="s">
        <v>17</v>
      </c>
      <c r="K438" s="2" t="str">
        <f>J438*78.84</f>
        <v>0</v>
      </c>
      <c r="L438" s="5"/>
    </row>
    <row r="439" spans="1:12" customHeight="1" ht="105" outlineLevel="3">
      <c r="A439" s="1"/>
      <c r="B439" s="1">
        <v>820545</v>
      </c>
      <c r="C439" s="1" t="s">
        <v>1675</v>
      </c>
      <c r="D439" s="1" t="s">
        <v>1676</v>
      </c>
      <c r="E439" s="2" t="s">
        <v>1677</v>
      </c>
      <c r="F439" s="2" t="s">
        <v>1596</v>
      </c>
      <c r="G439" s="2" t="s">
        <v>32</v>
      </c>
      <c r="H439" s="2">
        <v>0</v>
      </c>
      <c r="I439" s="1">
        <v>0</v>
      </c>
      <c r="J439" s="3" t="s">
        <v>17</v>
      </c>
      <c r="K439" s="2" t="str">
        <f>J439*80.33</f>
        <v>0</v>
      </c>
      <c r="L439" s="5"/>
    </row>
    <row r="440" spans="1:12" customHeight="1" ht="105" outlineLevel="3">
      <c r="A440" s="1"/>
      <c r="B440" s="1">
        <v>820546</v>
      </c>
      <c r="C440" s="1" t="s">
        <v>1678</v>
      </c>
      <c r="D440" s="1" t="s">
        <v>1679</v>
      </c>
      <c r="E440" s="2" t="s">
        <v>1680</v>
      </c>
      <c r="F440" s="2" t="s">
        <v>1681</v>
      </c>
      <c r="G440" s="2" t="s">
        <v>32</v>
      </c>
      <c r="H440" s="2">
        <v>0</v>
      </c>
      <c r="I440" s="1">
        <v>0</v>
      </c>
      <c r="J440" s="3" t="s">
        <v>17</v>
      </c>
      <c r="K440" s="2" t="str">
        <f>J440*90.74</f>
        <v>0</v>
      </c>
      <c r="L440" s="5"/>
    </row>
    <row r="441" spans="1:12" customHeight="1" ht="105" outlineLevel="3">
      <c r="A441" s="1"/>
      <c r="B441" s="1">
        <v>820547</v>
      </c>
      <c r="C441" s="1" t="s">
        <v>1682</v>
      </c>
      <c r="D441" s="1" t="s">
        <v>1683</v>
      </c>
      <c r="E441" s="2" t="s">
        <v>1684</v>
      </c>
      <c r="F441" s="2" t="s">
        <v>1685</v>
      </c>
      <c r="G441" s="2" t="s">
        <v>32</v>
      </c>
      <c r="H441" s="2">
        <v>0</v>
      </c>
      <c r="I441" s="1">
        <v>0</v>
      </c>
      <c r="J441" s="3" t="s">
        <v>17</v>
      </c>
      <c r="K441" s="2" t="str">
        <f>J441*99.66</f>
        <v>0</v>
      </c>
      <c r="L441" s="5"/>
    </row>
    <row r="442" spans="1:12" customHeight="1" ht="105" outlineLevel="3">
      <c r="A442" s="1"/>
      <c r="B442" s="1">
        <v>820548</v>
      </c>
      <c r="C442" s="1" t="s">
        <v>1686</v>
      </c>
      <c r="D442" s="1" t="s">
        <v>1687</v>
      </c>
      <c r="E442" s="2" t="s">
        <v>1688</v>
      </c>
      <c r="F442" s="2" t="s">
        <v>1439</v>
      </c>
      <c r="G442" s="2" t="s">
        <v>23</v>
      </c>
      <c r="H442" s="2">
        <v>0</v>
      </c>
      <c r="I442" s="1">
        <v>0</v>
      </c>
      <c r="J442" s="3" t="s">
        <v>17</v>
      </c>
      <c r="K442" s="2" t="str">
        <f>J442*102.64</f>
        <v>0</v>
      </c>
      <c r="L442" s="5"/>
    </row>
    <row r="443" spans="1:12" customHeight="1" ht="105" outlineLevel="3">
      <c r="A443" s="1"/>
      <c r="B443" s="1">
        <v>820549</v>
      </c>
      <c r="C443" s="1" t="s">
        <v>1689</v>
      </c>
      <c r="D443" s="1" t="s">
        <v>1690</v>
      </c>
      <c r="E443" s="2" t="s">
        <v>1691</v>
      </c>
      <c r="F443" s="2" t="s">
        <v>1604</v>
      </c>
      <c r="G443" s="2" t="s">
        <v>23</v>
      </c>
      <c r="H443" s="2">
        <v>0</v>
      </c>
      <c r="I443" s="1">
        <v>0</v>
      </c>
      <c r="J443" s="3" t="s">
        <v>17</v>
      </c>
      <c r="K443" s="2" t="str">
        <f>J443*108.59</f>
        <v>0</v>
      </c>
      <c r="L443" s="5"/>
    </row>
    <row r="444" spans="1:12" customHeight="1" ht="105" outlineLevel="3">
      <c r="A444" s="1"/>
      <c r="B444" s="1">
        <v>820550</v>
      </c>
      <c r="C444" s="1" t="s">
        <v>1692</v>
      </c>
      <c r="D444" s="1" t="s">
        <v>1693</v>
      </c>
      <c r="E444" s="2" t="s">
        <v>1694</v>
      </c>
      <c r="F444" s="2" t="s">
        <v>1265</v>
      </c>
      <c r="G444" s="2" t="s">
        <v>32</v>
      </c>
      <c r="H444" s="2">
        <v>0</v>
      </c>
      <c r="I444" s="1">
        <v>0</v>
      </c>
      <c r="J444" s="3" t="s">
        <v>17</v>
      </c>
      <c r="K444" s="2" t="str">
        <f>J444*147.26</f>
        <v>0</v>
      </c>
      <c r="L444" s="5"/>
    </row>
    <row r="445" spans="1:12" customHeight="1" ht="105" outlineLevel="3">
      <c r="A445" s="1"/>
      <c r="B445" s="1">
        <v>820551</v>
      </c>
      <c r="C445" s="1" t="s">
        <v>1695</v>
      </c>
      <c r="D445" s="1" t="s">
        <v>1696</v>
      </c>
      <c r="E445" s="2" t="s">
        <v>1697</v>
      </c>
      <c r="F445" s="2" t="s">
        <v>1698</v>
      </c>
      <c r="G445" s="2" t="s">
        <v>16</v>
      </c>
      <c r="H445" s="2">
        <v>0</v>
      </c>
      <c r="I445" s="1">
        <v>0</v>
      </c>
      <c r="J445" s="3" t="s">
        <v>17</v>
      </c>
      <c r="K445" s="2" t="str">
        <f>J445*175.53</f>
        <v>0</v>
      </c>
      <c r="L445" s="5"/>
    </row>
    <row r="446" spans="1:12" customHeight="1" ht="105" outlineLevel="3">
      <c r="A446" s="1"/>
      <c r="B446" s="1">
        <v>820552</v>
      </c>
      <c r="C446" s="1" t="s">
        <v>1699</v>
      </c>
      <c r="D446" s="1" t="s">
        <v>1700</v>
      </c>
      <c r="E446" s="2" t="s">
        <v>1701</v>
      </c>
      <c r="F446" s="2" t="s">
        <v>1619</v>
      </c>
      <c r="G446" s="2" t="s">
        <v>32</v>
      </c>
      <c r="H446" s="2">
        <v>0</v>
      </c>
      <c r="I446" s="1">
        <v>0</v>
      </c>
      <c r="J446" s="3" t="s">
        <v>17</v>
      </c>
      <c r="K446" s="2" t="str">
        <f>J446*230.56</f>
        <v>0</v>
      </c>
      <c r="L446" s="5"/>
    </row>
    <row r="447" spans="1:12" customHeight="1" ht="105" outlineLevel="3">
      <c r="A447" s="1"/>
      <c r="B447" s="1">
        <v>820553</v>
      </c>
      <c r="C447" s="1" t="s">
        <v>1702</v>
      </c>
      <c r="D447" s="1" t="s">
        <v>1703</v>
      </c>
      <c r="E447" s="2" t="s">
        <v>1704</v>
      </c>
      <c r="F447" s="2" t="s">
        <v>1705</v>
      </c>
      <c r="G447" s="2">
        <v>2</v>
      </c>
      <c r="H447" s="2">
        <v>0</v>
      </c>
      <c r="I447" s="1">
        <v>0</v>
      </c>
      <c r="J447" s="3" t="s">
        <v>17</v>
      </c>
      <c r="K447" s="2" t="str">
        <f>J447*334.69</f>
        <v>0</v>
      </c>
      <c r="L447" s="5"/>
    </row>
    <row r="448" spans="1:12" customHeight="1" ht="105" outlineLevel="3">
      <c r="A448" s="1"/>
      <c r="B448" s="1">
        <v>820554</v>
      </c>
      <c r="C448" s="1" t="s">
        <v>1706</v>
      </c>
      <c r="D448" s="1" t="s">
        <v>1707</v>
      </c>
      <c r="E448" s="2" t="s">
        <v>1708</v>
      </c>
      <c r="F448" s="2" t="s">
        <v>1709</v>
      </c>
      <c r="G448" s="2" t="s">
        <v>22</v>
      </c>
      <c r="H448" s="2">
        <v>0</v>
      </c>
      <c r="I448" s="1">
        <v>0</v>
      </c>
      <c r="J448" s="3" t="s">
        <v>17</v>
      </c>
      <c r="K448" s="2" t="str">
        <f>J448*470.05</f>
        <v>0</v>
      </c>
      <c r="L448" s="5"/>
    </row>
    <row r="449" spans="1:12" customHeight="1" ht="105" outlineLevel="3">
      <c r="A449" s="1"/>
      <c r="B449" s="1">
        <v>820555</v>
      </c>
      <c r="C449" s="1" t="s">
        <v>1710</v>
      </c>
      <c r="D449" s="1" t="s">
        <v>1711</v>
      </c>
      <c r="E449" s="2" t="s">
        <v>1712</v>
      </c>
      <c r="F449" s="2" t="s">
        <v>1233</v>
      </c>
      <c r="G449" s="2" t="s">
        <v>32</v>
      </c>
      <c r="H449" s="2">
        <v>0</v>
      </c>
      <c r="I449" s="1">
        <v>0</v>
      </c>
      <c r="J449" s="3" t="s">
        <v>17</v>
      </c>
      <c r="K449" s="2" t="str">
        <f>J449*69.91</f>
        <v>0</v>
      </c>
      <c r="L449" s="5"/>
    </row>
    <row r="450" spans="1:12" customHeight="1" ht="105" outlineLevel="3">
      <c r="A450" s="1"/>
      <c r="B450" s="1">
        <v>820556</v>
      </c>
      <c r="C450" s="1" t="s">
        <v>1713</v>
      </c>
      <c r="D450" s="1" t="s">
        <v>1714</v>
      </c>
      <c r="E450" s="2" t="s">
        <v>1715</v>
      </c>
      <c r="F450" s="2" t="s">
        <v>1596</v>
      </c>
      <c r="G450" s="2" t="s">
        <v>23</v>
      </c>
      <c r="H450" s="2">
        <v>0</v>
      </c>
      <c r="I450" s="1">
        <v>0</v>
      </c>
      <c r="J450" s="3" t="s">
        <v>17</v>
      </c>
      <c r="K450" s="2" t="str">
        <f>J450*80.33</f>
        <v>0</v>
      </c>
      <c r="L450" s="5"/>
    </row>
    <row r="451" spans="1:12" customHeight="1" ht="105" outlineLevel="3">
      <c r="A451" s="1"/>
      <c r="B451" s="1">
        <v>820557</v>
      </c>
      <c r="C451" s="1" t="s">
        <v>1716</v>
      </c>
      <c r="D451" s="1" t="s">
        <v>1717</v>
      </c>
      <c r="E451" s="2" t="s">
        <v>1718</v>
      </c>
      <c r="F451" s="2" t="s">
        <v>1719</v>
      </c>
      <c r="G451" s="2" t="s">
        <v>23</v>
      </c>
      <c r="H451" s="2">
        <v>0</v>
      </c>
      <c r="I451" s="1">
        <v>0</v>
      </c>
      <c r="J451" s="3" t="s">
        <v>17</v>
      </c>
      <c r="K451" s="2" t="str">
        <f>J451*81.81</f>
        <v>0</v>
      </c>
      <c r="L451" s="5"/>
    </row>
    <row r="452" spans="1:12" customHeight="1" ht="105" outlineLevel="3">
      <c r="A452" s="1"/>
      <c r="B452" s="1">
        <v>820558</v>
      </c>
      <c r="C452" s="1" t="s">
        <v>1720</v>
      </c>
      <c r="D452" s="1" t="s">
        <v>1721</v>
      </c>
      <c r="E452" s="2" t="s">
        <v>1722</v>
      </c>
      <c r="F452" s="2" t="s">
        <v>1723</v>
      </c>
      <c r="G452" s="2" t="s">
        <v>23</v>
      </c>
      <c r="H452" s="2">
        <v>0</v>
      </c>
      <c r="I452" s="1">
        <v>0</v>
      </c>
      <c r="J452" s="3" t="s">
        <v>17</v>
      </c>
      <c r="K452" s="2" t="str">
        <f>J452*87.76</f>
        <v>0</v>
      </c>
      <c r="L452" s="5"/>
    </row>
    <row r="453" spans="1:12" customHeight="1" ht="105" outlineLevel="3">
      <c r="A453" s="1"/>
      <c r="B453" s="1">
        <v>820559</v>
      </c>
      <c r="C453" s="1" t="s">
        <v>1724</v>
      </c>
      <c r="D453" s="1" t="s">
        <v>1725</v>
      </c>
      <c r="E453" s="2" t="s">
        <v>1726</v>
      </c>
      <c r="F453" s="2" t="s">
        <v>1727</v>
      </c>
      <c r="G453" s="2" t="s">
        <v>23</v>
      </c>
      <c r="H453" s="2">
        <v>0</v>
      </c>
      <c r="I453" s="1">
        <v>0</v>
      </c>
      <c r="J453" s="3" t="s">
        <v>17</v>
      </c>
      <c r="K453" s="2" t="str">
        <f>J453*92.23</f>
        <v>0</v>
      </c>
      <c r="L453" s="5"/>
    </row>
    <row r="454" spans="1:12" customHeight="1" ht="105" outlineLevel="3">
      <c r="A454" s="1"/>
      <c r="B454" s="1">
        <v>820560</v>
      </c>
      <c r="C454" s="1" t="s">
        <v>1728</v>
      </c>
      <c r="D454" s="1" t="s">
        <v>1729</v>
      </c>
      <c r="E454" s="2" t="s">
        <v>1730</v>
      </c>
      <c r="F454" s="2" t="s">
        <v>1731</v>
      </c>
      <c r="G454" s="2" t="s">
        <v>23</v>
      </c>
      <c r="H454" s="2">
        <v>0</v>
      </c>
      <c r="I454" s="1">
        <v>0</v>
      </c>
      <c r="J454" s="3" t="s">
        <v>17</v>
      </c>
      <c r="K454" s="2" t="str">
        <f>J454*96.69</f>
        <v>0</v>
      </c>
      <c r="L454" s="5"/>
    </row>
    <row r="455" spans="1:12" customHeight="1" ht="105" outlineLevel="3">
      <c r="A455" s="1"/>
      <c r="B455" s="1">
        <v>820561</v>
      </c>
      <c r="C455" s="1" t="s">
        <v>1732</v>
      </c>
      <c r="D455" s="1" t="s">
        <v>1733</v>
      </c>
      <c r="E455" s="2" t="s">
        <v>1734</v>
      </c>
      <c r="F455" s="2" t="s">
        <v>1312</v>
      </c>
      <c r="G455" s="2" t="s">
        <v>23</v>
      </c>
      <c r="H455" s="2">
        <v>0</v>
      </c>
      <c r="I455" s="1">
        <v>0</v>
      </c>
      <c r="J455" s="3" t="s">
        <v>17</v>
      </c>
      <c r="K455" s="2" t="str">
        <f>J455*127.93</f>
        <v>0</v>
      </c>
      <c r="L455" s="5"/>
    </row>
    <row r="456" spans="1:12" customHeight="1" ht="105" outlineLevel="3">
      <c r="A456" s="1"/>
      <c r="B456" s="1">
        <v>820562</v>
      </c>
      <c r="C456" s="1" t="s">
        <v>1735</v>
      </c>
      <c r="D456" s="1" t="s">
        <v>1736</v>
      </c>
      <c r="E456" s="2" t="s">
        <v>1737</v>
      </c>
      <c r="F456" s="2" t="s">
        <v>1367</v>
      </c>
      <c r="G456" s="2">
        <v>6</v>
      </c>
      <c r="H456" s="2">
        <v>0</v>
      </c>
      <c r="I456" s="1">
        <v>0</v>
      </c>
      <c r="J456" s="3" t="s">
        <v>17</v>
      </c>
      <c r="K456" s="2" t="str">
        <f>J456*159.16</f>
        <v>0</v>
      </c>
      <c r="L456" s="5"/>
    </row>
    <row r="457" spans="1:12" customHeight="1" ht="105" outlineLevel="3">
      <c r="A457" s="1"/>
      <c r="B457" s="1">
        <v>820563</v>
      </c>
      <c r="C457" s="1" t="s">
        <v>1738</v>
      </c>
      <c r="D457" s="1" t="s">
        <v>1739</v>
      </c>
      <c r="E457" s="2" t="s">
        <v>1740</v>
      </c>
      <c r="F457" s="2" t="s">
        <v>1741</v>
      </c>
      <c r="G457" s="2" t="s">
        <v>16</v>
      </c>
      <c r="H457" s="2">
        <v>0</v>
      </c>
      <c r="I457" s="1">
        <v>0</v>
      </c>
      <c r="J457" s="3" t="s">
        <v>17</v>
      </c>
      <c r="K457" s="2" t="str">
        <f>J457*285.60</f>
        <v>0</v>
      </c>
      <c r="L457" s="5"/>
    </row>
    <row r="458" spans="1:12" customHeight="1" ht="105" outlineLevel="3">
      <c r="A458" s="1"/>
      <c r="B458" s="1">
        <v>820564</v>
      </c>
      <c r="C458" s="1" t="s">
        <v>1742</v>
      </c>
      <c r="D458" s="1" t="s">
        <v>1743</v>
      </c>
      <c r="E458" s="2" t="s">
        <v>1744</v>
      </c>
      <c r="F458" s="2" t="s">
        <v>1397</v>
      </c>
      <c r="G458" s="2">
        <v>0</v>
      </c>
      <c r="H458" s="2">
        <v>0</v>
      </c>
      <c r="I458" s="1">
        <v>0</v>
      </c>
      <c r="J458" s="3" t="s">
        <v>17</v>
      </c>
      <c r="K458" s="2" t="str">
        <f>J458*185.94</f>
        <v>0</v>
      </c>
      <c r="L458" s="5"/>
    </row>
    <row r="459" spans="1:12" customHeight="1" ht="105" outlineLevel="3">
      <c r="A459" s="1"/>
      <c r="B459" s="1">
        <v>820565</v>
      </c>
      <c r="C459" s="1" t="s">
        <v>1745</v>
      </c>
      <c r="D459" s="1" t="s">
        <v>1746</v>
      </c>
      <c r="E459" s="2" t="s">
        <v>1747</v>
      </c>
      <c r="F459" s="2" t="s">
        <v>1748</v>
      </c>
      <c r="G459" s="2" t="s">
        <v>16</v>
      </c>
      <c r="H459" s="2">
        <v>0</v>
      </c>
      <c r="I459" s="1">
        <v>0</v>
      </c>
      <c r="J459" s="3" t="s">
        <v>17</v>
      </c>
      <c r="K459" s="2" t="str">
        <f>J459*214.20</f>
        <v>0</v>
      </c>
      <c r="L459" s="5"/>
    </row>
    <row r="460" spans="1:12" customHeight="1" ht="105" outlineLevel="3">
      <c r="A460" s="1"/>
      <c r="B460" s="1">
        <v>820566</v>
      </c>
      <c r="C460" s="1" t="s">
        <v>1749</v>
      </c>
      <c r="D460" s="1" t="s">
        <v>1750</v>
      </c>
      <c r="E460" s="2" t="s">
        <v>1751</v>
      </c>
      <c r="F460" s="2" t="s">
        <v>1752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J460*310.89</f>
        <v>0</v>
      </c>
      <c r="L460" s="5"/>
    </row>
    <row r="461" spans="1:12" customHeight="1" ht="105" outlineLevel="3">
      <c r="A461" s="1"/>
      <c r="B461" s="1">
        <v>820567</v>
      </c>
      <c r="C461" s="1" t="s">
        <v>1753</v>
      </c>
      <c r="D461" s="1" t="s">
        <v>1754</v>
      </c>
      <c r="E461" s="2" t="s">
        <v>1755</v>
      </c>
      <c r="F461" s="2" t="s">
        <v>1756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J461*416.50</f>
        <v>0</v>
      </c>
      <c r="L461" s="5"/>
    </row>
    <row r="462" spans="1:12" customHeight="1" ht="105" outlineLevel="3">
      <c r="A462" s="1"/>
      <c r="B462" s="1">
        <v>820568</v>
      </c>
      <c r="C462" s="1" t="s">
        <v>1757</v>
      </c>
      <c r="D462" s="1" t="s">
        <v>1758</v>
      </c>
      <c r="E462" s="2" t="s">
        <v>1759</v>
      </c>
      <c r="F462" s="2" t="s">
        <v>1760</v>
      </c>
      <c r="G462" s="2">
        <v>0</v>
      </c>
      <c r="H462" s="2">
        <v>0</v>
      </c>
      <c r="I462" s="1">
        <v>0</v>
      </c>
      <c r="J462" s="3" t="s">
        <v>17</v>
      </c>
      <c r="K462" s="2" t="str">
        <f>J462*755.65</f>
        <v>0</v>
      </c>
      <c r="L462" s="5"/>
    </row>
    <row r="463" spans="1:12" customHeight="1" ht="105" outlineLevel="3">
      <c r="A463" s="1"/>
      <c r="B463" s="1">
        <v>820569</v>
      </c>
      <c r="C463" s="1" t="s">
        <v>1761</v>
      </c>
      <c r="D463" s="1" t="s">
        <v>1762</v>
      </c>
      <c r="E463" s="2" t="s">
        <v>1763</v>
      </c>
      <c r="F463" s="2" t="s">
        <v>1764</v>
      </c>
      <c r="G463" s="2" t="s">
        <v>32</v>
      </c>
      <c r="H463" s="2">
        <v>0</v>
      </c>
      <c r="I463" s="1">
        <v>0</v>
      </c>
      <c r="J463" s="3" t="s">
        <v>17</v>
      </c>
      <c r="K463" s="2" t="str">
        <f>J463*55.04</f>
        <v>0</v>
      </c>
      <c r="L463" s="5"/>
    </row>
    <row r="464" spans="1:12" customHeight="1" ht="105" outlineLevel="3">
      <c r="A464" s="1"/>
      <c r="B464" s="1">
        <v>820570</v>
      </c>
      <c r="C464" s="1" t="s">
        <v>1765</v>
      </c>
      <c r="D464" s="1" t="s">
        <v>1766</v>
      </c>
      <c r="E464" s="2" t="s">
        <v>1767</v>
      </c>
      <c r="F464" s="2" t="s">
        <v>1768</v>
      </c>
      <c r="G464" s="2" t="s">
        <v>16</v>
      </c>
      <c r="H464" s="2">
        <v>0</v>
      </c>
      <c r="I464" s="1">
        <v>0</v>
      </c>
      <c r="J464" s="3" t="s">
        <v>17</v>
      </c>
      <c r="K464" s="2" t="str">
        <f>J464*74.38</f>
        <v>0</v>
      </c>
      <c r="L464" s="5"/>
    </row>
    <row r="465" spans="1:12" customHeight="1" ht="105" outlineLevel="3">
      <c r="A465" s="1"/>
      <c r="B465" s="1">
        <v>820571</v>
      </c>
      <c r="C465" s="1" t="s">
        <v>1769</v>
      </c>
      <c r="D465" s="1" t="s">
        <v>1770</v>
      </c>
      <c r="E465" s="2" t="s">
        <v>1771</v>
      </c>
      <c r="F465" s="2" t="s">
        <v>1772</v>
      </c>
      <c r="G465" s="2" t="s">
        <v>22</v>
      </c>
      <c r="H465" s="2">
        <v>0</v>
      </c>
      <c r="I465" s="1">
        <v>0</v>
      </c>
      <c r="J465" s="3" t="s">
        <v>17</v>
      </c>
      <c r="K465" s="2" t="str">
        <f>J465*114.54</f>
        <v>0</v>
      </c>
      <c r="L465" s="5"/>
    </row>
    <row r="466" spans="1:12" customHeight="1" ht="105" outlineLevel="3">
      <c r="A466" s="1"/>
      <c r="B466" s="1">
        <v>820572</v>
      </c>
      <c r="C466" s="1" t="s">
        <v>1773</v>
      </c>
      <c r="D466" s="1" t="s">
        <v>1774</v>
      </c>
      <c r="E466" s="2" t="s">
        <v>1775</v>
      </c>
      <c r="F466" s="2" t="s">
        <v>1323</v>
      </c>
      <c r="G466" s="2">
        <v>0</v>
      </c>
      <c r="H466" s="2">
        <v>0</v>
      </c>
      <c r="I466" s="1">
        <v>0</v>
      </c>
      <c r="J466" s="3" t="s">
        <v>17</v>
      </c>
      <c r="K466" s="2" t="str">
        <f>J466*123.46</f>
        <v>0</v>
      </c>
      <c r="L466" s="5"/>
    </row>
    <row r="467" spans="1:12" customHeight="1" ht="105" outlineLevel="3">
      <c r="A467" s="1"/>
      <c r="B467" s="1">
        <v>820573</v>
      </c>
      <c r="C467" s="1" t="s">
        <v>1776</v>
      </c>
      <c r="D467" s="1" t="s">
        <v>1777</v>
      </c>
      <c r="E467" s="2" t="s">
        <v>1778</v>
      </c>
      <c r="F467" s="2" t="s">
        <v>1489</v>
      </c>
      <c r="G467" s="2" t="s">
        <v>16</v>
      </c>
      <c r="H467" s="2">
        <v>0</v>
      </c>
      <c r="I467" s="1">
        <v>0</v>
      </c>
      <c r="J467" s="3" t="s">
        <v>17</v>
      </c>
      <c r="K467" s="2" t="str">
        <f>J467*239.49</f>
        <v>0</v>
      </c>
      <c r="L467" s="5"/>
    </row>
    <row r="468" spans="1:12" customHeight="1" ht="105" outlineLevel="3">
      <c r="A468" s="1"/>
      <c r="B468" s="1">
        <v>820574</v>
      </c>
      <c r="C468" s="1" t="s">
        <v>1779</v>
      </c>
      <c r="D468" s="1" t="s">
        <v>1780</v>
      </c>
      <c r="E468" s="2" t="s">
        <v>1781</v>
      </c>
      <c r="F468" s="2" t="s">
        <v>1586</v>
      </c>
      <c r="G468" s="2" t="s">
        <v>32</v>
      </c>
      <c r="H468" s="2">
        <v>0</v>
      </c>
      <c r="I468" s="1">
        <v>0</v>
      </c>
      <c r="J468" s="3" t="s">
        <v>17</v>
      </c>
      <c r="K468" s="2" t="str">
        <f>J468*394.19</f>
        <v>0</v>
      </c>
      <c r="L468" s="5"/>
    </row>
    <row r="469" spans="1:12" customHeight="1" ht="105" outlineLevel="3">
      <c r="A469" s="1"/>
      <c r="B469" s="1">
        <v>820575</v>
      </c>
      <c r="C469" s="1" t="s">
        <v>1782</v>
      </c>
      <c r="D469" s="1" t="s">
        <v>1783</v>
      </c>
      <c r="E469" s="2" t="s">
        <v>1784</v>
      </c>
      <c r="F469" s="2" t="s">
        <v>1393</v>
      </c>
      <c r="G469" s="2">
        <v>0</v>
      </c>
      <c r="H469" s="2">
        <v>0</v>
      </c>
      <c r="I469" s="1">
        <v>0</v>
      </c>
      <c r="J469" s="3" t="s">
        <v>17</v>
      </c>
      <c r="K469" s="2" t="str">
        <f>J469*166.60</f>
        <v>0</v>
      </c>
      <c r="L469" s="5"/>
    </row>
    <row r="470" spans="1:12" customHeight="1" ht="105" outlineLevel="3">
      <c r="A470" s="1"/>
      <c r="B470" s="1">
        <v>820576</v>
      </c>
      <c r="C470" s="1" t="s">
        <v>1785</v>
      </c>
      <c r="D470" s="1" t="s">
        <v>1786</v>
      </c>
      <c r="E470" s="2" t="s">
        <v>1787</v>
      </c>
      <c r="F470" s="2" t="s">
        <v>1249</v>
      </c>
      <c r="G470" s="2" t="s">
        <v>23</v>
      </c>
      <c r="H470" s="2">
        <v>0</v>
      </c>
      <c r="I470" s="1">
        <v>0</v>
      </c>
      <c r="J470" s="3" t="s">
        <v>17</v>
      </c>
      <c r="K470" s="2" t="str">
        <f>J470*258.83</f>
        <v>0</v>
      </c>
      <c r="L470" s="5"/>
    </row>
    <row r="471" spans="1:12" customHeight="1" ht="105" outlineLevel="3">
      <c r="A471" s="1"/>
      <c r="B471" s="1">
        <v>820577</v>
      </c>
      <c r="C471" s="1" t="s">
        <v>1788</v>
      </c>
      <c r="D471" s="1" t="s">
        <v>1789</v>
      </c>
      <c r="E471" s="2" t="s">
        <v>1790</v>
      </c>
      <c r="F471" s="2" t="s">
        <v>1547</v>
      </c>
      <c r="G471" s="2" t="s">
        <v>23</v>
      </c>
      <c r="H471" s="2">
        <v>0</v>
      </c>
      <c r="I471" s="1">
        <v>0</v>
      </c>
      <c r="J471" s="3" t="s">
        <v>17</v>
      </c>
      <c r="K471" s="2" t="str">
        <f>J471*368.90</f>
        <v>0</v>
      </c>
      <c r="L471" s="5"/>
    </row>
    <row r="472" spans="1:12" customHeight="1" ht="105" outlineLevel="3">
      <c r="A472" s="1"/>
      <c r="B472" s="1">
        <v>823104</v>
      </c>
      <c r="C472" s="1" t="s">
        <v>1791</v>
      </c>
      <c r="D472" s="1" t="s">
        <v>1792</v>
      </c>
      <c r="E472" s="2" t="s">
        <v>1793</v>
      </c>
      <c r="F472" s="2" t="s">
        <v>1615</v>
      </c>
      <c r="G472" s="2" t="s">
        <v>32</v>
      </c>
      <c r="H472" s="2">
        <v>0</v>
      </c>
      <c r="I472" s="1">
        <v>0</v>
      </c>
      <c r="J472" s="3" t="s">
        <v>17</v>
      </c>
      <c r="K472" s="2" t="str">
        <f>J472*193.38</f>
        <v>0</v>
      </c>
      <c r="L472" s="5"/>
    </row>
    <row r="473" spans="1:12" customHeight="1" ht="105" outlineLevel="3">
      <c r="A473" s="1"/>
      <c r="B473" s="1">
        <v>823174</v>
      </c>
      <c r="C473" s="1" t="s">
        <v>1794</v>
      </c>
      <c r="D473" s="1" t="s">
        <v>1795</v>
      </c>
      <c r="E473" s="2" t="s">
        <v>1796</v>
      </c>
      <c r="F473" s="2" t="s">
        <v>1797</v>
      </c>
      <c r="G473" s="2" t="s">
        <v>16</v>
      </c>
      <c r="H473" s="2">
        <v>0</v>
      </c>
      <c r="I473" s="1">
        <v>0</v>
      </c>
      <c r="J473" s="3" t="s">
        <v>17</v>
      </c>
      <c r="K473" s="2" t="str">
        <f>J473*315.35</f>
        <v>0</v>
      </c>
      <c r="L473" s="5"/>
    </row>
    <row r="474" spans="1:12" customHeight="1" ht="105" outlineLevel="3">
      <c r="A474" s="1"/>
      <c r="B474" s="1">
        <v>823175</v>
      </c>
      <c r="C474" s="1" t="s">
        <v>1798</v>
      </c>
      <c r="D474" s="1" t="s">
        <v>1799</v>
      </c>
      <c r="E474" s="2" t="s">
        <v>1800</v>
      </c>
      <c r="F474" s="2" t="s">
        <v>1801</v>
      </c>
      <c r="G474" s="2" t="s">
        <v>16</v>
      </c>
      <c r="H474" s="2">
        <v>0</v>
      </c>
      <c r="I474" s="1">
        <v>0</v>
      </c>
      <c r="J474" s="3" t="s">
        <v>17</v>
      </c>
      <c r="K474" s="2" t="str">
        <f>J474*545.91</f>
        <v>0</v>
      </c>
      <c r="L474" s="5"/>
    </row>
    <row r="475" spans="1:12" customHeight="1" ht="105" outlineLevel="3">
      <c r="A475" s="1"/>
      <c r="B475" s="1">
        <v>823176</v>
      </c>
      <c r="C475" s="1" t="s">
        <v>1802</v>
      </c>
      <c r="D475" s="1" t="s">
        <v>1803</v>
      </c>
      <c r="E475" s="2" t="s">
        <v>1804</v>
      </c>
      <c r="F475" s="2" t="s">
        <v>1805</v>
      </c>
      <c r="G475" s="2" t="s">
        <v>22</v>
      </c>
      <c r="H475" s="2">
        <v>0</v>
      </c>
      <c r="I475" s="1">
        <v>0</v>
      </c>
      <c r="J475" s="3" t="s">
        <v>17</v>
      </c>
      <c r="K475" s="2" t="str">
        <f>J475*804.74</f>
        <v>0</v>
      </c>
      <c r="L475" s="5"/>
    </row>
    <row r="476" spans="1:12" customHeight="1" ht="105" outlineLevel="3">
      <c r="A476" s="1"/>
      <c r="B476" s="1">
        <v>823177</v>
      </c>
      <c r="C476" s="1" t="s">
        <v>1806</v>
      </c>
      <c r="D476" s="1" t="s">
        <v>1807</v>
      </c>
      <c r="E476" s="2" t="s">
        <v>1808</v>
      </c>
      <c r="F476" s="2" t="s">
        <v>1809</v>
      </c>
      <c r="G476" s="2">
        <v>10</v>
      </c>
      <c r="H476" s="2">
        <v>0</v>
      </c>
      <c r="I476" s="1">
        <v>0</v>
      </c>
      <c r="J476" s="3" t="s">
        <v>17</v>
      </c>
      <c r="K476" s="2" t="str">
        <f>J476*1123.06</f>
        <v>0</v>
      </c>
      <c r="L476" s="5"/>
    </row>
    <row r="477" spans="1:12" customHeight="1" ht="105" outlineLevel="3">
      <c r="A477" s="1"/>
      <c r="B477" s="1">
        <v>823178</v>
      </c>
      <c r="C477" s="1" t="s">
        <v>1810</v>
      </c>
      <c r="D477" s="1" t="s">
        <v>1811</v>
      </c>
      <c r="E477" s="2" t="s">
        <v>1812</v>
      </c>
      <c r="F477" s="2" t="s">
        <v>1813</v>
      </c>
      <c r="G477" s="2">
        <v>3</v>
      </c>
      <c r="H477" s="2">
        <v>0</v>
      </c>
      <c r="I477" s="1">
        <v>0</v>
      </c>
      <c r="J477" s="3" t="s">
        <v>17</v>
      </c>
      <c r="K477" s="2" t="str">
        <f>J477*1527.66</f>
        <v>0</v>
      </c>
      <c r="L477" s="5"/>
    </row>
    <row r="478" spans="1:12" customHeight="1" ht="105" outlineLevel="3">
      <c r="A478" s="1"/>
      <c r="B478" s="1">
        <v>823179</v>
      </c>
      <c r="C478" s="1" t="s">
        <v>1814</v>
      </c>
      <c r="D478" s="1" t="s">
        <v>1815</v>
      </c>
      <c r="E478" s="2" t="s">
        <v>1816</v>
      </c>
      <c r="F478" s="2" t="s">
        <v>1817</v>
      </c>
      <c r="G478" s="2" t="s">
        <v>22</v>
      </c>
      <c r="H478" s="2">
        <v>0</v>
      </c>
      <c r="I478" s="1">
        <v>0</v>
      </c>
      <c r="J478" s="3" t="s">
        <v>17</v>
      </c>
      <c r="K478" s="2" t="str">
        <f>J478*205.28</f>
        <v>0</v>
      </c>
      <c r="L478" s="5"/>
    </row>
    <row r="479" spans="1:12" customHeight="1" ht="105" outlineLevel="3">
      <c r="A479" s="1"/>
      <c r="B479" s="1">
        <v>823180</v>
      </c>
      <c r="C479" s="1" t="s">
        <v>1818</v>
      </c>
      <c r="D479" s="1" t="s">
        <v>1819</v>
      </c>
      <c r="E479" s="2" t="s">
        <v>1820</v>
      </c>
      <c r="F479" s="2" t="s">
        <v>1821</v>
      </c>
      <c r="G479" s="2" t="s">
        <v>22</v>
      </c>
      <c r="H479" s="2">
        <v>0</v>
      </c>
      <c r="I479" s="1">
        <v>0</v>
      </c>
      <c r="J479" s="3" t="s">
        <v>17</v>
      </c>
      <c r="K479" s="2" t="str">
        <f>J479*266.26</f>
        <v>0</v>
      </c>
      <c r="L479" s="5"/>
    </row>
    <row r="480" spans="1:12" customHeight="1" ht="105" outlineLevel="3">
      <c r="A480" s="1"/>
      <c r="B480" s="1">
        <v>823181</v>
      </c>
      <c r="C480" s="1" t="s">
        <v>1822</v>
      </c>
      <c r="D480" s="1" t="s">
        <v>1823</v>
      </c>
      <c r="E480" s="2" t="s">
        <v>1824</v>
      </c>
      <c r="F480" s="2" t="s">
        <v>1825</v>
      </c>
      <c r="G480" s="2" t="s">
        <v>22</v>
      </c>
      <c r="H480" s="2">
        <v>0</v>
      </c>
      <c r="I480" s="1">
        <v>0</v>
      </c>
      <c r="J480" s="3" t="s">
        <v>17</v>
      </c>
      <c r="K480" s="2" t="str">
        <f>J480*413.53</f>
        <v>0</v>
      </c>
      <c r="L480" s="5"/>
    </row>
    <row r="481" spans="1:12" customHeight="1" ht="105" outlineLevel="3">
      <c r="A481" s="1"/>
      <c r="B481" s="1">
        <v>823182</v>
      </c>
      <c r="C481" s="1" t="s">
        <v>1826</v>
      </c>
      <c r="D481" s="1" t="s">
        <v>1827</v>
      </c>
      <c r="E481" s="2" t="s">
        <v>1828</v>
      </c>
      <c r="F481" s="2" t="s">
        <v>1829</v>
      </c>
      <c r="G481" s="2">
        <v>0</v>
      </c>
      <c r="H481" s="2">
        <v>0</v>
      </c>
      <c r="I481" s="1">
        <v>0</v>
      </c>
      <c r="J481" s="3" t="s">
        <v>17</v>
      </c>
      <c r="K481" s="2" t="str">
        <f>J481*548.89</f>
        <v>0</v>
      </c>
      <c r="L481" s="5"/>
    </row>
    <row r="482" spans="1:12" customHeight="1" ht="105" outlineLevel="3">
      <c r="A482" s="1"/>
      <c r="B482" s="1">
        <v>823183</v>
      </c>
      <c r="C482" s="1" t="s">
        <v>1830</v>
      </c>
      <c r="D482" s="1" t="s">
        <v>1831</v>
      </c>
      <c r="E482" s="2" t="s">
        <v>1832</v>
      </c>
      <c r="F482" s="2" t="s">
        <v>1833</v>
      </c>
      <c r="G482" s="2">
        <v>10</v>
      </c>
      <c r="H482" s="2">
        <v>0</v>
      </c>
      <c r="I482" s="1">
        <v>0</v>
      </c>
      <c r="J482" s="3" t="s">
        <v>17</v>
      </c>
      <c r="K482" s="2" t="str">
        <f>J482*667.89</f>
        <v>0</v>
      </c>
      <c r="L482" s="5"/>
    </row>
    <row r="483" spans="1:12" customHeight="1" ht="105" outlineLevel="3">
      <c r="A483" s="1"/>
      <c r="B483" s="1">
        <v>823184</v>
      </c>
      <c r="C483" s="1" t="s">
        <v>1834</v>
      </c>
      <c r="D483" s="1" t="s">
        <v>1835</v>
      </c>
      <c r="E483" s="2" t="s">
        <v>1836</v>
      </c>
      <c r="F483" s="2" t="s">
        <v>1261</v>
      </c>
      <c r="G483" s="2" t="s">
        <v>22</v>
      </c>
      <c r="H483" s="2">
        <v>0</v>
      </c>
      <c r="I483" s="1">
        <v>0</v>
      </c>
      <c r="J483" s="3" t="s">
        <v>17</v>
      </c>
      <c r="K483" s="2" t="str">
        <f>J483*93.71</f>
        <v>0</v>
      </c>
      <c r="L483" s="5"/>
    </row>
    <row r="484" spans="1:12" customHeight="1" ht="105" outlineLevel="3">
      <c r="A484" s="1"/>
      <c r="B484" s="1">
        <v>823185</v>
      </c>
      <c r="C484" s="1" t="s">
        <v>1837</v>
      </c>
      <c r="D484" s="1" t="s">
        <v>1838</v>
      </c>
      <c r="E484" s="2" t="s">
        <v>1839</v>
      </c>
      <c r="F484" s="2" t="s">
        <v>1840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J484*474.51</f>
        <v>0</v>
      </c>
      <c r="L484" s="5"/>
    </row>
    <row r="485" spans="1:12" customHeight="1" ht="105" outlineLevel="3">
      <c r="A485" s="1"/>
      <c r="B485" s="1">
        <v>823186</v>
      </c>
      <c r="C485" s="1" t="s">
        <v>1841</v>
      </c>
      <c r="D485" s="1" t="s">
        <v>1842</v>
      </c>
      <c r="E485" s="2" t="s">
        <v>1843</v>
      </c>
      <c r="F485" s="2" t="s">
        <v>1844</v>
      </c>
      <c r="G485" s="2">
        <v>0</v>
      </c>
      <c r="H485" s="2">
        <v>0</v>
      </c>
      <c r="I485" s="1">
        <v>0</v>
      </c>
      <c r="J485" s="3" t="s">
        <v>17</v>
      </c>
      <c r="K485" s="2" t="str">
        <f>J485*560.79</f>
        <v>0</v>
      </c>
      <c r="L485" s="5"/>
    </row>
    <row r="486" spans="1:12" customHeight="1" ht="105" outlineLevel="3">
      <c r="A486" s="1"/>
      <c r="B486" s="1">
        <v>823187</v>
      </c>
      <c r="C486" s="1" t="s">
        <v>1845</v>
      </c>
      <c r="D486" s="1" t="s">
        <v>1846</v>
      </c>
      <c r="E486" s="2" t="s">
        <v>1847</v>
      </c>
      <c r="F486" s="2" t="s">
        <v>1848</v>
      </c>
      <c r="G486" s="2" t="s">
        <v>22</v>
      </c>
      <c r="H486" s="2">
        <v>0</v>
      </c>
      <c r="I486" s="1">
        <v>0</v>
      </c>
      <c r="J486" s="3" t="s">
        <v>17</v>
      </c>
      <c r="K486" s="2" t="str">
        <f>J486*529.55</f>
        <v>0</v>
      </c>
      <c r="L486" s="5"/>
    </row>
    <row r="487" spans="1:12" customHeight="1" ht="105" outlineLevel="3">
      <c r="A487" s="1"/>
      <c r="B487" s="1">
        <v>825164</v>
      </c>
      <c r="C487" s="1" t="s">
        <v>1849</v>
      </c>
      <c r="D487" s="1" t="s">
        <v>1850</v>
      </c>
      <c r="E487" s="2" t="s">
        <v>1851</v>
      </c>
      <c r="F487" s="2" t="s">
        <v>1852</v>
      </c>
      <c r="G487" s="2" t="s">
        <v>32</v>
      </c>
      <c r="H487" s="2">
        <v>0</v>
      </c>
      <c r="I487" s="1">
        <v>0</v>
      </c>
      <c r="J487" s="3" t="s">
        <v>17</v>
      </c>
      <c r="K487" s="2" t="str">
        <f>J487*43.14</f>
        <v>0</v>
      </c>
      <c r="L487" s="5"/>
    </row>
    <row r="488" spans="1:12" customHeight="1" ht="105" outlineLevel="3">
      <c r="A488" s="1"/>
      <c r="B488" s="1">
        <v>824554</v>
      </c>
      <c r="C488" s="1" t="s">
        <v>1853</v>
      </c>
      <c r="D488" s="1" t="s">
        <v>1854</v>
      </c>
      <c r="E488" s="2" t="s">
        <v>1855</v>
      </c>
      <c r="F488" s="2" t="s">
        <v>1764</v>
      </c>
      <c r="G488" s="2" t="s">
        <v>16</v>
      </c>
      <c r="H488" s="2">
        <v>0</v>
      </c>
      <c r="I488" s="1">
        <v>0</v>
      </c>
      <c r="J488" s="3" t="s">
        <v>17</v>
      </c>
      <c r="K488" s="2" t="str">
        <f>J488*55.04</f>
        <v>0</v>
      </c>
      <c r="L488" s="5"/>
    </row>
    <row r="489" spans="1:12" customHeight="1" ht="105" outlineLevel="3">
      <c r="A489" s="1"/>
      <c r="B489" s="1">
        <v>824555</v>
      </c>
      <c r="C489" s="1" t="s">
        <v>1856</v>
      </c>
      <c r="D489" s="1" t="s">
        <v>1857</v>
      </c>
      <c r="E489" s="2" t="s">
        <v>1858</v>
      </c>
      <c r="F489" s="2" t="s">
        <v>1347</v>
      </c>
      <c r="G489" s="2" t="s">
        <v>32</v>
      </c>
      <c r="H489" s="2">
        <v>0</v>
      </c>
      <c r="I489" s="1">
        <v>0</v>
      </c>
      <c r="J489" s="3" t="s">
        <v>17</v>
      </c>
      <c r="K489" s="2" t="str">
        <f>J489*59.50</f>
        <v>0</v>
      </c>
      <c r="L489" s="5"/>
    </row>
    <row r="490" spans="1:12" customHeight="1" ht="105" outlineLevel="3">
      <c r="A490" s="1"/>
      <c r="B490" s="1">
        <v>824541</v>
      </c>
      <c r="C490" s="1" t="s">
        <v>1859</v>
      </c>
      <c r="D490" s="1" t="s">
        <v>1860</v>
      </c>
      <c r="E490" s="2" t="s">
        <v>1861</v>
      </c>
      <c r="F490" s="2" t="s">
        <v>1768</v>
      </c>
      <c r="G490" s="2" t="s">
        <v>32</v>
      </c>
      <c r="H490" s="2">
        <v>0</v>
      </c>
      <c r="I490" s="1">
        <v>0</v>
      </c>
      <c r="J490" s="3" t="s">
        <v>17</v>
      </c>
      <c r="K490" s="2" t="str">
        <f>J490*74.38</f>
        <v>0</v>
      </c>
      <c r="L490" s="5"/>
    </row>
    <row r="491" spans="1:12" customHeight="1" ht="105" outlineLevel="3">
      <c r="A491" s="1"/>
      <c r="B491" s="1">
        <v>824542</v>
      </c>
      <c r="C491" s="1" t="s">
        <v>1862</v>
      </c>
      <c r="D491" s="1" t="s">
        <v>1863</v>
      </c>
      <c r="E491" s="2" t="s">
        <v>1864</v>
      </c>
      <c r="F491" s="2" t="s">
        <v>1312</v>
      </c>
      <c r="G491" s="2" t="s">
        <v>32</v>
      </c>
      <c r="H491" s="2">
        <v>0</v>
      </c>
      <c r="I491" s="1">
        <v>0</v>
      </c>
      <c r="J491" s="3" t="s">
        <v>17</v>
      </c>
      <c r="K491" s="2" t="str">
        <f>J491*127.93</f>
        <v>0</v>
      </c>
      <c r="L491" s="5"/>
    </row>
    <row r="492" spans="1:12" customHeight="1" ht="105" outlineLevel="3">
      <c r="A492" s="1"/>
      <c r="B492" s="1">
        <v>824543</v>
      </c>
      <c r="C492" s="1" t="s">
        <v>1865</v>
      </c>
      <c r="D492" s="1" t="s">
        <v>1866</v>
      </c>
      <c r="E492" s="2" t="s">
        <v>1867</v>
      </c>
      <c r="F492" s="2" t="s">
        <v>1868</v>
      </c>
      <c r="G492" s="2" t="s">
        <v>22</v>
      </c>
      <c r="H492" s="2">
        <v>0</v>
      </c>
      <c r="I492" s="1">
        <v>0</v>
      </c>
      <c r="J492" s="3" t="s">
        <v>17</v>
      </c>
      <c r="K492" s="2" t="str">
        <f>J492*136.85</f>
        <v>0</v>
      </c>
      <c r="L492" s="5"/>
    </row>
    <row r="493" spans="1:12" customHeight="1" ht="105" outlineLevel="3">
      <c r="A493" s="1"/>
      <c r="B493" s="1">
        <v>824544</v>
      </c>
      <c r="C493" s="1" t="s">
        <v>1869</v>
      </c>
      <c r="D493" s="1" t="s">
        <v>1870</v>
      </c>
      <c r="E493" s="2" t="s">
        <v>1871</v>
      </c>
      <c r="F493" s="2" t="s">
        <v>1872</v>
      </c>
      <c r="G493" s="2">
        <v>5</v>
      </c>
      <c r="H493" s="2">
        <v>0</v>
      </c>
      <c r="I493" s="1">
        <v>0</v>
      </c>
      <c r="J493" s="3" t="s">
        <v>17</v>
      </c>
      <c r="K493" s="2" t="str">
        <f>J493*138.34</f>
        <v>0</v>
      </c>
      <c r="L493" s="5"/>
    </row>
    <row r="494" spans="1:12" customHeight="1" ht="105" outlineLevel="3">
      <c r="A494" s="1"/>
      <c r="B494" s="1">
        <v>824545</v>
      </c>
      <c r="C494" s="1" t="s">
        <v>1873</v>
      </c>
      <c r="D494" s="1" t="s">
        <v>1874</v>
      </c>
      <c r="E494" s="2" t="s">
        <v>1875</v>
      </c>
      <c r="F494" s="2" t="s">
        <v>1316</v>
      </c>
      <c r="G494" s="2" t="s">
        <v>16</v>
      </c>
      <c r="H494" s="2">
        <v>0</v>
      </c>
      <c r="I494" s="1">
        <v>0</v>
      </c>
      <c r="J494" s="3" t="s">
        <v>17</v>
      </c>
      <c r="K494" s="2" t="str">
        <f>J494*46.11</f>
        <v>0</v>
      </c>
      <c r="L494" s="5"/>
    </row>
    <row r="495" spans="1:12" customHeight="1" ht="105" outlineLevel="3">
      <c r="A495" s="1"/>
      <c r="B495" s="1">
        <v>824546</v>
      </c>
      <c r="C495" s="1" t="s">
        <v>1876</v>
      </c>
      <c r="D495" s="1" t="s">
        <v>1877</v>
      </c>
      <c r="E495" s="2" t="s">
        <v>1878</v>
      </c>
      <c r="F495" s="2" t="s">
        <v>1879</v>
      </c>
      <c r="G495" s="2" t="s">
        <v>22</v>
      </c>
      <c r="H495" s="2">
        <v>0</v>
      </c>
      <c r="I495" s="1">
        <v>0</v>
      </c>
      <c r="J495" s="3" t="s">
        <v>17</v>
      </c>
      <c r="K495" s="2" t="str">
        <f>J495*52.06</f>
        <v>0</v>
      </c>
      <c r="L495" s="5"/>
    </row>
    <row r="496" spans="1:12" customHeight="1" ht="105" outlineLevel="3">
      <c r="A496" s="1"/>
      <c r="B496" s="1">
        <v>824547</v>
      </c>
      <c r="C496" s="1" t="s">
        <v>1880</v>
      </c>
      <c r="D496" s="1" t="s">
        <v>1881</v>
      </c>
      <c r="E496" s="2" t="s">
        <v>1882</v>
      </c>
      <c r="F496" s="2" t="s">
        <v>1764</v>
      </c>
      <c r="G496" s="2" t="s">
        <v>16</v>
      </c>
      <c r="H496" s="2">
        <v>0</v>
      </c>
      <c r="I496" s="1">
        <v>0</v>
      </c>
      <c r="J496" s="3" t="s">
        <v>17</v>
      </c>
      <c r="K496" s="2" t="str">
        <f>J496*55.04</f>
        <v>0</v>
      </c>
      <c r="L496" s="5"/>
    </row>
    <row r="497" spans="1:12" customHeight="1" ht="105" outlineLevel="3">
      <c r="A497" s="1"/>
      <c r="B497" s="1">
        <v>824548</v>
      </c>
      <c r="C497" s="1" t="s">
        <v>1883</v>
      </c>
      <c r="D497" s="1" t="s">
        <v>1884</v>
      </c>
      <c r="E497" s="2" t="s">
        <v>1885</v>
      </c>
      <c r="F497" s="2" t="s">
        <v>1886</v>
      </c>
      <c r="G497" s="2" t="s">
        <v>16</v>
      </c>
      <c r="H497" s="2">
        <v>0</v>
      </c>
      <c r="I497" s="1">
        <v>0</v>
      </c>
      <c r="J497" s="3" t="s">
        <v>17</v>
      </c>
      <c r="K497" s="2" t="str">
        <f>J497*68.43</f>
        <v>0</v>
      </c>
      <c r="L497" s="5"/>
    </row>
    <row r="498" spans="1:12" customHeight="1" ht="105" outlineLevel="3">
      <c r="A498" s="1"/>
      <c r="B498" s="1">
        <v>824549</v>
      </c>
      <c r="C498" s="1" t="s">
        <v>1887</v>
      </c>
      <c r="D498" s="1" t="s">
        <v>1888</v>
      </c>
      <c r="E498" s="2" t="s">
        <v>1889</v>
      </c>
      <c r="F498" s="2" t="s">
        <v>1886</v>
      </c>
      <c r="G498" s="2" t="s">
        <v>23</v>
      </c>
      <c r="H498" s="2">
        <v>0</v>
      </c>
      <c r="I498" s="1">
        <v>0</v>
      </c>
      <c r="J498" s="3" t="s">
        <v>17</v>
      </c>
      <c r="K498" s="2" t="str">
        <f>J498*68.43</f>
        <v>0</v>
      </c>
      <c r="L498" s="5"/>
    </row>
    <row r="499" spans="1:12" customHeight="1" ht="105" outlineLevel="3">
      <c r="A499" s="1"/>
      <c r="B499" s="1">
        <v>824550</v>
      </c>
      <c r="C499" s="1" t="s">
        <v>1890</v>
      </c>
      <c r="D499" s="1" t="s">
        <v>1891</v>
      </c>
      <c r="E499" s="2" t="s">
        <v>1892</v>
      </c>
      <c r="F499" s="2" t="s">
        <v>1604</v>
      </c>
      <c r="G499" s="2" t="s">
        <v>16</v>
      </c>
      <c r="H499" s="2">
        <v>0</v>
      </c>
      <c r="I499" s="1">
        <v>0</v>
      </c>
      <c r="J499" s="3" t="s">
        <v>17</v>
      </c>
      <c r="K499" s="2" t="str">
        <f>J499*108.59</f>
        <v>0</v>
      </c>
      <c r="L499" s="5"/>
    </row>
    <row r="500" spans="1:12" customHeight="1" ht="105" outlineLevel="3">
      <c r="A500" s="1"/>
      <c r="B500" s="1">
        <v>824551</v>
      </c>
      <c r="C500" s="1" t="s">
        <v>1893</v>
      </c>
      <c r="D500" s="1" t="s">
        <v>1894</v>
      </c>
      <c r="E500" s="2" t="s">
        <v>1895</v>
      </c>
      <c r="F500" s="2" t="s">
        <v>1772</v>
      </c>
      <c r="G500" s="2" t="s">
        <v>16</v>
      </c>
      <c r="H500" s="2">
        <v>0</v>
      </c>
      <c r="I500" s="1">
        <v>0</v>
      </c>
      <c r="J500" s="3" t="s">
        <v>17</v>
      </c>
      <c r="K500" s="2" t="str">
        <f>J500*114.54</f>
        <v>0</v>
      </c>
      <c r="L500" s="5"/>
    </row>
    <row r="501" spans="1:12" customHeight="1" ht="105" outlineLevel="3">
      <c r="A501" s="1"/>
      <c r="B501" s="1">
        <v>824552</v>
      </c>
      <c r="C501" s="1" t="s">
        <v>1896</v>
      </c>
      <c r="D501" s="1" t="s">
        <v>1897</v>
      </c>
      <c r="E501" s="2" t="s">
        <v>1898</v>
      </c>
      <c r="F501" s="2" t="s">
        <v>451</v>
      </c>
      <c r="G501" s="2" t="s">
        <v>16</v>
      </c>
      <c r="H501" s="2">
        <v>0</v>
      </c>
      <c r="I501" s="1">
        <v>0</v>
      </c>
      <c r="J501" s="3" t="s">
        <v>17</v>
      </c>
      <c r="K501" s="2" t="str">
        <f>J501*119.00</f>
        <v>0</v>
      </c>
      <c r="L501" s="5"/>
    </row>
    <row r="502" spans="1:12" customHeight="1" ht="105" outlineLevel="3">
      <c r="A502" s="1"/>
      <c r="B502" s="1">
        <v>824553</v>
      </c>
      <c r="C502" s="1" t="s">
        <v>1899</v>
      </c>
      <c r="D502" s="1" t="s">
        <v>1900</v>
      </c>
      <c r="E502" s="2" t="s">
        <v>1901</v>
      </c>
      <c r="F502" s="2" t="s">
        <v>1902</v>
      </c>
      <c r="G502" s="2">
        <v>0</v>
      </c>
      <c r="H502" s="2">
        <v>0</v>
      </c>
      <c r="I502" s="1">
        <v>0</v>
      </c>
      <c r="J502" s="3" t="s">
        <v>17</v>
      </c>
      <c r="K502" s="2" t="str">
        <f>J502*252.88</f>
        <v>0</v>
      </c>
      <c r="L502" s="5"/>
    </row>
    <row r="503" spans="1:12" customHeight="1" ht="105" outlineLevel="3">
      <c r="A503" s="1"/>
      <c r="B503" s="1">
        <v>824767</v>
      </c>
      <c r="C503" s="1" t="s">
        <v>1903</v>
      </c>
      <c r="D503" s="1" t="s">
        <v>1904</v>
      </c>
      <c r="E503" s="2" t="s">
        <v>1905</v>
      </c>
      <c r="F503" s="2" t="s">
        <v>1906</v>
      </c>
      <c r="G503" s="2">
        <v>0</v>
      </c>
      <c r="H503" s="2">
        <v>0</v>
      </c>
      <c r="I503" s="1">
        <v>0</v>
      </c>
      <c r="J503" s="3" t="s">
        <v>17</v>
      </c>
      <c r="K503" s="2" t="str">
        <f>J503*233.54</f>
        <v>0</v>
      </c>
      <c r="L503" s="5"/>
    </row>
    <row r="504" spans="1:12" customHeight="1" ht="105" outlineLevel="3">
      <c r="A504" s="1"/>
      <c r="B504" s="1">
        <v>824768</v>
      </c>
      <c r="C504" s="1" t="s">
        <v>1907</v>
      </c>
      <c r="D504" s="1" t="s">
        <v>1908</v>
      </c>
      <c r="E504" s="2" t="s">
        <v>1909</v>
      </c>
      <c r="F504" s="2" t="s">
        <v>1821</v>
      </c>
      <c r="G504" s="2" t="s">
        <v>22</v>
      </c>
      <c r="H504" s="2">
        <v>0</v>
      </c>
      <c r="I504" s="1">
        <v>0</v>
      </c>
      <c r="J504" s="3" t="s">
        <v>17</v>
      </c>
      <c r="K504" s="2" t="str">
        <f>J504*266.26</f>
        <v>0</v>
      </c>
      <c r="L504" s="5"/>
    </row>
    <row r="505" spans="1:12" customHeight="1" ht="105" outlineLevel="3">
      <c r="A505" s="1"/>
      <c r="B505" s="1">
        <v>824769</v>
      </c>
      <c r="C505" s="1" t="s">
        <v>1910</v>
      </c>
      <c r="D505" s="1" t="s">
        <v>1911</v>
      </c>
      <c r="E505" s="2" t="s">
        <v>1912</v>
      </c>
      <c r="F505" s="2" t="s">
        <v>1913</v>
      </c>
      <c r="G505" s="2">
        <v>5</v>
      </c>
      <c r="H505" s="2">
        <v>0</v>
      </c>
      <c r="I505" s="1">
        <v>0</v>
      </c>
      <c r="J505" s="3" t="s">
        <v>17</v>
      </c>
      <c r="K505" s="2" t="str">
        <f>J505*340.64</f>
        <v>0</v>
      </c>
      <c r="L505" s="5"/>
    </row>
    <row r="506" spans="1:12" customHeight="1" ht="105" outlineLevel="3">
      <c r="A506" s="1"/>
      <c r="B506" s="1">
        <v>824770</v>
      </c>
      <c r="C506" s="1" t="s">
        <v>1914</v>
      </c>
      <c r="D506" s="1" t="s">
        <v>1915</v>
      </c>
      <c r="E506" s="2" t="s">
        <v>1916</v>
      </c>
      <c r="F506" s="2" t="s">
        <v>1917</v>
      </c>
      <c r="G506" s="2">
        <v>0</v>
      </c>
      <c r="H506" s="2">
        <v>0</v>
      </c>
      <c r="I506" s="1">
        <v>0</v>
      </c>
      <c r="J506" s="3" t="s">
        <v>17</v>
      </c>
      <c r="K506" s="2" t="str">
        <f>J506*403.11</f>
        <v>0</v>
      </c>
      <c r="L506" s="5"/>
    </row>
    <row r="507" spans="1:12" customHeight="1" ht="105" outlineLevel="3">
      <c r="A507" s="1"/>
      <c r="B507" s="1">
        <v>824771</v>
      </c>
      <c r="C507" s="1" t="s">
        <v>1918</v>
      </c>
      <c r="D507" s="1" t="s">
        <v>1919</v>
      </c>
      <c r="E507" s="2" t="s">
        <v>1920</v>
      </c>
      <c r="F507" s="2" t="s">
        <v>1921</v>
      </c>
      <c r="G507" s="2">
        <v>6</v>
      </c>
      <c r="H507" s="2">
        <v>0</v>
      </c>
      <c r="I507" s="1">
        <v>0</v>
      </c>
      <c r="J507" s="3" t="s">
        <v>17</v>
      </c>
      <c r="K507" s="2" t="str">
        <f>J507*446.25</f>
        <v>0</v>
      </c>
      <c r="L507" s="5"/>
    </row>
    <row r="508" spans="1:12" customHeight="1" ht="105" outlineLevel="3">
      <c r="A508" s="1"/>
      <c r="B508" s="1">
        <v>824772</v>
      </c>
      <c r="C508" s="1" t="s">
        <v>1922</v>
      </c>
      <c r="D508" s="1" t="s">
        <v>1923</v>
      </c>
      <c r="E508" s="2" t="s">
        <v>1924</v>
      </c>
      <c r="F508" s="2" t="s">
        <v>1925</v>
      </c>
      <c r="G508" s="2">
        <v>4</v>
      </c>
      <c r="H508" s="2">
        <v>0</v>
      </c>
      <c r="I508" s="1">
        <v>0</v>
      </c>
      <c r="J508" s="3" t="s">
        <v>17</v>
      </c>
      <c r="K508" s="2" t="str">
        <f>J508*243.95</f>
        <v>0</v>
      </c>
      <c r="L508" s="5"/>
    </row>
    <row r="509" spans="1:12" customHeight="1" ht="105" outlineLevel="3">
      <c r="A509" s="1"/>
      <c r="B509" s="1">
        <v>824773</v>
      </c>
      <c r="C509" s="1" t="s">
        <v>1926</v>
      </c>
      <c r="D509" s="1" t="s">
        <v>1927</v>
      </c>
      <c r="E509" s="2" t="s">
        <v>1928</v>
      </c>
      <c r="F509" s="2" t="s">
        <v>1929</v>
      </c>
      <c r="G509" s="2">
        <v>0</v>
      </c>
      <c r="H509" s="2">
        <v>0</v>
      </c>
      <c r="I509" s="1">
        <v>0</v>
      </c>
      <c r="J509" s="3" t="s">
        <v>17</v>
      </c>
      <c r="K509" s="2" t="str">
        <f>J509*293.04</f>
        <v>0</v>
      </c>
      <c r="L509" s="5"/>
    </row>
    <row r="510" spans="1:12" customHeight="1" ht="105" outlineLevel="3">
      <c r="A510" s="1"/>
      <c r="B510" s="1">
        <v>824774</v>
      </c>
      <c r="C510" s="1" t="s">
        <v>1930</v>
      </c>
      <c r="D510" s="1" t="s">
        <v>1931</v>
      </c>
      <c r="E510" s="2" t="s">
        <v>1932</v>
      </c>
      <c r="F510" s="2" t="s">
        <v>1933</v>
      </c>
      <c r="G510" s="2">
        <v>7</v>
      </c>
      <c r="H510" s="2">
        <v>0</v>
      </c>
      <c r="I510" s="1">
        <v>0</v>
      </c>
      <c r="J510" s="3" t="s">
        <v>17</v>
      </c>
      <c r="K510" s="2" t="str">
        <f>J510*461.13</f>
        <v>0</v>
      </c>
      <c r="L510" s="5"/>
    </row>
    <row r="511" spans="1:12" customHeight="1" ht="105" outlineLevel="3">
      <c r="A511" s="1"/>
      <c r="B511" s="1">
        <v>824775</v>
      </c>
      <c r="C511" s="1" t="s">
        <v>1934</v>
      </c>
      <c r="D511" s="1" t="s">
        <v>1935</v>
      </c>
      <c r="E511" s="2" t="s">
        <v>1936</v>
      </c>
      <c r="F511" s="2" t="s">
        <v>1937</v>
      </c>
      <c r="G511" s="2">
        <v>10</v>
      </c>
      <c r="H511" s="2">
        <v>0</v>
      </c>
      <c r="I511" s="1">
        <v>0</v>
      </c>
      <c r="J511" s="3" t="s">
        <v>17</v>
      </c>
      <c r="K511" s="2" t="str">
        <f>J511*275.19</f>
        <v>0</v>
      </c>
      <c r="L511" s="5"/>
    </row>
    <row r="512" spans="1:12" customHeight="1" ht="105" outlineLevel="3">
      <c r="A512" s="1"/>
      <c r="B512" s="1">
        <v>824776</v>
      </c>
      <c r="C512" s="1" t="s">
        <v>1938</v>
      </c>
      <c r="D512" s="1" t="s">
        <v>1939</v>
      </c>
      <c r="E512" s="2" t="s">
        <v>1940</v>
      </c>
      <c r="F512" s="2" t="s">
        <v>1941</v>
      </c>
      <c r="G512" s="2" t="s">
        <v>22</v>
      </c>
      <c r="H512" s="2">
        <v>0</v>
      </c>
      <c r="I512" s="1">
        <v>0</v>
      </c>
      <c r="J512" s="3" t="s">
        <v>17</v>
      </c>
      <c r="K512" s="2" t="str">
        <f>J512*477.49</f>
        <v>0</v>
      </c>
      <c r="L512" s="5"/>
    </row>
    <row r="513" spans="1:12" customHeight="1" ht="105" outlineLevel="3">
      <c r="A513" s="1"/>
      <c r="B513" s="1">
        <v>824777</v>
      </c>
      <c r="C513" s="1" t="s">
        <v>1942</v>
      </c>
      <c r="D513" s="1" t="s">
        <v>1943</v>
      </c>
      <c r="E513" s="2" t="s">
        <v>1944</v>
      </c>
      <c r="F513" s="2" t="s">
        <v>1848</v>
      </c>
      <c r="G513" s="2" t="s">
        <v>22</v>
      </c>
      <c r="H513" s="2">
        <v>0</v>
      </c>
      <c r="I513" s="1">
        <v>0</v>
      </c>
      <c r="J513" s="3" t="s">
        <v>17</v>
      </c>
      <c r="K513" s="2" t="str">
        <f>J513*529.55</f>
        <v>0</v>
      </c>
      <c r="L513" s="5"/>
    </row>
    <row r="514" spans="1:12" customHeight="1" ht="105" outlineLevel="3">
      <c r="A514" s="1"/>
      <c r="B514" s="1">
        <v>824778</v>
      </c>
      <c r="C514" s="1" t="s">
        <v>1945</v>
      </c>
      <c r="D514" s="1" t="s">
        <v>1946</v>
      </c>
      <c r="E514" s="2" t="s">
        <v>1947</v>
      </c>
      <c r="F514" s="2" t="s">
        <v>1948</v>
      </c>
      <c r="G514" s="2">
        <v>0</v>
      </c>
      <c r="H514" s="2">
        <v>0</v>
      </c>
      <c r="I514" s="1">
        <v>0</v>
      </c>
      <c r="J514" s="3" t="s">
        <v>17</v>
      </c>
      <c r="K514" s="2" t="str">
        <f>J514*578.64</f>
        <v>0</v>
      </c>
      <c r="L514" s="5"/>
    </row>
    <row r="515" spans="1:12" customHeight="1" ht="105" outlineLevel="3">
      <c r="A515" s="1"/>
      <c r="B515" s="1">
        <v>824779</v>
      </c>
      <c r="C515" s="1" t="s">
        <v>1949</v>
      </c>
      <c r="D515" s="1" t="s">
        <v>1950</v>
      </c>
      <c r="E515" s="2" t="s">
        <v>1951</v>
      </c>
      <c r="F515" s="2" t="s">
        <v>1670</v>
      </c>
      <c r="G515" s="2">
        <v>1</v>
      </c>
      <c r="H515" s="2">
        <v>0</v>
      </c>
      <c r="I515" s="1">
        <v>0</v>
      </c>
      <c r="J515" s="3" t="s">
        <v>17</v>
      </c>
      <c r="K515" s="2" t="str">
        <f>J515*636.65</f>
        <v>0</v>
      </c>
      <c r="L515" s="5"/>
    </row>
    <row r="516" spans="1:12" customHeight="1" ht="105" outlineLevel="3">
      <c r="A516" s="1"/>
      <c r="B516" s="1">
        <v>824780</v>
      </c>
      <c r="C516" s="1" t="s">
        <v>1952</v>
      </c>
      <c r="D516" s="1" t="s">
        <v>1953</v>
      </c>
      <c r="E516" s="2" t="s">
        <v>1954</v>
      </c>
      <c r="F516" s="2" t="s">
        <v>1489</v>
      </c>
      <c r="G516" s="2">
        <v>9</v>
      </c>
      <c r="H516" s="2">
        <v>0</v>
      </c>
      <c r="I516" s="1">
        <v>0</v>
      </c>
      <c r="J516" s="3" t="s">
        <v>17</v>
      </c>
      <c r="K516" s="2" t="str">
        <f>J516*239.49</f>
        <v>0</v>
      </c>
      <c r="L516" s="5"/>
    </row>
    <row r="517" spans="1:12" customHeight="1" ht="105" outlineLevel="3">
      <c r="A517" s="1"/>
      <c r="B517" s="1">
        <v>824781</v>
      </c>
      <c r="C517" s="1" t="s">
        <v>1955</v>
      </c>
      <c r="D517" s="1" t="s">
        <v>1956</v>
      </c>
      <c r="E517" s="2" t="s">
        <v>1957</v>
      </c>
      <c r="F517" s="2" t="s">
        <v>1797</v>
      </c>
      <c r="G517" s="2">
        <v>4</v>
      </c>
      <c r="H517" s="2">
        <v>0</v>
      </c>
      <c r="I517" s="1">
        <v>0</v>
      </c>
      <c r="J517" s="3" t="s">
        <v>17</v>
      </c>
      <c r="K517" s="2" t="str">
        <f>J517*315.35</f>
        <v>0</v>
      </c>
      <c r="L517" s="5"/>
    </row>
    <row r="518" spans="1:12" customHeight="1" ht="105" outlineLevel="3">
      <c r="A518" s="1"/>
      <c r="B518" s="1">
        <v>824782</v>
      </c>
      <c r="C518" s="1" t="s">
        <v>1958</v>
      </c>
      <c r="D518" s="1" t="s">
        <v>1959</v>
      </c>
      <c r="E518" s="2" t="s">
        <v>1960</v>
      </c>
      <c r="F518" s="2" t="s">
        <v>1961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J518*357.00</f>
        <v>0</v>
      </c>
      <c r="L518" s="5"/>
    </row>
    <row r="519" spans="1:12" customHeight="1" ht="105" outlineLevel="3">
      <c r="A519" s="1"/>
      <c r="B519" s="1">
        <v>824783</v>
      </c>
      <c r="C519" s="1" t="s">
        <v>1962</v>
      </c>
      <c r="D519" s="1" t="s">
        <v>1963</v>
      </c>
      <c r="E519" s="2" t="s">
        <v>1964</v>
      </c>
      <c r="F519" s="2" t="s">
        <v>1825</v>
      </c>
      <c r="G519" s="2" t="s">
        <v>22</v>
      </c>
      <c r="H519" s="2">
        <v>0</v>
      </c>
      <c r="I519" s="1">
        <v>0</v>
      </c>
      <c r="J519" s="3" t="s">
        <v>17</v>
      </c>
      <c r="K519" s="2" t="str">
        <f>J519*413.53</f>
        <v>0</v>
      </c>
      <c r="L519" s="5"/>
    </row>
    <row r="520" spans="1:12" customHeight="1" ht="105" outlineLevel="3">
      <c r="A520" s="1"/>
      <c r="B520" s="1">
        <v>824784</v>
      </c>
      <c r="C520" s="1" t="s">
        <v>1965</v>
      </c>
      <c r="D520" s="1" t="s">
        <v>1966</v>
      </c>
      <c r="E520" s="2" t="s">
        <v>1967</v>
      </c>
      <c r="F520" s="2" t="s">
        <v>1968</v>
      </c>
      <c r="G520" s="2">
        <v>4</v>
      </c>
      <c r="H520" s="2">
        <v>0</v>
      </c>
      <c r="I520" s="1">
        <v>0</v>
      </c>
      <c r="J520" s="3" t="s">
        <v>17</v>
      </c>
      <c r="K520" s="2" t="str">
        <f>J520*444.76</f>
        <v>0</v>
      </c>
      <c r="L520" s="5"/>
    </row>
    <row r="521" spans="1:12" customHeight="1" ht="105" outlineLevel="3">
      <c r="A521" s="1"/>
      <c r="B521" s="1">
        <v>825114</v>
      </c>
      <c r="C521" s="1" t="s">
        <v>1969</v>
      </c>
      <c r="D521" s="1" t="s">
        <v>1970</v>
      </c>
      <c r="E521" s="2" t="s">
        <v>1971</v>
      </c>
      <c r="F521" s="2" t="s">
        <v>1681</v>
      </c>
      <c r="G521" s="2">
        <v>0</v>
      </c>
      <c r="H521" s="2">
        <v>0</v>
      </c>
      <c r="I521" s="1">
        <v>0</v>
      </c>
      <c r="J521" s="3" t="s">
        <v>17</v>
      </c>
      <c r="K521" s="2" t="str">
        <f>J521*90.74</f>
        <v>0</v>
      </c>
      <c r="L521" s="5"/>
    </row>
    <row r="522" spans="1:12" customHeight="1" ht="105" outlineLevel="3">
      <c r="A522" s="1"/>
      <c r="B522" s="1">
        <v>825287</v>
      </c>
      <c r="C522" s="1" t="s">
        <v>1972</v>
      </c>
      <c r="D522" s="1" t="s">
        <v>1973</v>
      </c>
      <c r="E522" s="2" t="s">
        <v>1974</v>
      </c>
      <c r="F522" s="2" t="s">
        <v>1975</v>
      </c>
      <c r="G522" s="2" t="s">
        <v>16</v>
      </c>
      <c r="H522" s="2">
        <v>0</v>
      </c>
      <c r="I522" s="1">
        <v>0</v>
      </c>
      <c r="J522" s="3" t="s">
        <v>17</v>
      </c>
      <c r="K522" s="2" t="str">
        <f>J522*220.15</f>
        <v>0</v>
      </c>
      <c r="L522" s="5"/>
    </row>
    <row r="523" spans="1:12" customHeight="1" ht="105" outlineLevel="3">
      <c r="A523" s="1"/>
      <c r="B523" s="1">
        <v>825288</v>
      </c>
      <c r="C523" s="1" t="s">
        <v>1976</v>
      </c>
      <c r="D523" s="1" t="s">
        <v>1977</v>
      </c>
      <c r="E523" s="2" t="s">
        <v>1978</v>
      </c>
      <c r="F523" s="2" t="s">
        <v>1979</v>
      </c>
      <c r="G523" s="2" t="s">
        <v>22</v>
      </c>
      <c r="H523" s="2">
        <v>0</v>
      </c>
      <c r="I523" s="1">
        <v>0</v>
      </c>
      <c r="J523" s="3" t="s">
        <v>17</v>
      </c>
      <c r="K523" s="2" t="str">
        <f>J523*318.33</f>
        <v>0</v>
      </c>
      <c r="L523" s="5"/>
    </row>
    <row r="524" spans="1:12" customHeight="1" ht="105" outlineLevel="3">
      <c r="A524" s="1"/>
      <c r="B524" s="1">
        <v>825289</v>
      </c>
      <c r="C524" s="1" t="s">
        <v>1980</v>
      </c>
      <c r="D524" s="1" t="s">
        <v>1981</v>
      </c>
      <c r="E524" s="2" t="s">
        <v>1982</v>
      </c>
      <c r="F524" s="2" t="s">
        <v>1528</v>
      </c>
      <c r="G524" s="2">
        <v>7</v>
      </c>
      <c r="H524" s="2">
        <v>0</v>
      </c>
      <c r="I524" s="1">
        <v>0</v>
      </c>
      <c r="J524" s="3" t="s">
        <v>17</v>
      </c>
      <c r="K524" s="2" t="str">
        <f>J524*449.23</f>
        <v>0</v>
      </c>
      <c r="L524" s="5"/>
    </row>
    <row r="525" spans="1:12" customHeight="1" ht="105" outlineLevel="3">
      <c r="A525" s="1"/>
      <c r="B525" s="1">
        <v>828509</v>
      </c>
      <c r="C525" s="1" t="s">
        <v>1983</v>
      </c>
      <c r="D525" s="1" t="s">
        <v>1984</v>
      </c>
      <c r="E525" s="2" t="s">
        <v>1985</v>
      </c>
      <c r="F525" s="2" t="s">
        <v>1986</v>
      </c>
      <c r="G525" s="2">
        <v>5</v>
      </c>
      <c r="H525" s="2">
        <v>0</v>
      </c>
      <c r="I525" s="1">
        <v>0</v>
      </c>
      <c r="J525" s="3" t="s">
        <v>17</v>
      </c>
      <c r="K525" s="2" t="str">
        <f>J525*1512.79</f>
        <v>0</v>
      </c>
      <c r="L525" s="5"/>
    </row>
    <row r="526" spans="1:12" customHeight="1" ht="105" outlineLevel="3">
      <c r="A526" s="1"/>
      <c r="B526" s="1">
        <v>825293</v>
      </c>
      <c r="C526" s="1" t="s">
        <v>1987</v>
      </c>
      <c r="D526" s="1" t="s">
        <v>1988</v>
      </c>
      <c r="E526" s="2" t="s">
        <v>1989</v>
      </c>
      <c r="F526" s="2" t="s">
        <v>1990</v>
      </c>
      <c r="G526" s="2" t="s">
        <v>22</v>
      </c>
      <c r="H526" s="2">
        <v>0</v>
      </c>
      <c r="I526" s="1">
        <v>0</v>
      </c>
      <c r="J526" s="3" t="s">
        <v>17</v>
      </c>
      <c r="K526" s="2" t="str">
        <f>J526*423.94</f>
        <v>0</v>
      </c>
      <c r="L526" s="5"/>
    </row>
    <row r="527" spans="1:12" customHeight="1" ht="105" outlineLevel="3">
      <c r="A527" s="1"/>
      <c r="B527" s="1">
        <v>825290</v>
      </c>
      <c r="C527" s="1" t="s">
        <v>1991</v>
      </c>
      <c r="D527" s="1" t="s">
        <v>1992</v>
      </c>
      <c r="E527" s="2" t="s">
        <v>1993</v>
      </c>
      <c r="F527" s="2" t="s">
        <v>1532</v>
      </c>
      <c r="G527" s="2" t="s">
        <v>32</v>
      </c>
      <c r="H527" s="2">
        <v>0</v>
      </c>
      <c r="I527" s="1">
        <v>0</v>
      </c>
      <c r="J527" s="3" t="s">
        <v>17</v>
      </c>
      <c r="K527" s="2" t="str">
        <f>J527*212.71</f>
        <v>0</v>
      </c>
      <c r="L527" s="5"/>
    </row>
    <row r="528" spans="1:12" customHeight="1" ht="105" outlineLevel="3">
      <c r="A528" s="1"/>
      <c r="B528" s="1">
        <v>825291</v>
      </c>
      <c r="C528" s="1" t="s">
        <v>1994</v>
      </c>
      <c r="D528" s="1" t="s">
        <v>1995</v>
      </c>
      <c r="E528" s="2" t="s">
        <v>1996</v>
      </c>
      <c r="F528" s="2" t="s">
        <v>1997</v>
      </c>
      <c r="G528" s="2" t="s">
        <v>23</v>
      </c>
      <c r="H528" s="2">
        <v>0</v>
      </c>
      <c r="I528" s="1">
        <v>0</v>
      </c>
      <c r="J528" s="3" t="s">
        <v>17</v>
      </c>
      <c r="K528" s="2" t="str">
        <f>J528*215.69</f>
        <v>0</v>
      </c>
      <c r="L528" s="5"/>
    </row>
    <row r="529" spans="1:12" customHeight="1" ht="105" outlineLevel="3">
      <c r="A529" s="1"/>
      <c r="B529" s="1">
        <v>825292</v>
      </c>
      <c r="C529" s="1" t="s">
        <v>1998</v>
      </c>
      <c r="D529" s="1" t="s">
        <v>1999</v>
      </c>
      <c r="E529" s="2" t="s">
        <v>2000</v>
      </c>
      <c r="F529" s="2" t="s">
        <v>1748</v>
      </c>
      <c r="G529" s="2" t="s">
        <v>23</v>
      </c>
      <c r="H529" s="2">
        <v>0</v>
      </c>
      <c r="I529" s="1">
        <v>0</v>
      </c>
      <c r="J529" s="3" t="s">
        <v>17</v>
      </c>
      <c r="K529" s="2" t="str">
        <f>J529*214.20</f>
        <v>0</v>
      </c>
      <c r="L529" s="5"/>
    </row>
    <row r="530" spans="1:12" customHeight="1" ht="105" outlineLevel="3">
      <c r="A530" s="1"/>
      <c r="B530" s="1">
        <v>825294</v>
      </c>
      <c r="C530" s="1" t="s">
        <v>2001</v>
      </c>
      <c r="D530" s="1" t="s">
        <v>2002</v>
      </c>
      <c r="E530" s="2" t="s">
        <v>2003</v>
      </c>
      <c r="F530" s="2" t="s">
        <v>1461</v>
      </c>
      <c r="G530" s="2">
        <v>8</v>
      </c>
      <c r="H530" s="2">
        <v>0</v>
      </c>
      <c r="I530" s="1">
        <v>0</v>
      </c>
      <c r="J530" s="3" t="s">
        <v>17</v>
      </c>
      <c r="K530" s="2" t="str">
        <f>J530*300.48</f>
        <v>0</v>
      </c>
      <c r="L530" s="5"/>
    </row>
    <row r="531" spans="1:12" customHeight="1" ht="105" outlineLevel="3">
      <c r="A531" s="1"/>
      <c r="B531" s="1">
        <v>825295</v>
      </c>
      <c r="C531" s="1" t="s">
        <v>2004</v>
      </c>
      <c r="D531" s="1" t="s">
        <v>2005</v>
      </c>
      <c r="E531" s="2" t="s">
        <v>2006</v>
      </c>
      <c r="F531" s="2" t="s">
        <v>2007</v>
      </c>
      <c r="G531" s="2">
        <v>0</v>
      </c>
      <c r="H531" s="2">
        <v>0</v>
      </c>
      <c r="I531" s="1">
        <v>0</v>
      </c>
      <c r="J531" s="3" t="s">
        <v>17</v>
      </c>
      <c r="K531" s="2" t="str">
        <f>J531*456.66</f>
        <v>0</v>
      </c>
      <c r="L531" s="5"/>
    </row>
    <row r="532" spans="1:12" customHeight="1" ht="105" outlineLevel="3">
      <c r="A532" s="1"/>
      <c r="B532" s="1">
        <v>825296</v>
      </c>
      <c r="C532" s="1" t="s">
        <v>2008</v>
      </c>
      <c r="D532" s="1" t="s">
        <v>2009</v>
      </c>
      <c r="E532" s="2" t="s">
        <v>2010</v>
      </c>
      <c r="F532" s="2" t="s">
        <v>2011</v>
      </c>
      <c r="G532" s="2">
        <v>0</v>
      </c>
      <c r="H532" s="2">
        <v>0</v>
      </c>
      <c r="I532" s="1">
        <v>0</v>
      </c>
      <c r="J532" s="3" t="s">
        <v>17</v>
      </c>
      <c r="K532" s="2" t="str">
        <f>J532*789.86</f>
        <v>0</v>
      </c>
      <c r="L532" s="5"/>
    </row>
    <row r="533" spans="1:12" customHeight="1" ht="105" outlineLevel="3">
      <c r="A533" s="1"/>
      <c r="B533" s="1">
        <v>825297</v>
      </c>
      <c r="C533" s="1" t="s">
        <v>2012</v>
      </c>
      <c r="D533" s="1" t="s">
        <v>2013</v>
      </c>
      <c r="E533" s="2" t="s">
        <v>2014</v>
      </c>
      <c r="F533" s="2" t="s">
        <v>2015</v>
      </c>
      <c r="G533" s="2">
        <v>5</v>
      </c>
      <c r="H533" s="2">
        <v>0</v>
      </c>
      <c r="I533" s="1">
        <v>0</v>
      </c>
      <c r="J533" s="3" t="s">
        <v>17</v>
      </c>
      <c r="K533" s="2" t="str">
        <f>J533*1133.48</f>
        <v>0</v>
      </c>
      <c r="L533" s="5"/>
    </row>
    <row r="534" spans="1:12" customHeight="1" ht="105" outlineLevel="3">
      <c r="A534" s="1"/>
      <c r="B534" s="1">
        <v>825298</v>
      </c>
      <c r="C534" s="1" t="s">
        <v>2016</v>
      </c>
      <c r="D534" s="1" t="s">
        <v>2017</v>
      </c>
      <c r="E534" s="2" t="s">
        <v>2018</v>
      </c>
      <c r="F534" s="2" t="s">
        <v>2019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J534*998.11</f>
        <v>0</v>
      </c>
      <c r="L534" s="5"/>
    </row>
    <row r="535" spans="1:12" customHeight="1" ht="105" outlineLevel="3">
      <c r="A535" s="1"/>
      <c r="B535" s="1">
        <v>825299</v>
      </c>
      <c r="C535" s="1" t="s">
        <v>2020</v>
      </c>
      <c r="D535" s="1" t="s">
        <v>2021</v>
      </c>
      <c r="E535" s="2" t="s">
        <v>2022</v>
      </c>
      <c r="F535" s="2" t="s">
        <v>2023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J535*1777.56</f>
        <v>0</v>
      </c>
      <c r="L535" s="5"/>
    </row>
    <row r="536" spans="1:12" customHeight="1" ht="105" outlineLevel="3">
      <c r="A536" s="1"/>
      <c r="B536" s="1">
        <v>825300</v>
      </c>
      <c r="C536" s="1" t="s">
        <v>2024</v>
      </c>
      <c r="D536" s="1" t="s">
        <v>2025</v>
      </c>
      <c r="E536" s="2" t="s">
        <v>2026</v>
      </c>
      <c r="F536" s="2" t="s">
        <v>2027</v>
      </c>
      <c r="G536" s="2">
        <v>0</v>
      </c>
      <c r="H536" s="2">
        <v>0</v>
      </c>
      <c r="I536" s="1">
        <v>0</v>
      </c>
      <c r="J536" s="3" t="s">
        <v>17</v>
      </c>
      <c r="K536" s="2" t="str">
        <f>J536*2710.23</f>
        <v>0</v>
      </c>
      <c r="L536" s="5"/>
    </row>
    <row r="537" spans="1:12" customHeight="1" ht="105" outlineLevel="3">
      <c r="A537" s="1"/>
      <c r="B537" s="1">
        <v>825301</v>
      </c>
      <c r="C537" s="1" t="s">
        <v>2028</v>
      </c>
      <c r="D537" s="1" t="s">
        <v>2029</v>
      </c>
      <c r="E537" s="2" t="s">
        <v>2030</v>
      </c>
      <c r="F537" s="2" t="s">
        <v>2031</v>
      </c>
      <c r="G537" s="2" t="s">
        <v>22</v>
      </c>
      <c r="H537" s="2">
        <v>0</v>
      </c>
      <c r="I537" s="1">
        <v>0</v>
      </c>
      <c r="J537" s="3" t="s">
        <v>17</v>
      </c>
      <c r="K537" s="2" t="str">
        <f>J537*191.89</f>
        <v>0</v>
      </c>
      <c r="L537" s="5"/>
    </row>
    <row r="538" spans="1:12" customHeight="1" ht="105" outlineLevel="3">
      <c r="A538" s="1"/>
      <c r="B538" s="1">
        <v>825302</v>
      </c>
      <c r="C538" s="1" t="s">
        <v>2032</v>
      </c>
      <c r="D538" s="1" t="s">
        <v>2033</v>
      </c>
      <c r="E538" s="2" t="s">
        <v>2034</v>
      </c>
      <c r="F538" s="2" t="s">
        <v>2035</v>
      </c>
      <c r="G538" s="2">
        <v>8</v>
      </c>
      <c r="H538" s="2">
        <v>0</v>
      </c>
      <c r="I538" s="1">
        <v>0</v>
      </c>
      <c r="J538" s="3" t="s">
        <v>17</v>
      </c>
      <c r="K538" s="2" t="str">
        <f>J538*309.40</f>
        <v>0</v>
      </c>
      <c r="L538" s="5"/>
    </row>
    <row r="539" spans="1:12" customHeight="1" ht="105" outlineLevel="3">
      <c r="A539" s="1"/>
      <c r="B539" s="1">
        <v>825427</v>
      </c>
      <c r="C539" s="1" t="s">
        <v>2036</v>
      </c>
      <c r="D539" s="1" t="s">
        <v>2037</v>
      </c>
      <c r="E539" s="2" t="s">
        <v>2038</v>
      </c>
      <c r="F539" s="2" t="s">
        <v>1532</v>
      </c>
      <c r="G539" s="2">
        <v>10</v>
      </c>
      <c r="H539" s="2">
        <v>0</v>
      </c>
      <c r="I539" s="1">
        <v>0</v>
      </c>
      <c r="J539" s="3" t="s">
        <v>17</v>
      </c>
      <c r="K539" s="2" t="str">
        <f>J539*212.71</f>
        <v>0</v>
      </c>
      <c r="L539" s="5"/>
    </row>
    <row r="540" spans="1:12" customHeight="1" ht="105" outlineLevel="3">
      <c r="A540" s="1"/>
      <c r="B540" s="1">
        <v>825428</v>
      </c>
      <c r="C540" s="1" t="s">
        <v>2039</v>
      </c>
      <c r="D540" s="1" t="s">
        <v>2040</v>
      </c>
      <c r="E540" s="2" t="s">
        <v>2041</v>
      </c>
      <c r="F540" s="2" t="s">
        <v>2042</v>
      </c>
      <c r="G540" s="2">
        <v>10</v>
      </c>
      <c r="H540" s="2">
        <v>0</v>
      </c>
      <c r="I540" s="1">
        <v>0</v>
      </c>
      <c r="J540" s="3" t="s">
        <v>17</v>
      </c>
      <c r="K540" s="2" t="str">
        <f>J540*401.63</f>
        <v>0</v>
      </c>
      <c r="L540" s="5"/>
    </row>
    <row r="541" spans="1:12" customHeight="1" ht="105" outlineLevel="3">
      <c r="A541" s="1"/>
      <c r="B541" s="1">
        <v>825429</v>
      </c>
      <c r="C541" s="1" t="s">
        <v>2043</v>
      </c>
      <c r="D541" s="1" t="s">
        <v>2044</v>
      </c>
      <c r="E541" s="2" t="s">
        <v>2045</v>
      </c>
      <c r="F541" s="2" t="s">
        <v>1925</v>
      </c>
      <c r="G541" s="2" t="s">
        <v>22</v>
      </c>
      <c r="H541" s="2">
        <v>0</v>
      </c>
      <c r="I541" s="1">
        <v>0</v>
      </c>
      <c r="J541" s="3" t="s">
        <v>17</v>
      </c>
      <c r="K541" s="2" t="str">
        <f>J541*243.95</f>
        <v>0</v>
      </c>
      <c r="L541" s="5"/>
    </row>
    <row r="542" spans="1:12" customHeight="1" ht="105" outlineLevel="3">
      <c r="A542" s="1"/>
      <c r="B542" s="1">
        <v>825430</v>
      </c>
      <c r="C542" s="1" t="s">
        <v>2046</v>
      </c>
      <c r="D542" s="1" t="s">
        <v>2047</v>
      </c>
      <c r="E542" s="2" t="s">
        <v>2048</v>
      </c>
      <c r="F542" s="2" t="s">
        <v>2049</v>
      </c>
      <c r="G542" s="2">
        <v>10</v>
      </c>
      <c r="H542" s="2">
        <v>0</v>
      </c>
      <c r="I542" s="1">
        <v>0</v>
      </c>
      <c r="J542" s="3" t="s">
        <v>17</v>
      </c>
      <c r="K542" s="2" t="str">
        <f>J542*367.41</f>
        <v>0</v>
      </c>
      <c r="L542" s="5"/>
    </row>
    <row r="543" spans="1:12" customHeight="1" ht="105" outlineLevel="3">
      <c r="A543" s="1"/>
      <c r="B543" s="1">
        <v>826748</v>
      </c>
      <c r="C543" s="1" t="s">
        <v>2050</v>
      </c>
      <c r="D543" s="1" t="s">
        <v>2051</v>
      </c>
      <c r="E543" s="2" t="s">
        <v>2052</v>
      </c>
      <c r="F543" s="2" t="s">
        <v>2053</v>
      </c>
      <c r="G543" s="2">
        <v>8</v>
      </c>
      <c r="H543" s="2">
        <v>0</v>
      </c>
      <c r="I543" s="1">
        <v>0</v>
      </c>
      <c r="J543" s="3" t="s">
        <v>17</v>
      </c>
      <c r="K543" s="2" t="str">
        <f>J543*301.96</f>
        <v>0</v>
      </c>
      <c r="L543" s="5"/>
    </row>
    <row r="544" spans="1:12" customHeight="1" ht="105" outlineLevel="3">
      <c r="A544" s="1"/>
      <c r="B544" s="1">
        <v>826749</v>
      </c>
      <c r="C544" s="1" t="s">
        <v>2054</v>
      </c>
      <c r="D544" s="1" t="s">
        <v>2055</v>
      </c>
      <c r="E544" s="2" t="s">
        <v>2056</v>
      </c>
      <c r="F544" s="2" t="s">
        <v>1658</v>
      </c>
      <c r="G544" s="2">
        <v>8</v>
      </c>
      <c r="H544" s="2">
        <v>0</v>
      </c>
      <c r="I544" s="1">
        <v>0</v>
      </c>
      <c r="J544" s="3" t="s">
        <v>17</v>
      </c>
      <c r="K544" s="2" t="str">
        <f>J544*321.30</f>
        <v>0</v>
      </c>
      <c r="L544" s="5"/>
    </row>
    <row r="545" spans="1:12" customHeight="1" ht="105" outlineLevel="3">
      <c r="A545" s="1"/>
      <c r="B545" s="1">
        <v>826751</v>
      </c>
      <c r="C545" s="1" t="s">
        <v>2057</v>
      </c>
      <c r="D545" s="1" t="s">
        <v>2058</v>
      </c>
      <c r="E545" s="2" t="s">
        <v>2059</v>
      </c>
      <c r="F545" s="2" t="s">
        <v>2060</v>
      </c>
      <c r="G545" s="2">
        <v>5</v>
      </c>
      <c r="H545" s="2">
        <v>0</v>
      </c>
      <c r="I545" s="1">
        <v>0</v>
      </c>
      <c r="J545" s="3" t="s">
        <v>17</v>
      </c>
      <c r="K545" s="2" t="str">
        <f>J545*246.93</f>
        <v>0</v>
      </c>
      <c r="L545" s="5"/>
    </row>
    <row r="546" spans="1:12" customHeight="1" ht="105" outlineLevel="3">
      <c r="A546" s="1"/>
      <c r="B546" s="1">
        <v>826754</v>
      </c>
      <c r="C546" s="1" t="s">
        <v>2061</v>
      </c>
      <c r="D546" s="1" t="s">
        <v>2062</v>
      </c>
      <c r="E546" s="2" t="s">
        <v>2063</v>
      </c>
      <c r="F546" s="2" t="s">
        <v>2064</v>
      </c>
      <c r="G546" s="2">
        <v>4</v>
      </c>
      <c r="H546" s="2">
        <v>0</v>
      </c>
      <c r="I546" s="1">
        <v>0</v>
      </c>
      <c r="J546" s="3" t="s">
        <v>17</v>
      </c>
      <c r="K546" s="2" t="str">
        <f>J546*352.54</f>
        <v>0</v>
      </c>
      <c r="L546" s="5"/>
    </row>
    <row r="547" spans="1:12" customHeight="1" ht="105" outlineLevel="3">
      <c r="A547" s="1"/>
      <c r="B547" s="1">
        <v>826755</v>
      </c>
      <c r="C547" s="1" t="s">
        <v>2065</v>
      </c>
      <c r="D547" s="1" t="s">
        <v>2066</v>
      </c>
      <c r="E547" s="2" t="s">
        <v>2067</v>
      </c>
      <c r="F547" s="2" t="s">
        <v>2068</v>
      </c>
      <c r="G547" s="2">
        <v>10</v>
      </c>
      <c r="H547" s="2">
        <v>0</v>
      </c>
      <c r="I547" s="1">
        <v>0</v>
      </c>
      <c r="J547" s="3" t="s">
        <v>17</v>
      </c>
      <c r="K547" s="2" t="str">
        <f>J547*696.15</f>
        <v>0</v>
      </c>
      <c r="L547" s="5"/>
    </row>
    <row r="548" spans="1:12" customHeight="1" ht="105" outlineLevel="3">
      <c r="A548" s="1"/>
      <c r="B548" s="1">
        <v>826756</v>
      </c>
      <c r="C548" s="1" t="s">
        <v>2069</v>
      </c>
      <c r="D548" s="1" t="s">
        <v>2070</v>
      </c>
      <c r="E548" s="2" t="s">
        <v>2071</v>
      </c>
      <c r="F548" s="2" t="s">
        <v>2072</v>
      </c>
      <c r="G548" s="2">
        <v>9</v>
      </c>
      <c r="H548" s="2">
        <v>0</v>
      </c>
      <c r="I548" s="1">
        <v>0</v>
      </c>
      <c r="J548" s="3" t="s">
        <v>17</v>
      </c>
      <c r="K548" s="2" t="str">
        <f>J548*783.91</f>
        <v>0</v>
      </c>
      <c r="L548" s="5"/>
    </row>
    <row r="549" spans="1:12" customHeight="1" ht="105" outlineLevel="3">
      <c r="A549" s="1"/>
      <c r="B549" s="1">
        <v>826757</v>
      </c>
      <c r="C549" s="1" t="s">
        <v>2073</v>
      </c>
      <c r="D549" s="1" t="s">
        <v>2074</v>
      </c>
      <c r="E549" s="2" t="s">
        <v>2075</v>
      </c>
      <c r="F549" s="2" t="s">
        <v>2076</v>
      </c>
      <c r="G549" s="2" t="s">
        <v>22</v>
      </c>
      <c r="H549" s="2">
        <v>0</v>
      </c>
      <c r="I549" s="1">
        <v>0</v>
      </c>
      <c r="J549" s="3" t="s">
        <v>17</v>
      </c>
      <c r="K549" s="2" t="str">
        <f>J549*1112.65</f>
        <v>0</v>
      </c>
      <c r="L549" s="5"/>
    </row>
    <row r="550" spans="1:12" customHeight="1" ht="105" outlineLevel="3">
      <c r="A550" s="1"/>
      <c r="B550" s="1">
        <v>826758</v>
      </c>
      <c r="C550" s="1" t="s">
        <v>2077</v>
      </c>
      <c r="D550" s="1" t="s">
        <v>2078</v>
      </c>
      <c r="E550" s="2" t="s">
        <v>2079</v>
      </c>
      <c r="F550" s="2" t="s">
        <v>2080</v>
      </c>
      <c r="G550" s="2">
        <v>10</v>
      </c>
      <c r="H550" s="2">
        <v>0</v>
      </c>
      <c r="I550" s="1">
        <v>0</v>
      </c>
      <c r="J550" s="3" t="s">
        <v>17</v>
      </c>
      <c r="K550" s="2" t="str">
        <f>J550*1657.08</f>
        <v>0</v>
      </c>
      <c r="L550" s="5"/>
    </row>
    <row r="551" spans="1:12" customHeight="1" ht="105" outlineLevel="3">
      <c r="A551" s="1"/>
      <c r="B551" s="1">
        <v>826762</v>
      </c>
      <c r="C551" s="1" t="s">
        <v>2081</v>
      </c>
      <c r="D551" s="1" t="s">
        <v>2082</v>
      </c>
      <c r="E551" s="2" t="s">
        <v>2083</v>
      </c>
      <c r="F551" s="2" t="s">
        <v>2084</v>
      </c>
      <c r="G551" s="2" t="s">
        <v>16</v>
      </c>
      <c r="H551" s="2">
        <v>0</v>
      </c>
      <c r="I551" s="1">
        <v>0</v>
      </c>
      <c r="J551" s="3" t="s">
        <v>17</v>
      </c>
      <c r="K551" s="2" t="str">
        <f>J551*718.46</f>
        <v>0</v>
      </c>
      <c r="L551" s="5"/>
    </row>
    <row r="552" spans="1:12" customHeight="1" ht="105" outlineLevel="3">
      <c r="A552" s="1"/>
      <c r="B552" s="1">
        <v>826763</v>
      </c>
      <c r="C552" s="1" t="s">
        <v>2085</v>
      </c>
      <c r="D552" s="1" t="s">
        <v>2086</v>
      </c>
      <c r="E552" s="2" t="s">
        <v>2087</v>
      </c>
      <c r="F552" s="2" t="s">
        <v>2088</v>
      </c>
      <c r="G552" s="2">
        <v>10</v>
      </c>
      <c r="H552" s="2">
        <v>0</v>
      </c>
      <c r="I552" s="1">
        <v>0</v>
      </c>
      <c r="J552" s="3" t="s">
        <v>17</v>
      </c>
      <c r="K552" s="2" t="str">
        <f>J552*1056.13</f>
        <v>0</v>
      </c>
      <c r="L552" s="5"/>
    </row>
    <row r="553" spans="1:12" customHeight="1" ht="105" outlineLevel="3">
      <c r="A553" s="1"/>
      <c r="B553" s="1">
        <v>826764</v>
      </c>
      <c r="C553" s="1" t="s">
        <v>2089</v>
      </c>
      <c r="D553" s="1" t="s">
        <v>2090</v>
      </c>
      <c r="E553" s="2" t="s">
        <v>2091</v>
      </c>
      <c r="F553" s="2" t="s">
        <v>2092</v>
      </c>
      <c r="G553" s="2" t="s">
        <v>22</v>
      </c>
      <c r="H553" s="2">
        <v>0</v>
      </c>
      <c r="I553" s="1">
        <v>0</v>
      </c>
      <c r="J553" s="3" t="s">
        <v>17</v>
      </c>
      <c r="K553" s="2" t="str">
        <f>J553*1701.70</f>
        <v>0</v>
      </c>
      <c r="L553" s="5"/>
    </row>
    <row r="554" spans="1:12" customHeight="1" ht="105" outlineLevel="3">
      <c r="A554" s="1"/>
      <c r="B554" s="1">
        <v>826765</v>
      </c>
      <c r="C554" s="1" t="s">
        <v>2093</v>
      </c>
      <c r="D554" s="1" t="s">
        <v>2094</v>
      </c>
      <c r="E554" s="2" t="s">
        <v>2095</v>
      </c>
      <c r="F554" s="2" t="s">
        <v>2096</v>
      </c>
      <c r="G554" s="2">
        <v>7</v>
      </c>
      <c r="H554" s="2">
        <v>0</v>
      </c>
      <c r="I554" s="1">
        <v>0</v>
      </c>
      <c r="J554" s="3" t="s">
        <v>17</v>
      </c>
      <c r="K554" s="2" t="str">
        <f>J554*699.13</f>
        <v>0</v>
      </c>
      <c r="L554" s="5"/>
    </row>
    <row r="555" spans="1:12" customHeight="1" ht="105" outlineLevel="3">
      <c r="A555" s="1"/>
      <c r="B555" s="1">
        <v>826766</v>
      </c>
      <c r="C555" s="1" t="s">
        <v>2097</v>
      </c>
      <c r="D555" s="1" t="s">
        <v>2098</v>
      </c>
      <c r="E555" s="2" t="s">
        <v>2099</v>
      </c>
      <c r="F555" s="2" t="s">
        <v>2100</v>
      </c>
      <c r="G555" s="2">
        <v>2</v>
      </c>
      <c r="H555" s="2">
        <v>0</v>
      </c>
      <c r="I555" s="1">
        <v>0</v>
      </c>
      <c r="J555" s="3" t="s">
        <v>17</v>
      </c>
      <c r="K555" s="2" t="str">
        <f>J555*892.50</f>
        <v>0</v>
      </c>
      <c r="L555" s="5"/>
    </row>
    <row r="556" spans="1:12" customHeight="1" ht="105" outlineLevel="3">
      <c r="A556" s="1"/>
      <c r="B556" s="1">
        <v>826767</v>
      </c>
      <c r="C556" s="1" t="s">
        <v>2101</v>
      </c>
      <c r="D556" s="1" t="s">
        <v>2102</v>
      </c>
      <c r="E556" s="2" t="s">
        <v>2103</v>
      </c>
      <c r="F556" s="2" t="s">
        <v>2104</v>
      </c>
      <c r="G556" s="2" t="s">
        <v>22</v>
      </c>
      <c r="H556" s="2">
        <v>0</v>
      </c>
      <c r="I556" s="1">
        <v>0</v>
      </c>
      <c r="J556" s="3" t="s">
        <v>17</v>
      </c>
      <c r="K556" s="2" t="str">
        <f>J556*1326.85</f>
        <v>0</v>
      </c>
      <c r="L556" s="5"/>
    </row>
    <row r="557" spans="1:12" customHeight="1" ht="105" outlineLevel="3">
      <c r="A557" s="1"/>
      <c r="B557" s="1">
        <v>826750</v>
      </c>
      <c r="C557" s="1" t="s">
        <v>2105</v>
      </c>
      <c r="D557" s="1" t="s">
        <v>2106</v>
      </c>
      <c r="E557" s="2" t="s">
        <v>2107</v>
      </c>
      <c r="F557" s="2" t="s">
        <v>2108</v>
      </c>
      <c r="G557" s="2">
        <v>6</v>
      </c>
      <c r="H557" s="2">
        <v>0</v>
      </c>
      <c r="I557" s="1">
        <v>0</v>
      </c>
      <c r="J557" s="3" t="s">
        <v>17</v>
      </c>
      <c r="K557" s="2" t="str">
        <f>J557*453.69</f>
        <v>0</v>
      </c>
      <c r="L557" s="5"/>
    </row>
    <row r="558" spans="1:12" customHeight="1" ht="105" outlineLevel="3">
      <c r="A558" s="1"/>
      <c r="B558" s="1">
        <v>826752</v>
      </c>
      <c r="C558" s="1" t="s">
        <v>2109</v>
      </c>
      <c r="D558" s="1" t="s">
        <v>2110</v>
      </c>
      <c r="E558" s="2" t="s">
        <v>2111</v>
      </c>
      <c r="F558" s="2" t="s">
        <v>1852</v>
      </c>
      <c r="G558" s="2" t="s">
        <v>32</v>
      </c>
      <c r="H558" s="2">
        <v>0</v>
      </c>
      <c r="I558" s="1">
        <v>0</v>
      </c>
      <c r="J558" s="3" t="s">
        <v>17</v>
      </c>
      <c r="K558" s="2" t="str">
        <f>J558*43.14</f>
        <v>0</v>
      </c>
      <c r="L558" s="5"/>
    </row>
    <row r="559" spans="1:12" customHeight="1" ht="105" outlineLevel="3">
      <c r="A559" s="1"/>
      <c r="B559" s="1">
        <v>826753</v>
      </c>
      <c r="C559" s="1" t="s">
        <v>2112</v>
      </c>
      <c r="D559" s="1" t="s">
        <v>2113</v>
      </c>
      <c r="E559" s="2" t="s">
        <v>2114</v>
      </c>
      <c r="F559" s="2" t="s">
        <v>1237</v>
      </c>
      <c r="G559" s="2" t="s">
        <v>32</v>
      </c>
      <c r="H559" s="2">
        <v>0</v>
      </c>
      <c r="I559" s="1">
        <v>0</v>
      </c>
      <c r="J559" s="3" t="s">
        <v>17</v>
      </c>
      <c r="K559" s="2" t="str">
        <f>J559*62.48</f>
        <v>0</v>
      </c>
      <c r="L559" s="5"/>
    </row>
    <row r="560" spans="1:12" customHeight="1" ht="105" outlineLevel="3">
      <c r="A560" s="1"/>
      <c r="B560" s="1">
        <v>826769</v>
      </c>
      <c r="C560" s="1" t="s">
        <v>2115</v>
      </c>
      <c r="D560" s="1" t="s">
        <v>2116</v>
      </c>
      <c r="E560" s="2" t="s">
        <v>2117</v>
      </c>
      <c r="F560" s="2" t="s">
        <v>2118</v>
      </c>
      <c r="G560" s="2">
        <v>1</v>
      </c>
      <c r="H560" s="2">
        <v>0</v>
      </c>
      <c r="I560" s="1">
        <v>0</v>
      </c>
      <c r="J560" s="3" t="s">
        <v>17</v>
      </c>
      <c r="K560" s="2" t="str">
        <f>J560*835.98</f>
        <v>0</v>
      </c>
      <c r="L560" s="5"/>
    </row>
    <row r="561" spans="1:12" customHeight="1" ht="105" outlineLevel="3">
      <c r="A561" s="1"/>
      <c r="B561" s="1">
        <v>826768</v>
      </c>
      <c r="C561" s="1" t="s">
        <v>2119</v>
      </c>
      <c r="D561" s="1" t="s">
        <v>2120</v>
      </c>
      <c r="E561" s="2" t="s">
        <v>2121</v>
      </c>
      <c r="F561" s="2" t="s">
        <v>2122</v>
      </c>
      <c r="G561" s="2" t="s">
        <v>22</v>
      </c>
      <c r="H561" s="2">
        <v>0</v>
      </c>
      <c r="I561" s="1">
        <v>0</v>
      </c>
      <c r="J561" s="3" t="s">
        <v>17</v>
      </c>
      <c r="K561" s="2" t="str">
        <f>J561*316.84</f>
        <v>0</v>
      </c>
      <c r="L561" s="5"/>
    </row>
    <row r="562" spans="1:12" customHeight="1" ht="105" outlineLevel="3">
      <c r="A562" s="1"/>
      <c r="B562" s="1">
        <v>828486</v>
      </c>
      <c r="C562" s="1" t="s">
        <v>2123</v>
      </c>
      <c r="D562" s="1" t="s">
        <v>2124</v>
      </c>
      <c r="E562" s="2" t="s">
        <v>2125</v>
      </c>
      <c r="F562" s="2" t="s">
        <v>2126</v>
      </c>
      <c r="G562" s="2" t="s">
        <v>22</v>
      </c>
      <c r="H562" s="2">
        <v>0</v>
      </c>
      <c r="I562" s="1">
        <v>0</v>
      </c>
      <c r="J562" s="3" t="s">
        <v>17</v>
      </c>
      <c r="K562" s="2" t="str">
        <f>J562*462.61</f>
        <v>0</v>
      </c>
      <c r="L562" s="5"/>
    </row>
    <row r="563" spans="1:12" customHeight="1" ht="105" outlineLevel="3">
      <c r="A563" s="1"/>
      <c r="B563" s="1">
        <v>828487</v>
      </c>
      <c r="C563" s="1" t="s">
        <v>2127</v>
      </c>
      <c r="D563" s="1" t="s">
        <v>2128</v>
      </c>
      <c r="E563" s="2" t="s">
        <v>2129</v>
      </c>
      <c r="F563" s="2" t="s">
        <v>2130</v>
      </c>
      <c r="G563" s="2" t="s">
        <v>22</v>
      </c>
      <c r="H563" s="2">
        <v>0</v>
      </c>
      <c r="I563" s="1">
        <v>0</v>
      </c>
      <c r="J563" s="3" t="s">
        <v>17</v>
      </c>
      <c r="K563" s="2" t="str">
        <f>J563*476.00</f>
        <v>0</v>
      </c>
      <c r="L563" s="5"/>
    </row>
    <row r="564" spans="1:12" customHeight="1" ht="105" outlineLevel="3">
      <c r="A564" s="1"/>
      <c r="B564" s="1">
        <v>820537</v>
      </c>
      <c r="C564" s="1" t="s">
        <v>2131</v>
      </c>
      <c r="D564" s="1" t="s">
        <v>2132</v>
      </c>
      <c r="E564" s="2" t="s">
        <v>2133</v>
      </c>
      <c r="F564" s="2" t="s">
        <v>2134</v>
      </c>
      <c r="G564" s="2">
        <v>9</v>
      </c>
      <c r="H564" s="2">
        <v>0</v>
      </c>
      <c r="I564" s="1">
        <v>0</v>
      </c>
      <c r="J564" s="3" t="s">
        <v>17</v>
      </c>
      <c r="K564" s="2" t="str">
        <f>J564*224.61</f>
        <v>0</v>
      </c>
      <c r="L564" s="5"/>
    </row>
    <row r="565" spans="1:12" customHeight="1" ht="105" outlineLevel="3">
      <c r="A565" s="1"/>
      <c r="B565" s="1">
        <v>826770</v>
      </c>
      <c r="C565" s="1" t="s">
        <v>2135</v>
      </c>
      <c r="D565" s="1" t="s">
        <v>2136</v>
      </c>
      <c r="E565" s="2" t="s">
        <v>2137</v>
      </c>
      <c r="F565" s="2" t="s">
        <v>2138</v>
      </c>
      <c r="G565" s="2">
        <v>0</v>
      </c>
      <c r="H565" s="2">
        <v>0</v>
      </c>
      <c r="I565" s="1">
        <v>0</v>
      </c>
      <c r="J565" s="3" t="s">
        <v>17</v>
      </c>
      <c r="K565" s="2" t="str">
        <f>J565*226.10</f>
        <v>0</v>
      </c>
      <c r="L565" s="5"/>
    </row>
    <row r="566" spans="1:12" customHeight="1" ht="105" outlineLevel="3">
      <c r="A566" s="1"/>
      <c r="B566" s="1">
        <v>826771</v>
      </c>
      <c r="C566" s="1" t="s">
        <v>2139</v>
      </c>
      <c r="D566" s="1" t="s">
        <v>2140</v>
      </c>
      <c r="E566" s="2" t="s">
        <v>2141</v>
      </c>
      <c r="F566" s="2" t="s">
        <v>2142</v>
      </c>
      <c r="G566" s="2">
        <v>9</v>
      </c>
      <c r="H566" s="2">
        <v>0</v>
      </c>
      <c r="I566" s="1">
        <v>0</v>
      </c>
      <c r="J566" s="3" t="s">
        <v>17</v>
      </c>
      <c r="K566" s="2" t="str">
        <f>J566*346.59</f>
        <v>0</v>
      </c>
      <c r="L566" s="5"/>
    </row>
    <row r="567" spans="1:12" customHeight="1" ht="105" outlineLevel="3">
      <c r="A567" s="1"/>
      <c r="B567" s="1">
        <v>826772</v>
      </c>
      <c r="C567" s="1" t="s">
        <v>2143</v>
      </c>
      <c r="D567" s="1" t="s">
        <v>2144</v>
      </c>
      <c r="E567" s="2" t="s">
        <v>2145</v>
      </c>
      <c r="F567" s="2" t="s">
        <v>1293</v>
      </c>
      <c r="G567" s="2">
        <v>3</v>
      </c>
      <c r="H567" s="2">
        <v>0</v>
      </c>
      <c r="I567" s="1">
        <v>0</v>
      </c>
      <c r="J567" s="3" t="s">
        <v>17</v>
      </c>
      <c r="K567" s="2" t="str">
        <f>J567*541.45</f>
        <v>0</v>
      </c>
      <c r="L567" s="5"/>
    </row>
    <row r="568" spans="1:12" customHeight="1" ht="105" outlineLevel="3">
      <c r="A568" s="1"/>
      <c r="B568" s="1">
        <v>827061</v>
      </c>
      <c r="C568" s="1" t="s">
        <v>2146</v>
      </c>
      <c r="D568" s="1" t="s">
        <v>2147</v>
      </c>
      <c r="E568" s="2" t="s">
        <v>2148</v>
      </c>
      <c r="F568" s="2" t="s">
        <v>2149</v>
      </c>
      <c r="G568" s="2">
        <v>0</v>
      </c>
      <c r="H568" s="2">
        <v>0</v>
      </c>
      <c r="I568" s="1">
        <v>0</v>
      </c>
      <c r="J568" s="3" t="s">
        <v>17</v>
      </c>
      <c r="K568" s="2" t="str">
        <f>J568*544.43</f>
        <v>0</v>
      </c>
      <c r="L568" s="5"/>
    </row>
    <row r="569" spans="1:12" customHeight="1" ht="105" outlineLevel="3">
      <c r="A569" s="1"/>
      <c r="B569" s="1">
        <v>827062</v>
      </c>
      <c r="C569" s="1" t="s">
        <v>2150</v>
      </c>
      <c r="D569" s="1" t="s">
        <v>2151</v>
      </c>
      <c r="E569" s="2" t="s">
        <v>2152</v>
      </c>
      <c r="F569" s="2" t="s">
        <v>2153</v>
      </c>
      <c r="G569" s="2" t="s">
        <v>22</v>
      </c>
      <c r="H569" s="2">
        <v>0</v>
      </c>
      <c r="I569" s="1">
        <v>0</v>
      </c>
      <c r="J569" s="3" t="s">
        <v>17</v>
      </c>
      <c r="K569" s="2" t="str">
        <f>J569*763.09</f>
        <v>0</v>
      </c>
      <c r="L569" s="5"/>
    </row>
    <row r="570" spans="1:12" customHeight="1" ht="105" outlineLevel="3">
      <c r="A570" s="1"/>
      <c r="B570" s="1">
        <v>827063</v>
      </c>
      <c r="C570" s="1" t="s">
        <v>2154</v>
      </c>
      <c r="D570" s="1" t="s">
        <v>2155</v>
      </c>
      <c r="E570" s="2" t="s">
        <v>2156</v>
      </c>
      <c r="F570" s="2" t="s">
        <v>2157</v>
      </c>
      <c r="G570" s="2" t="s">
        <v>22</v>
      </c>
      <c r="H570" s="2">
        <v>0</v>
      </c>
      <c r="I570" s="1">
        <v>0</v>
      </c>
      <c r="J570" s="3" t="s">
        <v>17</v>
      </c>
      <c r="K570" s="2" t="str">
        <f>J570*1264.38</f>
        <v>0</v>
      </c>
      <c r="L570" s="5"/>
    </row>
    <row r="571" spans="1:12" customHeight="1" ht="105" outlineLevel="3">
      <c r="A571" s="1"/>
      <c r="B571" s="1">
        <v>828506</v>
      </c>
      <c r="C571" s="1" t="s">
        <v>2158</v>
      </c>
      <c r="D571" s="1" t="s">
        <v>2159</v>
      </c>
      <c r="E571" s="2" t="s">
        <v>2160</v>
      </c>
      <c r="F571" s="2" t="s">
        <v>1600</v>
      </c>
      <c r="G571" s="2" t="s">
        <v>32</v>
      </c>
      <c r="H571" s="2">
        <v>0</v>
      </c>
      <c r="I571" s="1">
        <v>0</v>
      </c>
      <c r="J571" s="3" t="s">
        <v>17</v>
      </c>
      <c r="K571" s="2" t="str">
        <f>J571*89.25</f>
        <v>0</v>
      </c>
      <c r="L571" s="5"/>
    </row>
    <row r="572" spans="1:12" customHeight="1" ht="105" outlineLevel="3">
      <c r="A572" s="1"/>
      <c r="B572" s="1">
        <v>828507</v>
      </c>
      <c r="C572" s="1" t="s">
        <v>2161</v>
      </c>
      <c r="D572" s="1" t="s">
        <v>2162</v>
      </c>
      <c r="E572" s="2" t="s">
        <v>2163</v>
      </c>
      <c r="F572" s="2" t="s">
        <v>2134</v>
      </c>
      <c r="G572" s="2" t="s">
        <v>22</v>
      </c>
      <c r="H572" s="2">
        <v>0</v>
      </c>
      <c r="I572" s="1">
        <v>0</v>
      </c>
      <c r="J572" s="3" t="s">
        <v>17</v>
      </c>
      <c r="K572" s="2" t="str">
        <f>J572*224.61</f>
        <v>0</v>
      </c>
      <c r="L572" s="5"/>
    </row>
    <row r="573" spans="1:12" customHeight="1" ht="105" outlineLevel="3">
      <c r="A573" s="1"/>
      <c r="B573" s="1">
        <v>828508</v>
      </c>
      <c r="C573" s="1" t="s">
        <v>2164</v>
      </c>
      <c r="D573" s="1" t="s">
        <v>2165</v>
      </c>
      <c r="E573" s="2" t="s">
        <v>2166</v>
      </c>
      <c r="F573" s="2" t="s">
        <v>1817</v>
      </c>
      <c r="G573" s="2" t="s">
        <v>22</v>
      </c>
      <c r="H573" s="2">
        <v>0</v>
      </c>
      <c r="I573" s="1">
        <v>0</v>
      </c>
      <c r="J573" s="3" t="s">
        <v>17</v>
      </c>
      <c r="K573" s="2" t="str">
        <f>J573*205.28</f>
        <v>0</v>
      </c>
      <c r="L573" s="5"/>
    </row>
    <row r="574" spans="1:12" customHeight="1" ht="105" outlineLevel="3">
      <c r="A574" s="1"/>
      <c r="B574" s="1">
        <v>827999</v>
      </c>
      <c r="C574" s="1" t="s">
        <v>2167</v>
      </c>
      <c r="D574" s="1" t="s">
        <v>2168</v>
      </c>
      <c r="E574" s="2" t="s">
        <v>2169</v>
      </c>
      <c r="F574" s="2" t="s">
        <v>1852</v>
      </c>
      <c r="G574" s="2" t="s">
        <v>32</v>
      </c>
      <c r="H574" s="2">
        <v>0</v>
      </c>
      <c r="I574" s="1">
        <v>0</v>
      </c>
      <c r="J574" s="3" t="s">
        <v>17</v>
      </c>
      <c r="K574" s="2" t="str">
        <f>J574*43.14</f>
        <v>0</v>
      </c>
      <c r="L574" s="5"/>
    </row>
    <row r="575" spans="1:12" customHeight="1" ht="105" outlineLevel="3">
      <c r="A575" s="1"/>
      <c r="B575" s="1">
        <v>833002</v>
      </c>
      <c r="C575" s="1" t="s">
        <v>2170</v>
      </c>
      <c r="D575" s="1" t="s">
        <v>2171</v>
      </c>
      <c r="E575" s="2" t="s">
        <v>2172</v>
      </c>
      <c r="F575" s="2" t="s">
        <v>2173</v>
      </c>
      <c r="G575" s="2" t="s">
        <v>23</v>
      </c>
      <c r="H575" s="2">
        <v>0</v>
      </c>
      <c r="I575" s="1">
        <v>0</v>
      </c>
      <c r="J575" s="3" t="s">
        <v>17</v>
      </c>
      <c r="K575" s="2" t="str">
        <f>J575*551.86</f>
        <v>0</v>
      </c>
      <c r="L575" s="5"/>
    </row>
    <row r="576" spans="1:12" customHeight="1" ht="105" outlineLevel="3">
      <c r="A576" s="1"/>
      <c r="B576" s="1">
        <v>833003</v>
      </c>
      <c r="C576" s="1" t="s">
        <v>2174</v>
      </c>
      <c r="D576" s="1" t="s">
        <v>2175</v>
      </c>
      <c r="E576" s="2" t="s">
        <v>2176</v>
      </c>
      <c r="F576" s="2" t="s">
        <v>2177</v>
      </c>
      <c r="G576" s="2" t="s">
        <v>32</v>
      </c>
      <c r="H576" s="2">
        <v>0</v>
      </c>
      <c r="I576" s="1">
        <v>0</v>
      </c>
      <c r="J576" s="3" t="s">
        <v>17</v>
      </c>
      <c r="K576" s="2" t="str">
        <f>J576*513.19</f>
        <v>0</v>
      </c>
      <c r="L576" s="5"/>
    </row>
    <row r="577" spans="1:12" customHeight="1" ht="105" outlineLevel="3">
      <c r="A577" s="1"/>
      <c r="B577" s="1">
        <v>833004</v>
      </c>
      <c r="C577" s="1" t="s">
        <v>2178</v>
      </c>
      <c r="D577" s="1" t="s">
        <v>2179</v>
      </c>
      <c r="E577" s="2" t="s">
        <v>2180</v>
      </c>
      <c r="F577" s="2" t="s">
        <v>2181</v>
      </c>
      <c r="G577" s="2">
        <v>9</v>
      </c>
      <c r="H577" s="2">
        <v>0</v>
      </c>
      <c r="I577" s="1">
        <v>0</v>
      </c>
      <c r="J577" s="3" t="s">
        <v>17</v>
      </c>
      <c r="K577" s="2" t="str">
        <f>J577*528.06</f>
        <v>0</v>
      </c>
      <c r="L577" s="5"/>
    </row>
    <row r="578" spans="1:12" customHeight="1" ht="105" outlineLevel="3">
      <c r="A578" s="1"/>
      <c r="B578" s="1">
        <v>833005</v>
      </c>
      <c r="C578" s="1" t="s">
        <v>2182</v>
      </c>
      <c r="D578" s="1" t="s">
        <v>2183</v>
      </c>
      <c r="E578" s="2" t="s">
        <v>2184</v>
      </c>
      <c r="F578" s="2" t="s">
        <v>2185</v>
      </c>
      <c r="G578" s="2" t="s">
        <v>16</v>
      </c>
      <c r="H578" s="2">
        <v>0</v>
      </c>
      <c r="I578" s="1">
        <v>0</v>
      </c>
      <c r="J578" s="3" t="s">
        <v>17</v>
      </c>
      <c r="K578" s="2" t="str">
        <f>J578*345.10</f>
        <v>0</v>
      </c>
      <c r="L578" s="5"/>
    </row>
    <row r="579" spans="1:12" customHeight="1" ht="105" outlineLevel="3">
      <c r="A579" s="1"/>
      <c r="B579" s="1">
        <v>833006</v>
      </c>
      <c r="C579" s="1" t="s">
        <v>2186</v>
      </c>
      <c r="D579" s="1" t="s">
        <v>2187</v>
      </c>
      <c r="E579" s="2" t="s">
        <v>2188</v>
      </c>
      <c r="F579" s="2" t="s">
        <v>2053</v>
      </c>
      <c r="G579" s="2" t="s">
        <v>23</v>
      </c>
      <c r="H579" s="2">
        <v>0</v>
      </c>
      <c r="I579" s="1">
        <v>0</v>
      </c>
      <c r="J579" s="3" t="s">
        <v>17</v>
      </c>
      <c r="K579" s="2" t="str">
        <f>J579*301.96</f>
        <v>0</v>
      </c>
      <c r="L579" s="5"/>
    </row>
    <row r="580" spans="1:12" customHeight="1" ht="105" outlineLevel="3">
      <c r="A580" s="1"/>
      <c r="B580" s="1">
        <v>833007</v>
      </c>
      <c r="C580" s="1" t="s">
        <v>2189</v>
      </c>
      <c r="D580" s="1" t="s">
        <v>2190</v>
      </c>
      <c r="E580" s="2" t="s">
        <v>2191</v>
      </c>
      <c r="F580" s="2" t="s">
        <v>1797</v>
      </c>
      <c r="G580" s="2" t="s">
        <v>22</v>
      </c>
      <c r="H580" s="2">
        <v>0</v>
      </c>
      <c r="I580" s="1">
        <v>0</v>
      </c>
      <c r="J580" s="3" t="s">
        <v>17</v>
      </c>
      <c r="K580" s="2" t="str">
        <f>J580*315.35</f>
        <v>0</v>
      </c>
      <c r="L580" s="5"/>
    </row>
    <row r="581" spans="1:12" customHeight="1" ht="105" outlineLevel="3">
      <c r="A581" s="1"/>
      <c r="B581" s="1">
        <v>833008</v>
      </c>
      <c r="C581" s="1" t="s">
        <v>2192</v>
      </c>
      <c r="D581" s="1" t="s">
        <v>2193</v>
      </c>
      <c r="E581" s="2" t="s">
        <v>2194</v>
      </c>
      <c r="F581" s="2" t="s">
        <v>2195</v>
      </c>
      <c r="G581" s="2" t="s">
        <v>22</v>
      </c>
      <c r="H581" s="2">
        <v>0</v>
      </c>
      <c r="I581" s="1">
        <v>0</v>
      </c>
      <c r="J581" s="3" t="s">
        <v>17</v>
      </c>
      <c r="K581" s="2" t="str">
        <f>J581*359.98</f>
        <v>0</v>
      </c>
      <c r="L581" s="5"/>
    </row>
    <row r="582" spans="1:12" customHeight="1" ht="105" outlineLevel="3">
      <c r="A582" s="1"/>
      <c r="B582" s="1">
        <v>833009</v>
      </c>
      <c r="C582" s="1" t="s">
        <v>2196</v>
      </c>
      <c r="D582" s="1" t="s">
        <v>2197</v>
      </c>
      <c r="E582" s="2" t="s">
        <v>2198</v>
      </c>
      <c r="F582" s="2" t="s">
        <v>2199</v>
      </c>
      <c r="G582" s="2">
        <v>0</v>
      </c>
      <c r="H582" s="2">
        <v>0</v>
      </c>
      <c r="I582" s="1">
        <v>0</v>
      </c>
      <c r="J582" s="3" t="s">
        <v>17</v>
      </c>
      <c r="K582" s="2" t="str">
        <f>J582*373.36</f>
        <v>0</v>
      </c>
      <c r="L582" s="5"/>
    </row>
    <row r="583" spans="1:12" customHeight="1" ht="105" outlineLevel="3">
      <c r="A583" s="1"/>
      <c r="B583" s="1">
        <v>833010</v>
      </c>
      <c r="C583" s="1" t="s">
        <v>2200</v>
      </c>
      <c r="D583" s="1" t="s">
        <v>2201</v>
      </c>
      <c r="E583" s="2" t="s">
        <v>2202</v>
      </c>
      <c r="F583" s="2" t="s">
        <v>2203</v>
      </c>
      <c r="G583" s="2" t="s">
        <v>32</v>
      </c>
      <c r="H583" s="2">
        <v>0</v>
      </c>
      <c r="I583" s="1">
        <v>0</v>
      </c>
      <c r="J583" s="3" t="s">
        <v>17</v>
      </c>
      <c r="K583" s="2" t="str">
        <f>J583*60.99</f>
        <v>0</v>
      </c>
      <c r="L583" s="5"/>
    </row>
    <row r="584" spans="1:12" customHeight="1" ht="105" outlineLevel="3">
      <c r="A584" s="1"/>
      <c r="B584" s="1">
        <v>833011</v>
      </c>
      <c r="C584" s="1" t="s">
        <v>2204</v>
      </c>
      <c r="D584" s="1" t="s">
        <v>2205</v>
      </c>
      <c r="E584" s="2" t="s">
        <v>2206</v>
      </c>
      <c r="F584" s="2" t="s">
        <v>2207</v>
      </c>
      <c r="G584" s="2" t="s">
        <v>22</v>
      </c>
      <c r="H584" s="2">
        <v>0</v>
      </c>
      <c r="I584" s="1">
        <v>0</v>
      </c>
      <c r="J584" s="3" t="s">
        <v>17</v>
      </c>
      <c r="K584" s="2" t="str">
        <f>J584*203.79</f>
        <v>0</v>
      </c>
      <c r="L584" s="5"/>
    </row>
    <row r="585" spans="1:12" customHeight="1" ht="105" outlineLevel="3">
      <c r="A585" s="1"/>
      <c r="B585" s="1">
        <v>833012</v>
      </c>
      <c r="C585" s="1" t="s">
        <v>2208</v>
      </c>
      <c r="D585" s="1" t="s">
        <v>2209</v>
      </c>
      <c r="E585" s="2" t="s">
        <v>2210</v>
      </c>
      <c r="F585" s="2" t="s">
        <v>1582</v>
      </c>
      <c r="G585" s="2" t="s">
        <v>22</v>
      </c>
      <c r="H585" s="2">
        <v>0</v>
      </c>
      <c r="I585" s="1">
        <v>0</v>
      </c>
      <c r="J585" s="3" t="s">
        <v>17</v>
      </c>
      <c r="K585" s="2" t="str">
        <f>J585*235.03</f>
        <v>0</v>
      </c>
      <c r="L585" s="5"/>
    </row>
    <row r="586" spans="1:12" customHeight="1" ht="105" outlineLevel="3">
      <c r="A586" s="1"/>
      <c r="B586" s="1">
        <v>833013</v>
      </c>
      <c r="C586" s="1" t="s">
        <v>2211</v>
      </c>
      <c r="D586" s="1" t="s">
        <v>2212</v>
      </c>
      <c r="E586" s="2" t="s">
        <v>2213</v>
      </c>
      <c r="F586" s="2" t="s">
        <v>2214</v>
      </c>
      <c r="G586" s="2">
        <v>0</v>
      </c>
      <c r="H586" s="2">
        <v>0</v>
      </c>
      <c r="I586" s="1">
        <v>0</v>
      </c>
      <c r="J586" s="3" t="s">
        <v>17</v>
      </c>
      <c r="K586" s="2" t="str">
        <f>J586*797.30</f>
        <v>0</v>
      </c>
      <c r="L586" s="5"/>
    </row>
    <row r="587" spans="1:12" customHeight="1" ht="105" outlineLevel="3">
      <c r="A587" s="1"/>
      <c r="B587" s="1">
        <v>833014</v>
      </c>
      <c r="C587" s="1" t="s">
        <v>2215</v>
      </c>
      <c r="D587" s="1" t="s">
        <v>2216</v>
      </c>
      <c r="E587" s="2" t="s">
        <v>2217</v>
      </c>
      <c r="F587" s="2" t="s">
        <v>2218</v>
      </c>
      <c r="G587" s="2">
        <v>2</v>
      </c>
      <c r="H587" s="2">
        <v>0</v>
      </c>
      <c r="I587" s="1">
        <v>0</v>
      </c>
      <c r="J587" s="3" t="s">
        <v>17</v>
      </c>
      <c r="K587" s="2" t="str">
        <f>J587*279.65</f>
        <v>0</v>
      </c>
      <c r="L587" s="5"/>
    </row>
    <row r="588" spans="1:12" customHeight="1" ht="105" outlineLevel="3">
      <c r="A588" s="1"/>
      <c r="B588" s="1">
        <v>833015</v>
      </c>
      <c r="C588" s="1" t="s">
        <v>2219</v>
      </c>
      <c r="D588" s="1" t="s">
        <v>2220</v>
      </c>
      <c r="E588" s="2" t="s">
        <v>2221</v>
      </c>
      <c r="F588" s="2" t="s">
        <v>2222</v>
      </c>
      <c r="G588" s="2" t="s">
        <v>22</v>
      </c>
      <c r="H588" s="2">
        <v>0</v>
      </c>
      <c r="I588" s="1">
        <v>0</v>
      </c>
      <c r="J588" s="3" t="s">
        <v>17</v>
      </c>
      <c r="K588" s="2" t="str">
        <f>J588*255.85</f>
        <v>0</v>
      </c>
      <c r="L588" s="5"/>
    </row>
    <row r="589" spans="1:12" customHeight="1" ht="105" outlineLevel="3">
      <c r="A589" s="1"/>
      <c r="B589" s="1">
        <v>834458</v>
      </c>
      <c r="C589" s="1" t="s">
        <v>2223</v>
      </c>
      <c r="D589" s="1" t="s">
        <v>2224</v>
      </c>
      <c r="E589" s="2" t="s">
        <v>2225</v>
      </c>
      <c r="F589" s="2" t="s">
        <v>2226</v>
      </c>
      <c r="G589" s="2" t="s">
        <v>22</v>
      </c>
      <c r="H589" s="2">
        <v>0</v>
      </c>
      <c r="I589" s="1">
        <v>0</v>
      </c>
      <c r="J589" s="3" t="s">
        <v>17</v>
      </c>
      <c r="K589" s="2" t="str">
        <f>J589*282.63</f>
        <v>0</v>
      </c>
      <c r="L589" s="5"/>
    </row>
    <row r="590" spans="1:12" customHeight="1" ht="105" outlineLevel="3">
      <c r="A590" s="1"/>
      <c r="B590" s="1">
        <v>837322</v>
      </c>
      <c r="C590" s="1" t="s">
        <v>2227</v>
      </c>
      <c r="D590" s="1" t="s">
        <v>2228</v>
      </c>
      <c r="E590" s="2" t="s">
        <v>2229</v>
      </c>
      <c r="F590" s="2" t="s">
        <v>1929</v>
      </c>
      <c r="G590" s="2">
        <v>0</v>
      </c>
      <c r="H590" s="2">
        <v>0</v>
      </c>
      <c r="I590" s="1">
        <v>0</v>
      </c>
      <c r="J590" s="3" t="s">
        <v>17</v>
      </c>
      <c r="K590" s="2" t="str">
        <f>J590*293.04</f>
        <v>0</v>
      </c>
      <c r="L590" s="5"/>
    </row>
    <row r="591" spans="1:12" outlineLevel="1">
      <c r="A591" s="7" t="s">
        <v>2230</v>
      </c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5"/>
    </row>
    <row r="592" spans="1:12" customHeight="1" ht="105" outlineLevel="3">
      <c r="A592" s="1"/>
      <c r="B592" s="1">
        <v>824007</v>
      </c>
      <c r="C592" s="1" t="s">
        <v>2231</v>
      </c>
      <c r="D592" s="1" t="s">
        <v>2232</v>
      </c>
      <c r="E592" s="2" t="s">
        <v>2233</v>
      </c>
      <c r="F592" s="2" t="s">
        <v>2138</v>
      </c>
      <c r="G592" s="2" t="s">
        <v>22</v>
      </c>
      <c r="H592" s="2">
        <v>0</v>
      </c>
      <c r="I592" s="1">
        <v>0</v>
      </c>
      <c r="J592" s="3" t="s">
        <v>17</v>
      </c>
      <c r="K592" s="2" t="str">
        <f>J592*226.10</f>
        <v>0</v>
      </c>
      <c r="L592" s="5"/>
    </row>
    <row r="593" spans="1:12" customHeight="1" ht="105" outlineLevel="3">
      <c r="A593" s="1"/>
      <c r="B593" s="1">
        <v>824008</v>
      </c>
      <c r="C593" s="1" t="s">
        <v>2234</v>
      </c>
      <c r="D593" s="1" t="s">
        <v>2235</v>
      </c>
      <c r="E593" s="2" t="s">
        <v>2236</v>
      </c>
      <c r="F593" s="2" t="s">
        <v>2237</v>
      </c>
      <c r="G593" s="2" t="s">
        <v>22</v>
      </c>
      <c r="H593" s="2">
        <v>0</v>
      </c>
      <c r="I593" s="1">
        <v>0</v>
      </c>
      <c r="J593" s="3" t="s">
        <v>17</v>
      </c>
      <c r="K593" s="2" t="str">
        <f>J593*306.43</f>
        <v>0</v>
      </c>
      <c r="L593" s="5"/>
    </row>
    <row r="594" spans="1:12" customHeight="1" ht="105" outlineLevel="3">
      <c r="A594" s="1"/>
      <c r="B594" s="1">
        <v>824009</v>
      </c>
      <c r="C594" s="1" t="s">
        <v>2238</v>
      </c>
      <c r="D594" s="1" t="s">
        <v>2239</v>
      </c>
      <c r="E594" s="2" t="s">
        <v>2240</v>
      </c>
      <c r="F594" s="2" t="s">
        <v>2241</v>
      </c>
      <c r="G594" s="2" t="s">
        <v>22</v>
      </c>
      <c r="H594" s="2">
        <v>0</v>
      </c>
      <c r="I594" s="1">
        <v>0</v>
      </c>
      <c r="J594" s="3" t="s">
        <v>17</v>
      </c>
      <c r="K594" s="2" t="str">
        <f>J594*480.46</f>
        <v>0</v>
      </c>
      <c r="L594" s="5"/>
    </row>
    <row r="595" spans="1:12" customHeight="1" ht="105" outlineLevel="3">
      <c r="A595" s="1"/>
      <c r="B595" s="1">
        <v>824010</v>
      </c>
      <c r="C595" s="1" t="s">
        <v>2242</v>
      </c>
      <c r="D595" s="1" t="s">
        <v>2243</v>
      </c>
      <c r="E595" s="2" t="s">
        <v>2244</v>
      </c>
      <c r="F595" s="2" t="s">
        <v>1886</v>
      </c>
      <c r="G595" s="2" t="s">
        <v>16</v>
      </c>
      <c r="H595" s="2">
        <v>0</v>
      </c>
      <c r="I595" s="1">
        <v>0</v>
      </c>
      <c r="J595" s="3" t="s">
        <v>17</v>
      </c>
      <c r="K595" s="2" t="str">
        <f>J595*68.43</f>
        <v>0</v>
      </c>
      <c r="L595" s="5"/>
    </row>
    <row r="596" spans="1:12" customHeight="1" ht="105" outlineLevel="3">
      <c r="A596" s="1"/>
      <c r="B596" s="1">
        <v>824011</v>
      </c>
      <c r="C596" s="1" t="s">
        <v>2245</v>
      </c>
      <c r="D596" s="1" t="s">
        <v>2246</v>
      </c>
      <c r="E596" s="2" t="s">
        <v>2247</v>
      </c>
      <c r="F596" s="2" t="s">
        <v>2248</v>
      </c>
      <c r="G596" s="2" t="s">
        <v>22</v>
      </c>
      <c r="H596" s="2">
        <v>0</v>
      </c>
      <c r="I596" s="1">
        <v>0</v>
      </c>
      <c r="J596" s="3" t="s">
        <v>17</v>
      </c>
      <c r="K596" s="2" t="str">
        <f>J596*110.08</f>
        <v>0</v>
      </c>
      <c r="L596" s="5"/>
    </row>
    <row r="597" spans="1:12" customHeight="1" ht="105" outlineLevel="3">
      <c r="A597" s="1"/>
      <c r="B597" s="1">
        <v>824012</v>
      </c>
      <c r="C597" s="1" t="s">
        <v>2249</v>
      </c>
      <c r="D597" s="1" t="s">
        <v>2250</v>
      </c>
      <c r="E597" s="2" t="s">
        <v>2251</v>
      </c>
      <c r="F597" s="2" t="s">
        <v>2031</v>
      </c>
      <c r="G597" s="2" t="s">
        <v>22</v>
      </c>
      <c r="H597" s="2">
        <v>0</v>
      </c>
      <c r="I597" s="1">
        <v>0</v>
      </c>
      <c r="J597" s="3" t="s">
        <v>17</v>
      </c>
      <c r="K597" s="2" t="str">
        <f>J597*191.89</f>
        <v>0</v>
      </c>
      <c r="L597" s="5"/>
    </row>
    <row r="598" spans="1:12" customHeight="1" ht="105" outlineLevel="3">
      <c r="A598" s="1"/>
      <c r="B598" s="1">
        <v>824013</v>
      </c>
      <c r="C598" s="1" t="s">
        <v>2252</v>
      </c>
      <c r="D598" s="1" t="s">
        <v>2253</v>
      </c>
      <c r="E598" s="2" t="s">
        <v>2254</v>
      </c>
      <c r="F598" s="2" t="s">
        <v>1261</v>
      </c>
      <c r="G598" s="2" t="s">
        <v>16</v>
      </c>
      <c r="H598" s="2">
        <v>0</v>
      </c>
      <c r="I598" s="1">
        <v>0</v>
      </c>
      <c r="J598" s="3" t="s">
        <v>17</v>
      </c>
      <c r="K598" s="2" t="str">
        <f>J598*93.71</f>
        <v>0</v>
      </c>
      <c r="L598" s="5"/>
    </row>
    <row r="599" spans="1:12" customHeight="1" ht="105" outlineLevel="3">
      <c r="A599" s="1"/>
      <c r="B599" s="1">
        <v>824014</v>
      </c>
      <c r="C599" s="1" t="s">
        <v>2255</v>
      </c>
      <c r="D599" s="1" t="s">
        <v>2256</v>
      </c>
      <c r="E599" s="2" t="s">
        <v>2257</v>
      </c>
      <c r="F599" s="2" t="s">
        <v>2258</v>
      </c>
      <c r="G599" s="2" t="s">
        <v>22</v>
      </c>
      <c r="H599" s="2">
        <v>0</v>
      </c>
      <c r="I599" s="1">
        <v>0</v>
      </c>
      <c r="J599" s="3" t="s">
        <v>17</v>
      </c>
      <c r="K599" s="2" t="str">
        <f>J599*135.36</f>
        <v>0</v>
      </c>
      <c r="L599" s="5"/>
    </row>
    <row r="600" spans="1:12" customHeight="1" ht="105" outlineLevel="3">
      <c r="A600" s="1"/>
      <c r="B600" s="1">
        <v>824015</v>
      </c>
      <c r="C600" s="1" t="s">
        <v>2259</v>
      </c>
      <c r="D600" s="1" t="s">
        <v>2260</v>
      </c>
      <c r="E600" s="2" t="s">
        <v>2261</v>
      </c>
      <c r="F600" s="2" t="s">
        <v>2262</v>
      </c>
      <c r="G600" s="2" t="s">
        <v>16</v>
      </c>
      <c r="H600" s="2">
        <v>0</v>
      </c>
      <c r="I600" s="1">
        <v>0</v>
      </c>
      <c r="J600" s="3" t="s">
        <v>17</v>
      </c>
      <c r="K600" s="2" t="str">
        <f>J600*209.74</f>
        <v>0</v>
      </c>
      <c r="L600" s="5"/>
    </row>
    <row r="601" spans="1:12" customHeight="1" ht="105" outlineLevel="3">
      <c r="A601" s="1"/>
      <c r="B601" s="1">
        <v>824016</v>
      </c>
      <c r="C601" s="1" t="s">
        <v>2263</v>
      </c>
      <c r="D601" s="1" t="s">
        <v>2264</v>
      </c>
      <c r="E601" s="2" t="s">
        <v>2265</v>
      </c>
      <c r="F601" s="2" t="s">
        <v>1975</v>
      </c>
      <c r="G601" s="2" t="s">
        <v>22</v>
      </c>
      <c r="H601" s="2">
        <v>0</v>
      </c>
      <c r="I601" s="1">
        <v>0</v>
      </c>
      <c r="J601" s="3" t="s">
        <v>17</v>
      </c>
      <c r="K601" s="2" t="str">
        <f>J601*220.15</f>
        <v>0</v>
      </c>
      <c r="L601" s="5"/>
    </row>
    <row r="602" spans="1:12" customHeight="1" ht="105" outlineLevel="3">
      <c r="A602" s="1"/>
      <c r="B602" s="1">
        <v>824017</v>
      </c>
      <c r="C602" s="1" t="s">
        <v>2266</v>
      </c>
      <c r="D602" s="1" t="s">
        <v>2267</v>
      </c>
      <c r="E602" s="2" t="s">
        <v>2268</v>
      </c>
      <c r="F602" s="2" t="s">
        <v>2269</v>
      </c>
      <c r="G602" s="2" t="s">
        <v>16</v>
      </c>
      <c r="H602" s="2">
        <v>0</v>
      </c>
      <c r="I602" s="1">
        <v>0</v>
      </c>
      <c r="J602" s="3" t="s">
        <v>17</v>
      </c>
      <c r="K602" s="2" t="str">
        <f>J602*120.49</f>
        <v>0</v>
      </c>
      <c r="L602" s="5"/>
    </row>
    <row r="603" spans="1:12" customHeight="1" ht="105" outlineLevel="3">
      <c r="A603" s="1"/>
      <c r="B603" s="1">
        <v>824018</v>
      </c>
      <c r="C603" s="1" t="s">
        <v>2270</v>
      </c>
      <c r="D603" s="1" t="s">
        <v>2271</v>
      </c>
      <c r="E603" s="2" t="s">
        <v>2272</v>
      </c>
      <c r="F603" s="2" t="s">
        <v>2273</v>
      </c>
      <c r="G603" s="2" t="s">
        <v>32</v>
      </c>
      <c r="H603" s="2">
        <v>0</v>
      </c>
      <c r="I603" s="1">
        <v>0</v>
      </c>
      <c r="J603" s="3" t="s">
        <v>17</v>
      </c>
      <c r="K603" s="2" t="str">
        <f>J603*156.19</f>
        <v>0</v>
      </c>
      <c r="L603" s="5"/>
    </row>
    <row r="604" spans="1:12" customHeight="1" ht="105" outlineLevel="3">
      <c r="A604" s="1"/>
      <c r="B604" s="1">
        <v>824019</v>
      </c>
      <c r="C604" s="1" t="s">
        <v>2274</v>
      </c>
      <c r="D604" s="1" t="s">
        <v>2275</v>
      </c>
      <c r="E604" s="2" t="s">
        <v>2276</v>
      </c>
      <c r="F604" s="2" t="s">
        <v>1521</v>
      </c>
      <c r="G604" s="2" t="s">
        <v>22</v>
      </c>
      <c r="H604" s="2">
        <v>0</v>
      </c>
      <c r="I604" s="1">
        <v>0</v>
      </c>
      <c r="J604" s="3" t="s">
        <v>17</v>
      </c>
      <c r="K604" s="2" t="str">
        <f>J604*187.43</f>
        <v>0</v>
      </c>
      <c r="L604" s="5"/>
    </row>
    <row r="605" spans="1:12" customHeight="1" ht="105" outlineLevel="3">
      <c r="A605" s="1"/>
      <c r="B605" s="1">
        <v>824020</v>
      </c>
      <c r="C605" s="1" t="s">
        <v>2277</v>
      </c>
      <c r="D605" s="1" t="s">
        <v>2278</v>
      </c>
      <c r="E605" s="2" t="s">
        <v>2279</v>
      </c>
      <c r="F605" s="2" t="s">
        <v>2280</v>
      </c>
      <c r="G605" s="2">
        <v>8</v>
      </c>
      <c r="H605" s="2">
        <v>0</v>
      </c>
      <c r="I605" s="1">
        <v>0</v>
      </c>
      <c r="J605" s="3" t="s">
        <v>17</v>
      </c>
      <c r="K605" s="2" t="str">
        <f>J605*229.08</f>
        <v>0</v>
      </c>
      <c r="L605" s="5"/>
    </row>
    <row r="606" spans="1:12" customHeight="1" ht="105" outlineLevel="3">
      <c r="A606" s="1"/>
      <c r="B606" s="1">
        <v>824021</v>
      </c>
      <c r="C606" s="1" t="s">
        <v>2281</v>
      </c>
      <c r="D606" s="1" t="s">
        <v>2282</v>
      </c>
      <c r="E606" s="2" t="s">
        <v>2283</v>
      </c>
      <c r="F606" s="2" t="s">
        <v>1902</v>
      </c>
      <c r="G606" s="2" t="s">
        <v>22</v>
      </c>
      <c r="H606" s="2">
        <v>0</v>
      </c>
      <c r="I606" s="1">
        <v>0</v>
      </c>
      <c r="J606" s="3" t="s">
        <v>17</v>
      </c>
      <c r="K606" s="2" t="str">
        <f>J606*252.88</f>
        <v>0</v>
      </c>
      <c r="L606" s="5"/>
    </row>
    <row r="607" spans="1:12" customHeight="1" ht="105" outlineLevel="3">
      <c r="A607" s="1"/>
      <c r="B607" s="1">
        <v>824022</v>
      </c>
      <c r="C607" s="1" t="s">
        <v>2284</v>
      </c>
      <c r="D607" s="1" t="s">
        <v>2285</v>
      </c>
      <c r="E607" s="2" t="s">
        <v>2286</v>
      </c>
      <c r="F607" s="2" t="s">
        <v>2287</v>
      </c>
      <c r="G607" s="2" t="s">
        <v>22</v>
      </c>
      <c r="H607" s="2">
        <v>0</v>
      </c>
      <c r="I607" s="1">
        <v>0</v>
      </c>
      <c r="J607" s="3" t="s">
        <v>17</v>
      </c>
      <c r="K607" s="2" t="str">
        <f>J607*287.09</f>
        <v>0</v>
      </c>
      <c r="L607" s="5"/>
    </row>
    <row r="608" spans="1:12" customHeight="1" ht="105" outlineLevel="3">
      <c r="A608" s="1"/>
      <c r="B608" s="1">
        <v>824023</v>
      </c>
      <c r="C608" s="1" t="s">
        <v>2288</v>
      </c>
      <c r="D608" s="1" t="s">
        <v>2289</v>
      </c>
      <c r="E608" s="2" t="s">
        <v>2290</v>
      </c>
      <c r="F608" s="2" t="s">
        <v>1521</v>
      </c>
      <c r="G608" s="2" t="s">
        <v>22</v>
      </c>
      <c r="H608" s="2">
        <v>0</v>
      </c>
      <c r="I608" s="1">
        <v>0</v>
      </c>
      <c r="J608" s="3" t="s">
        <v>17</v>
      </c>
      <c r="K608" s="2" t="str">
        <f>J608*187.43</f>
        <v>0</v>
      </c>
      <c r="L608" s="5"/>
    </row>
    <row r="609" spans="1:12" customHeight="1" ht="105" outlineLevel="3">
      <c r="A609" s="1"/>
      <c r="B609" s="1">
        <v>824024</v>
      </c>
      <c r="C609" s="1" t="s">
        <v>2291</v>
      </c>
      <c r="D609" s="1" t="s">
        <v>2292</v>
      </c>
      <c r="E609" s="2" t="s">
        <v>2293</v>
      </c>
      <c r="F609" s="2" t="s">
        <v>1975</v>
      </c>
      <c r="G609" s="2" t="s">
        <v>22</v>
      </c>
      <c r="H609" s="2">
        <v>0</v>
      </c>
      <c r="I609" s="1">
        <v>0</v>
      </c>
      <c r="J609" s="3" t="s">
        <v>17</v>
      </c>
      <c r="K609" s="2" t="str">
        <f>J609*220.15</f>
        <v>0</v>
      </c>
      <c r="L609" s="5"/>
    </row>
    <row r="610" spans="1:12" customHeight="1" ht="105" outlineLevel="3">
      <c r="A610" s="1"/>
      <c r="B610" s="1">
        <v>824025</v>
      </c>
      <c r="C610" s="1" t="s">
        <v>2294</v>
      </c>
      <c r="D610" s="1" t="s">
        <v>2295</v>
      </c>
      <c r="E610" s="2" t="s">
        <v>2296</v>
      </c>
      <c r="F610" s="2" t="s">
        <v>1249</v>
      </c>
      <c r="G610" s="2" t="s">
        <v>16</v>
      </c>
      <c r="H610" s="2">
        <v>0</v>
      </c>
      <c r="I610" s="1">
        <v>0</v>
      </c>
      <c r="J610" s="3" t="s">
        <v>17</v>
      </c>
      <c r="K610" s="2" t="str">
        <f>J610*258.83</f>
        <v>0</v>
      </c>
      <c r="L610" s="5"/>
    </row>
    <row r="611" spans="1:12" customHeight="1" ht="105" outlineLevel="3">
      <c r="A611" s="1"/>
      <c r="B611" s="1">
        <v>824026</v>
      </c>
      <c r="C611" s="1" t="s">
        <v>2297</v>
      </c>
      <c r="D611" s="1" t="s">
        <v>2298</v>
      </c>
      <c r="E611" s="2" t="s">
        <v>2299</v>
      </c>
      <c r="F611" s="2" t="s">
        <v>2300</v>
      </c>
      <c r="G611" s="2" t="s">
        <v>22</v>
      </c>
      <c r="H611" s="2">
        <v>0</v>
      </c>
      <c r="I611" s="1">
        <v>0</v>
      </c>
      <c r="J611" s="3" t="s">
        <v>17</v>
      </c>
      <c r="K611" s="2" t="str">
        <f>J611*365.93</f>
        <v>0</v>
      </c>
      <c r="L611" s="5"/>
    </row>
    <row r="612" spans="1:12" customHeight="1" ht="105" outlineLevel="3">
      <c r="A612" s="1"/>
      <c r="B612" s="1">
        <v>824027</v>
      </c>
      <c r="C612" s="1" t="s">
        <v>2301</v>
      </c>
      <c r="D612" s="1" t="s">
        <v>2302</v>
      </c>
      <c r="E612" s="2" t="s">
        <v>2303</v>
      </c>
      <c r="F612" s="2" t="s">
        <v>2304</v>
      </c>
      <c r="G612" s="2" t="s">
        <v>22</v>
      </c>
      <c r="H612" s="2">
        <v>0</v>
      </c>
      <c r="I612" s="1">
        <v>0</v>
      </c>
      <c r="J612" s="3" t="s">
        <v>17</v>
      </c>
      <c r="K612" s="2" t="str">
        <f>J612*502.78</f>
        <v>0</v>
      </c>
      <c r="L612" s="5"/>
    </row>
    <row r="613" spans="1:12" customHeight="1" ht="105" outlineLevel="3">
      <c r="A613" s="1"/>
      <c r="B613" s="1">
        <v>824028</v>
      </c>
      <c r="C613" s="1" t="s">
        <v>2305</v>
      </c>
      <c r="D613" s="1" t="s">
        <v>2306</v>
      </c>
      <c r="E613" s="2" t="s">
        <v>2307</v>
      </c>
      <c r="F613" s="2" t="s">
        <v>2308</v>
      </c>
      <c r="G613" s="2">
        <v>0</v>
      </c>
      <c r="H613" s="2">
        <v>0</v>
      </c>
      <c r="I613" s="1">
        <v>0</v>
      </c>
      <c r="J613" s="3" t="s">
        <v>17</v>
      </c>
      <c r="K613" s="2" t="str">
        <f>J613*547.40</f>
        <v>0</v>
      </c>
      <c r="L613" s="5"/>
    </row>
    <row r="614" spans="1:12" customHeight="1" ht="105" outlineLevel="3">
      <c r="A614" s="1"/>
      <c r="B614" s="1">
        <v>824029</v>
      </c>
      <c r="C614" s="1" t="s">
        <v>2309</v>
      </c>
      <c r="D614" s="1" t="s">
        <v>2310</v>
      </c>
      <c r="E614" s="2" t="s">
        <v>2311</v>
      </c>
      <c r="F614" s="2" t="s">
        <v>2134</v>
      </c>
      <c r="G614" s="2" t="s">
        <v>22</v>
      </c>
      <c r="H614" s="2">
        <v>0</v>
      </c>
      <c r="I614" s="1">
        <v>0</v>
      </c>
      <c r="J614" s="3" t="s">
        <v>17</v>
      </c>
      <c r="K614" s="2" t="str">
        <f>J614*224.61</f>
        <v>0</v>
      </c>
      <c r="L614" s="5"/>
    </row>
    <row r="615" spans="1:12" customHeight="1" ht="105" outlineLevel="3">
      <c r="A615" s="1"/>
      <c r="B615" s="1">
        <v>824030</v>
      </c>
      <c r="C615" s="1" t="s">
        <v>2312</v>
      </c>
      <c r="D615" s="1" t="s">
        <v>2313</v>
      </c>
      <c r="E615" s="2" t="s">
        <v>2314</v>
      </c>
      <c r="F615" s="2" t="s">
        <v>2315</v>
      </c>
      <c r="G615" s="2" t="s">
        <v>16</v>
      </c>
      <c r="H615" s="2">
        <v>0</v>
      </c>
      <c r="I615" s="1">
        <v>0</v>
      </c>
      <c r="J615" s="3" t="s">
        <v>17</v>
      </c>
      <c r="K615" s="2" t="str">
        <f>J615*343.61</f>
        <v>0</v>
      </c>
      <c r="L615" s="5"/>
    </row>
    <row r="616" spans="1:12" customHeight="1" ht="105" outlineLevel="3">
      <c r="A616" s="1"/>
      <c r="B616" s="1">
        <v>824031</v>
      </c>
      <c r="C616" s="1" t="s">
        <v>2316</v>
      </c>
      <c r="D616" s="1" t="s">
        <v>2317</v>
      </c>
      <c r="E616" s="2" t="s">
        <v>2318</v>
      </c>
      <c r="F616" s="2" t="s">
        <v>2319</v>
      </c>
      <c r="G616" s="2" t="s">
        <v>22</v>
      </c>
      <c r="H616" s="2">
        <v>0</v>
      </c>
      <c r="I616" s="1">
        <v>0</v>
      </c>
      <c r="J616" s="3" t="s">
        <v>17</v>
      </c>
      <c r="K616" s="2" t="str">
        <f>J616*602.44</f>
        <v>0</v>
      </c>
      <c r="L616" s="5"/>
    </row>
    <row r="617" spans="1:12" customHeight="1" ht="105" outlineLevel="3">
      <c r="A617" s="1"/>
      <c r="B617" s="1">
        <v>824032</v>
      </c>
      <c r="C617" s="1" t="s">
        <v>2320</v>
      </c>
      <c r="D617" s="1" t="s">
        <v>2321</v>
      </c>
      <c r="E617" s="2" t="s">
        <v>2322</v>
      </c>
      <c r="F617" s="2" t="s">
        <v>2323</v>
      </c>
      <c r="G617" s="2">
        <v>9</v>
      </c>
      <c r="H617" s="2">
        <v>0</v>
      </c>
      <c r="I617" s="1">
        <v>0</v>
      </c>
      <c r="J617" s="3" t="s">
        <v>17</v>
      </c>
      <c r="K617" s="2" t="str">
        <f>J617*83.30</f>
        <v>0</v>
      </c>
      <c r="L617" s="5"/>
    </row>
    <row r="618" spans="1:12" customHeight="1" ht="105" outlineLevel="3">
      <c r="A618" s="1"/>
      <c r="B618" s="1">
        <v>824033</v>
      </c>
      <c r="C618" s="1" t="s">
        <v>2324</v>
      </c>
      <c r="D618" s="1" t="s">
        <v>2325</v>
      </c>
      <c r="E618" s="2" t="s">
        <v>2326</v>
      </c>
      <c r="F618" s="2" t="s">
        <v>2327</v>
      </c>
      <c r="G618" s="2" t="s">
        <v>16</v>
      </c>
      <c r="H618" s="2">
        <v>0</v>
      </c>
      <c r="I618" s="1">
        <v>0</v>
      </c>
      <c r="J618" s="3" t="s">
        <v>17</v>
      </c>
      <c r="K618" s="2" t="str">
        <f>J618*218.66</f>
        <v>0</v>
      </c>
      <c r="L618" s="5"/>
    </row>
    <row r="619" spans="1:12" customHeight="1" ht="105" outlineLevel="3">
      <c r="A619" s="1"/>
      <c r="B619" s="1">
        <v>824034</v>
      </c>
      <c r="C619" s="1" t="s">
        <v>2328</v>
      </c>
      <c r="D619" s="1" t="s">
        <v>2329</v>
      </c>
      <c r="E619" s="2" t="s">
        <v>2330</v>
      </c>
      <c r="F619" s="2" t="s">
        <v>1323</v>
      </c>
      <c r="G619" s="2" t="s">
        <v>16</v>
      </c>
      <c r="H619" s="2">
        <v>0</v>
      </c>
      <c r="I619" s="1">
        <v>0</v>
      </c>
      <c r="J619" s="3" t="s">
        <v>17</v>
      </c>
      <c r="K619" s="2" t="str">
        <f>J619*123.46</f>
        <v>0</v>
      </c>
      <c r="L619" s="5"/>
    </row>
    <row r="620" spans="1:12" customHeight="1" ht="105" outlineLevel="3">
      <c r="A620" s="1"/>
      <c r="B620" s="1">
        <v>824035</v>
      </c>
      <c r="C620" s="1" t="s">
        <v>2331</v>
      </c>
      <c r="D620" s="1" t="s">
        <v>2332</v>
      </c>
      <c r="E620" s="2" t="s">
        <v>2333</v>
      </c>
      <c r="F620" s="2" t="s">
        <v>1975</v>
      </c>
      <c r="G620" s="2" t="s">
        <v>22</v>
      </c>
      <c r="H620" s="2">
        <v>0</v>
      </c>
      <c r="I620" s="1">
        <v>0</v>
      </c>
      <c r="J620" s="3" t="s">
        <v>17</v>
      </c>
      <c r="K620" s="2" t="str">
        <f>J620*220.15</f>
        <v>0</v>
      </c>
      <c r="L620" s="5"/>
    </row>
    <row r="621" spans="1:12" customHeight="1" ht="105" outlineLevel="3">
      <c r="A621" s="1"/>
      <c r="B621" s="1">
        <v>824036</v>
      </c>
      <c r="C621" s="1" t="s">
        <v>2334</v>
      </c>
      <c r="D621" s="1" t="s">
        <v>2335</v>
      </c>
      <c r="E621" s="2" t="s">
        <v>2336</v>
      </c>
      <c r="F621" s="2" t="s">
        <v>2337</v>
      </c>
      <c r="G621" s="2" t="s">
        <v>22</v>
      </c>
      <c r="H621" s="2">
        <v>0</v>
      </c>
      <c r="I621" s="1">
        <v>0</v>
      </c>
      <c r="J621" s="3" t="s">
        <v>17</v>
      </c>
      <c r="K621" s="2" t="str">
        <f>J621*278.16</f>
        <v>0</v>
      </c>
      <c r="L621" s="5"/>
    </row>
    <row r="622" spans="1:12" customHeight="1" ht="105" outlineLevel="3">
      <c r="A622" s="1"/>
      <c r="B622" s="1">
        <v>824037</v>
      </c>
      <c r="C622" s="1" t="s">
        <v>2338</v>
      </c>
      <c r="D622" s="1" t="s">
        <v>2339</v>
      </c>
      <c r="E622" s="2" t="s">
        <v>2340</v>
      </c>
      <c r="F622" s="2" t="s">
        <v>2341</v>
      </c>
      <c r="G622" s="2">
        <v>9</v>
      </c>
      <c r="H622" s="2">
        <v>0</v>
      </c>
      <c r="I622" s="1">
        <v>0</v>
      </c>
      <c r="J622" s="3" t="s">
        <v>17</v>
      </c>
      <c r="K622" s="2" t="str">
        <f>J622*435.84</f>
        <v>0</v>
      </c>
      <c r="L622" s="5"/>
    </row>
    <row r="623" spans="1:12" customHeight="1" ht="105" outlineLevel="3">
      <c r="A623" s="1"/>
      <c r="B623" s="1">
        <v>824038</v>
      </c>
      <c r="C623" s="1" t="s">
        <v>2342</v>
      </c>
      <c r="D623" s="1" t="s">
        <v>2343</v>
      </c>
      <c r="E623" s="2" t="s">
        <v>2344</v>
      </c>
      <c r="F623" s="2" t="s">
        <v>2345</v>
      </c>
      <c r="G623" s="2">
        <v>10</v>
      </c>
      <c r="H623" s="2">
        <v>0</v>
      </c>
      <c r="I623" s="1">
        <v>0</v>
      </c>
      <c r="J623" s="3" t="s">
        <v>17</v>
      </c>
      <c r="K623" s="2" t="str">
        <f>J623*590.54</f>
        <v>0</v>
      </c>
      <c r="L623" s="5"/>
    </row>
    <row r="624" spans="1:12" customHeight="1" ht="105" outlineLevel="3">
      <c r="A624" s="1"/>
      <c r="B624" s="1">
        <v>824039</v>
      </c>
      <c r="C624" s="1" t="s">
        <v>2346</v>
      </c>
      <c r="D624" s="1" t="s">
        <v>2347</v>
      </c>
      <c r="E624" s="2" t="s">
        <v>2348</v>
      </c>
      <c r="F624" s="2" t="s">
        <v>2084</v>
      </c>
      <c r="G624" s="2">
        <v>10</v>
      </c>
      <c r="H624" s="2">
        <v>0</v>
      </c>
      <c r="I624" s="1">
        <v>0</v>
      </c>
      <c r="J624" s="3" t="s">
        <v>17</v>
      </c>
      <c r="K624" s="2" t="str">
        <f>J624*718.46</f>
        <v>0</v>
      </c>
      <c r="L624" s="5"/>
    </row>
    <row r="625" spans="1:12" customHeight="1" ht="105" outlineLevel="3">
      <c r="A625" s="1"/>
      <c r="B625" s="1">
        <v>824040</v>
      </c>
      <c r="C625" s="1" t="s">
        <v>2349</v>
      </c>
      <c r="D625" s="1" t="s">
        <v>2350</v>
      </c>
      <c r="E625" s="2" t="s">
        <v>2351</v>
      </c>
      <c r="F625" s="2" t="s">
        <v>451</v>
      </c>
      <c r="G625" s="2" t="s">
        <v>22</v>
      </c>
      <c r="H625" s="2">
        <v>0</v>
      </c>
      <c r="I625" s="1">
        <v>0</v>
      </c>
      <c r="J625" s="3" t="s">
        <v>17</v>
      </c>
      <c r="K625" s="2" t="str">
        <f>J625*119.00</f>
        <v>0</v>
      </c>
      <c r="L625" s="5"/>
    </row>
    <row r="626" spans="1:12" customHeight="1" ht="105" outlineLevel="3">
      <c r="A626" s="1"/>
      <c r="B626" s="1">
        <v>824041</v>
      </c>
      <c r="C626" s="1" t="s">
        <v>2352</v>
      </c>
      <c r="D626" s="1" t="s">
        <v>2353</v>
      </c>
      <c r="E626" s="2" t="s">
        <v>2354</v>
      </c>
      <c r="F626" s="2" t="s">
        <v>2262</v>
      </c>
      <c r="G626" s="2" t="s">
        <v>22</v>
      </c>
      <c r="H626" s="2">
        <v>0</v>
      </c>
      <c r="I626" s="1">
        <v>0</v>
      </c>
      <c r="J626" s="3" t="s">
        <v>17</v>
      </c>
      <c r="K626" s="2" t="str">
        <f>J626*209.74</f>
        <v>0</v>
      </c>
      <c r="L626" s="5"/>
    </row>
    <row r="627" spans="1:12" customHeight="1" ht="105" outlineLevel="3">
      <c r="A627" s="1"/>
      <c r="B627" s="1">
        <v>824042</v>
      </c>
      <c r="C627" s="1" t="s">
        <v>2355</v>
      </c>
      <c r="D627" s="1" t="s">
        <v>2356</v>
      </c>
      <c r="E627" s="2" t="s">
        <v>2357</v>
      </c>
      <c r="F627" s="2" t="s">
        <v>1281</v>
      </c>
      <c r="G627" s="2" t="s">
        <v>22</v>
      </c>
      <c r="H627" s="2">
        <v>0</v>
      </c>
      <c r="I627" s="1">
        <v>0</v>
      </c>
      <c r="J627" s="3" t="s">
        <v>17</v>
      </c>
      <c r="K627" s="2" t="str">
        <f>J627*263.29</f>
        <v>0</v>
      </c>
      <c r="L627" s="5"/>
    </row>
    <row r="628" spans="1:12" customHeight="1" ht="105" outlineLevel="3">
      <c r="A628" s="1"/>
      <c r="B628" s="1">
        <v>824043</v>
      </c>
      <c r="C628" s="1" t="s">
        <v>2358</v>
      </c>
      <c r="D628" s="1" t="s">
        <v>2359</v>
      </c>
      <c r="E628" s="2" t="s">
        <v>2360</v>
      </c>
      <c r="F628" s="2" t="s">
        <v>2361</v>
      </c>
      <c r="G628" s="2">
        <v>9</v>
      </c>
      <c r="H628" s="2">
        <v>0</v>
      </c>
      <c r="I628" s="1">
        <v>0</v>
      </c>
      <c r="J628" s="3" t="s">
        <v>17</v>
      </c>
      <c r="K628" s="2" t="str">
        <f>J628*398.65</f>
        <v>0</v>
      </c>
      <c r="L628" s="5"/>
    </row>
    <row r="629" spans="1:12" customHeight="1" ht="105" outlineLevel="3">
      <c r="A629" s="1"/>
      <c r="B629" s="1">
        <v>824044</v>
      </c>
      <c r="C629" s="1" t="s">
        <v>2362</v>
      </c>
      <c r="D629" s="1" t="s">
        <v>2363</v>
      </c>
      <c r="E629" s="2" t="s">
        <v>2364</v>
      </c>
      <c r="F629" s="2" t="s">
        <v>2345</v>
      </c>
      <c r="G629" s="2">
        <v>10</v>
      </c>
      <c r="H629" s="2">
        <v>0</v>
      </c>
      <c r="I629" s="1">
        <v>0</v>
      </c>
      <c r="J629" s="3" t="s">
        <v>17</v>
      </c>
      <c r="K629" s="2" t="str">
        <f>J629*590.54</f>
        <v>0</v>
      </c>
      <c r="L629" s="5"/>
    </row>
    <row r="630" spans="1:12" customHeight="1" ht="105" outlineLevel="3">
      <c r="A630" s="1"/>
      <c r="B630" s="1">
        <v>825303</v>
      </c>
      <c r="C630" s="1" t="s">
        <v>2365</v>
      </c>
      <c r="D630" s="1" t="s">
        <v>2366</v>
      </c>
      <c r="E630" s="2" t="s">
        <v>2367</v>
      </c>
      <c r="F630" s="2" t="s">
        <v>1604</v>
      </c>
      <c r="G630" s="2" t="s">
        <v>16</v>
      </c>
      <c r="H630" s="2">
        <v>0</v>
      </c>
      <c r="I630" s="1">
        <v>0</v>
      </c>
      <c r="J630" s="3" t="s">
        <v>17</v>
      </c>
      <c r="K630" s="2" t="str">
        <f>J630*108.59</f>
        <v>0</v>
      </c>
      <c r="L630" s="5"/>
    </row>
    <row r="631" spans="1:12" customHeight="1" ht="105" outlineLevel="3">
      <c r="A631" s="1"/>
      <c r="B631" s="1">
        <v>825304</v>
      </c>
      <c r="C631" s="1" t="s">
        <v>2368</v>
      </c>
      <c r="D631" s="1" t="s">
        <v>2369</v>
      </c>
      <c r="E631" s="2" t="s">
        <v>2370</v>
      </c>
      <c r="F631" s="2" t="s">
        <v>1312</v>
      </c>
      <c r="G631" s="2" t="s">
        <v>16</v>
      </c>
      <c r="H631" s="2">
        <v>0</v>
      </c>
      <c r="I631" s="1">
        <v>0</v>
      </c>
      <c r="J631" s="3" t="s">
        <v>17</v>
      </c>
      <c r="K631" s="2" t="str">
        <f>J631*127.93</f>
        <v>0</v>
      </c>
      <c r="L631" s="5"/>
    </row>
    <row r="632" spans="1:12" customHeight="1" ht="105" outlineLevel="3">
      <c r="A632" s="1"/>
      <c r="B632" s="1">
        <v>825305</v>
      </c>
      <c r="C632" s="1" t="s">
        <v>2371</v>
      </c>
      <c r="D632" s="1" t="s">
        <v>2372</v>
      </c>
      <c r="E632" s="2" t="s">
        <v>2373</v>
      </c>
      <c r="F632" s="2" t="s">
        <v>2374</v>
      </c>
      <c r="G632" s="2" t="s">
        <v>16</v>
      </c>
      <c r="H632" s="2">
        <v>0</v>
      </c>
      <c r="I632" s="1">
        <v>0</v>
      </c>
      <c r="J632" s="3" t="s">
        <v>17</v>
      </c>
      <c r="K632" s="2" t="str">
        <f>J632*141.31</f>
        <v>0</v>
      </c>
      <c r="L632" s="5"/>
    </row>
    <row r="633" spans="1:12" customHeight="1" ht="105" outlineLevel="3">
      <c r="A633" s="1"/>
      <c r="B633" s="1">
        <v>825306</v>
      </c>
      <c r="C633" s="1" t="s">
        <v>2375</v>
      </c>
      <c r="D633" s="1" t="s">
        <v>2376</v>
      </c>
      <c r="E633" s="2" t="s">
        <v>2377</v>
      </c>
      <c r="F633" s="2" t="s">
        <v>2378</v>
      </c>
      <c r="G633" s="2" t="s">
        <v>16</v>
      </c>
      <c r="H633" s="2">
        <v>0</v>
      </c>
      <c r="I633" s="1">
        <v>0</v>
      </c>
      <c r="J633" s="3" t="s">
        <v>17</v>
      </c>
      <c r="K633" s="2" t="str">
        <f>J633*160.65</f>
        <v>0</v>
      </c>
      <c r="L633" s="5"/>
    </row>
    <row r="634" spans="1:12" customHeight="1" ht="105" outlineLevel="3">
      <c r="A634" s="1"/>
      <c r="B634" s="1">
        <v>825307</v>
      </c>
      <c r="C634" s="1" t="s">
        <v>2379</v>
      </c>
      <c r="D634" s="1" t="s">
        <v>2380</v>
      </c>
      <c r="E634" s="2" t="s">
        <v>2381</v>
      </c>
      <c r="F634" s="2" t="s">
        <v>2382</v>
      </c>
      <c r="G634" s="2" t="s">
        <v>16</v>
      </c>
      <c r="H634" s="2">
        <v>0</v>
      </c>
      <c r="I634" s="1">
        <v>0</v>
      </c>
      <c r="J634" s="3" t="s">
        <v>17</v>
      </c>
      <c r="K634" s="2" t="str">
        <f>J634*184.45</f>
        <v>0</v>
      </c>
      <c r="L634" s="5"/>
    </row>
    <row r="635" spans="1:12" customHeight="1" ht="105" outlineLevel="3">
      <c r="A635" s="1"/>
      <c r="B635" s="1">
        <v>825308</v>
      </c>
      <c r="C635" s="1" t="s">
        <v>2383</v>
      </c>
      <c r="D635" s="1" t="s">
        <v>2384</v>
      </c>
      <c r="E635" s="2" t="s">
        <v>2385</v>
      </c>
      <c r="F635" s="2" t="s">
        <v>2386</v>
      </c>
      <c r="G635" s="2" t="s">
        <v>22</v>
      </c>
      <c r="H635" s="2">
        <v>0</v>
      </c>
      <c r="I635" s="1">
        <v>0</v>
      </c>
      <c r="J635" s="3" t="s">
        <v>17</v>
      </c>
      <c r="K635" s="2" t="str">
        <f>J635*242.46</f>
        <v>0</v>
      </c>
      <c r="L635" s="5"/>
    </row>
    <row r="636" spans="1:12" customHeight="1" ht="105" outlineLevel="3">
      <c r="A636" s="1"/>
      <c r="B636" s="1">
        <v>825309</v>
      </c>
      <c r="C636" s="1" t="s">
        <v>2387</v>
      </c>
      <c r="D636" s="1" t="s">
        <v>2388</v>
      </c>
      <c r="E636" s="2" t="s">
        <v>2389</v>
      </c>
      <c r="F636" s="2" t="s">
        <v>2226</v>
      </c>
      <c r="G636" s="2" t="s">
        <v>22</v>
      </c>
      <c r="H636" s="2">
        <v>0</v>
      </c>
      <c r="I636" s="1">
        <v>0</v>
      </c>
      <c r="J636" s="3" t="s">
        <v>17</v>
      </c>
      <c r="K636" s="2" t="str">
        <f>J636*282.63</f>
        <v>0</v>
      </c>
      <c r="L636" s="5"/>
    </row>
    <row r="637" spans="1:12" customHeight="1" ht="105" outlineLevel="3">
      <c r="A637" s="1"/>
      <c r="B637" s="1">
        <v>825310</v>
      </c>
      <c r="C637" s="1" t="s">
        <v>2390</v>
      </c>
      <c r="D637" s="1" t="s">
        <v>2391</v>
      </c>
      <c r="E637" s="2" t="s">
        <v>2392</v>
      </c>
      <c r="F637" s="2" t="s">
        <v>1705</v>
      </c>
      <c r="G637" s="2">
        <v>7</v>
      </c>
      <c r="H637" s="2">
        <v>0</v>
      </c>
      <c r="I637" s="1">
        <v>0</v>
      </c>
      <c r="J637" s="3" t="s">
        <v>17</v>
      </c>
      <c r="K637" s="2" t="str">
        <f>J637*334.69</f>
        <v>0</v>
      </c>
      <c r="L637" s="5"/>
    </row>
    <row r="638" spans="1:12" customHeight="1" ht="105" outlineLevel="3">
      <c r="A638" s="1"/>
      <c r="B638" s="1">
        <v>825311</v>
      </c>
      <c r="C638" s="1" t="s">
        <v>2393</v>
      </c>
      <c r="D638" s="1" t="s">
        <v>2394</v>
      </c>
      <c r="E638" s="2" t="s">
        <v>2395</v>
      </c>
      <c r="F638" s="2" t="s">
        <v>2396</v>
      </c>
      <c r="G638" s="2" t="s">
        <v>22</v>
      </c>
      <c r="H638" s="2">
        <v>0</v>
      </c>
      <c r="I638" s="1">
        <v>0</v>
      </c>
      <c r="J638" s="3" t="s">
        <v>17</v>
      </c>
      <c r="K638" s="2" t="str">
        <f>J638*377.83</f>
        <v>0</v>
      </c>
      <c r="L638" s="5"/>
    </row>
    <row r="639" spans="1:12" customHeight="1" ht="105" outlineLevel="3">
      <c r="A639" s="1"/>
      <c r="B639" s="1">
        <v>825312</v>
      </c>
      <c r="C639" s="1" t="s">
        <v>2397</v>
      </c>
      <c r="D639" s="1" t="s">
        <v>2398</v>
      </c>
      <c r="E639" s="2" t="s">
        <v>2399</v>
      </c>
      <c r="F639" s="2" t="s">
        <v>2400</v>
      </c>
      <c r="G639" s="2" t="s">
        <v>22</v>
      </c>
      <c r="H639" s="2">
        <v>0</v>
      </c>
      <c r="I639" s="1">
        <v>0</v>
      </c>
      <c r="J639" s="3" t="s">
        <v>17</v>
      </c>
      <c r="K639" s="2" t="str">
        <f>J639*431.38</f>
        <v>0</v>
      </c>
      <c r="L639" s="5"/>
    </row>
    <row r="640" spans="1:12" customHeight="1" ht="105" outlineLevel="3">
      <c r="A640" s="1"/>
      <c r="B640" s="1">
        <v>825313</v>
      </c>
      <c r="C640" s="1" t="s">
        <v>2401</v>
      </c>
      <c r="D640" s="1" t="s">
        <v>2402</v>
      </c>
      <c r="E640" s="2" t="s">
        <v>2403</v>
      </c>
      <c r="F640" s="2" t="s">
        <v>2404</v>
      </c>
      <c r="G640" s="2">
        <v>10</v>
      </c>
      <c r="H640" s="2">
        <v>0</v>
      </c>
      <c r="I640" s="1">
        <v>0</v>
      </c>
      <c r="J640" s="3" t="s">
        <v>17</v>
      </c>
      <c r="K640" s="2" t="str">
        <f>J640*471.54</f>
        <v>0</v>
      </c>
      <c r="L640" s="5"/>
    </row>
    <row r="641" spans="1:12" customHeight="1" ht="105" outlineLevel="3">
      <c r="A641" s="1"/>
      <c r="B641" s="1">
        <v>825314</v>
      </c>
      <c r="C641" s="1" t="s">
        <v>2405</v>
      </c>
      <c r="D641" s="1" t="s">
        <v>2406</v>
      </c>
      <c r="E641" s="2" t="s">
        <v>2407</v>
      </c>
      <c r="F641" s="2" t="s">
        <v>2408</v>
      </c>
      <c r="G641" s="2">
        <v>0</v>
      </c>
      <c r="H641" s="2">
        <v>0</v>
      </c>
      <c r="I641" s="1">
        <v>0</v>
      </c>
      <c r="J641" s="3" t="s">
        <v>17</v>
      </c>
      <c r="K641" s="2" t="str">
        <f>J641*517.65</f>
        <v>0</v>
      </c>
      <c r="L641" s="5"/>
    </row>
    <row r="642" spans="1:12" customHeight="1" ht="105" outlineLevel="3">
      <c r="A642" s="1"/>
      <c r="B642" s="1">
        <v>825315</v>
      </c>
      <c r="C642" s="1" t="s">
        <v>2409</v>
      </c>
      <c r="D642" s="1" t="s">
        <v>2410</v>
      </c>
      <c r="E642" s="2" t="s">
        <v>2411</v>
      </c>
      <c r="F642" s="2" t="s">
        <v>2412</v>
      </c>
      <c r="G642" s="2" t="s">
        <v>16</v>
      </c>
      <c r="H642" s="2">
        <v>0</v>
      </c>
      <c r="I642" s="1">
        <v>0</v>
      </c>
      <c r="J642" s="3" t="s">
        <v>17</v>
      </c>
      <c r="K642" s="2" t="str">
        <f>J642*150.24</f>
        <v>0</v>
      </c>
      <c r="L642" s="5"/>
    </row>
    <row r="643" spans="1:12" customHeight="1" ht="105" outlineLevel="3">
      <c r="A643" s="1"/>
      <c r="B643" s="1">
        <v>825316</v>
      </c>
      <c r="C643" s="1" t="s">
        <v>2413</v>
      </c>
      <c r="D643" s="1" t="s">
        <v>2414</v>
      </c>
      <c r="E643" s="2" t="s">
        <v>2415</v>
      </c>
      <c r="F643" s="2" t="s">
        <v>2416</v>
      </c>
      <c r="G643" s="2" t="s">
        <v>32</v>
      </c>
      <c r="H643" s="2">
        <v>0</v>
      </c>
      <c r="I643" s="1">
        <v>0</v>
      </c>
      <c r="J643" s="3" t="s">
        <v>17</v>
      </c>
      <c r="K643" s="2" t="str">
        <f>J643*172.55</f>
        <v>0</v>
      </c>
      <c r="L643" s="5"/>
    </row>
    <row r="644" spans="1:12" customHeight="1" ht="105" outlineLevel="3">
      <c r="A644" s="1"/>
      <c r="B644" s="1">
        <v>825317</v>
      </c>
      <c r="C644" s="1" t="s">
        <v>2417</v>
      </c>
      <c r="D644" s="1" t="s">
        <v>2418</v>
      </c>
      <c r="E644" s="2" t="s">
        <v>2419</v>
      </c>
      <c r="F644" s="2" t="s">
        <v>2134</v>
      </c>
      <c r="G644" s="2" t="s">
        <v>22</v>
      </c>
      <c r="H644" s="2">
        <v>0</v>
      </c>
      <c r="I644" s="1">
        <v>0</v>
      </c>
      <c r="J644" s="3" t="s">
        <v>17</v>
      </c>
      <c r="K644" s="2" t="str">
        <f>J644*224.61</f>
        <v>0</v>
      </c>
      <c r="L644" s="5"/>
    </row>
    <row r="645" spans="1:12" customHeight="1" ht="105" outlineLevel="3">
      <c r="A645" s="1"/>
      <c r="B645" s="1">
        <v>825318</v>
      </c>
      <c r="C645" s="1" t="s">
        <v>2420</v>
      </c>
      <c r="D645" s="1" t="s">
        <v>2421</v>
      </c>
      <c r="E645" s="2" t="s">
        <v>2422</v>
      </c>
      <c r="F645" s="2" t="s">
        <v>1906</v>
      </c>
      <c r="G645" s="2" t="s">
        <v>22</v>
      </c>
      <c r="H645" s="2">
        <v>0</v>
      </c>
      <c r="I645" s="1">
        <v>0</v>
      </c>
      <c r="J645" s="3" t="s">
        <v>17</v>
      </c>
      <c r="K645" s="2" t="str">
        <f>J645*233.54</f>
        <v>0</v>
      </c>
      <c r="L645" s="5"/>
    </row>
    <row r="646" spans="1:12" customHeight="1" ht="105" outlineLevel="3">
      <c r="A646" s="1"/>
      <c r="B646" s="1">
        <v>825319</v>
      </c>
      <c r="C646" s="1" t="s">
        <v>2423</v>
      </c>
      <c r="D646" s="1" t="s">
        <v>2424</v>
      </c>
      <c r="E646" s="2" t="s">
        <v>2425</v>
      </c>
      <c r="F646" s="2" t="s">
        <v>2426</v>
      </c>
      <c r="G646" s="2">
        <v>10</v>
      </c>
      <c r="H646" s="2">
        <v>0</v>
      </c>
      <c r="I646" s="1">
        <v>0</v>
      </c>
      <c r="J646" s="3" t="s">
        <v>17</v>
      </c>
      <c r="K646" s="2" t="str">
        <f>J646*267.75</f>
        <v>0</v>
      </c>
      <c r="L646" s="5"/>
    </row>
    <row r="647" spans="1:12" customHeight="1" ht="105" outlineLevel="3">
      <c r="A647" s="1"/>
      <c r="B647" s="1">
        <v>825320</v>
      </c>
      <c r="C647" s="1" t="s">
        <v>2427</v>
      </c>
      <c r="D647" s="1" t="s">
        <v>2428</v>
      </c>
      <c r="E647" s="2" t="s">
        <v>2429</v>
      </c>
      <c r="F647" s="2" t="s">
        <v>1913</v>
      </c>
      <c r="G647" s="2" t="s">
        <v>16</v>
      </c>
      <c r="H647" s="2">
        <v>0</v>
      </c>
      <c r="I647" s="1">
        <v>0</v>
      </c>
      <c r="J647" s="3" t="s">
        <v>17</v>
      </c>
      <c r="K647" s="2" t="str">
        <f>J647*340.64</f>
        <v>0</v>
      </c>
      <c r="L647" s="5"/>
    </row>
    <row r="648" spans="1:12" customHeight="1" ht="105" outlineLevel="3">
      <c r="A648" s="1"/>
      <c r="B648" s="1">
        <v>825321</v>
      </c>
      <c r="C648" s="1" t="s">
        <v>2430</v>
      </c>
      <c r="D648" s="1" t="s">
        <v>2431</v>
      </c>
      <c r="E648" s="2" t="s">
        <v>2432</v>
      </c>
      <c r="F648" s="2" t="s">
        <v>2433</v>
      </c>
      <c r="G648" s="2" t="s">
        <v>22</v>
      </c>
      <c r="H648" s="2">
        <v>0</v>
      </c>
      <c r="I648" s="1">
        <v>0</v>
      </c>
      <c r="J648" s="3" t="s">
        <v>17</v>
      </c>
      <c r="K648" s="2" t="str">
        <f>J648*407.58</f>
        <v>0</v>
      </c>
      <c r="L648" s="5"/>
    </row>
    <row r="649" spans="1:12" customHeight="1" ht="105" outlineLevel="3">
      <c r="A649" s="1"/>
      <c r="B649" s="1">
        <v>825322</v>
      </c>
      <c r="C649" s="1" t="s">
        <v>2434</v>
      </c>
      <c r="D649" s="1" t="s">
        <v>2435</v>
      </c>
      <c r="E649" s="2" t="s">
        <v>2436</v>
      </c>
      <c r="F649" s="2" t="s">
        <v>2437</v>
      </c>
      <c r="G649" s="2" t="s">
        <v>22</v>
      </c>
      <c r="H649" s="2">
        <v>0</v>
      </c>
      <c r="I649" s="1">
        <v>0</v>
      </c>
      <c r="J649" s="3" t="s">
        <v>17</v>
      </c>
      <c r="K649" s="2" t="str">
        <f>J649*478.98</f>
        <v>0</v>
      </c>
      <c r="L649" s="5"/>
    </row>
    <row r="650" spans="1:12" customHeight="1" ht="105" outlineLevel="3">
      <c r="A650" s="1"/>
      <c r="B650" s="1">
        <v>825323</v>
      </c>
      <c r="C650" s="1" t="s">
        <v>2438</v>
      </c>
      <c r="D650" s="1" t="s">
        <v>2439</v>
      </c>
      <c r="E650" s="2" t="s">
        <v>2440</v>
      </c>
      <c r="F650" s="2" t="s">
        <v>2308</v>
      </c>
      <c r="G650" s="2">
        <v>9</v>
      </c>
      <c r="H650" s="2">
        <v>0</v>
      </c>
      <c r="I650" s="1">
        <v>0</v>
      </c>
      <c r="J650" s="3" t="s">
        <v>17</v>
      </c>
      <c r="K650" s="2" t="str">
        <f>J650*547.40</f>
        <v>0</v>
      </c>
      <c r="L650" s="5"/>
    </row>
    <row r="651" spans="1:12" customHeight="1" ht="105" outlineLevel="3">
      <c r="A651" s="1"/>
      <c r="B651" s="1">
        <v>825324</v>
      </c>
      <c r="C651" s="1" t="s">
        <v>2441</v>
      </c>
      <c r="D651" s="1" t="s">
        <v>2442</v>
      </c>
      <c r="E651" s="2" t="s">
        <v>2443</v>
      </c>
      <c r="F651" s="2" t="s">
        <v>2444</v>
      </c>
      <c r="G651" s="2">
        <v>0</v>
      </c>
      <c r="H651" s="2">
        <v>0</v>
      </c>
      <c r="I651" s="1">
        <v>0</v>
      </c>
      <c r="J651" s="3" t="s">
        <v>17</v>
      </c>
      <c r="K651" s="2" t="str">
        <f>J651*627.73</f>
        <v>0</v>
      </c>
      <c r="L651" s="5"/>
    </row>
    <row r="652" spans="1:12" customHeight="1" ht="105" outlineLevel="3">
      <c r="A652" s="1"/>
      <c r="B652" s="1">
        <v>825325</v>
      </c>
      <c r="C652" s="1" t="s">
        <v>2445</v>
      </c>
      <c r="D652" s="1" t="s">
        <v>2446</v>
      </c>
      <c r="E652" s="2" t="s">
        <v>2447</v>
      </c>
      <c r="F652" s="2" t="s">
        <v>2096</v>
      </c>
      <c r="G652" s="2" t="s">
        <v>22</v>
      </c>
      <c r="H652" s="2">
        <v>0</v>
      </c>
      <c r="I652" s="1">
        <v>0</v>
      </c>
      <c r="J652" s="3" t="s">
        <v>17</v>
      </c>
      <c r="K652" s="2" t="str">
        <f>J652*699.13</f>
        <v>0</v>
      </c>
      <c r="L652" s="5"/>
    </row>
    <row r="653" spans="1:12" customHeight="1" ht="105" outlineLevel="3">
      <c r="A653" s="1"/>
      <c r="B653" s="1">
        <v>825326</v>
      </c>
      <c r="C653" s="1" t="s">
        <v>2448</v>
      </c>
      <c r="D653" s="1" t="s">
        <v>2449</v>
      </c>
      <c r="E653" s="2" t="s">
        <v>2450</v>
      </c>
      <c r="F653" s="2" t="s">
        <v>2451</v>
      </c>
      <c r="G653" s="2">
        <v>9</v>
      </c>
      <c r="H653" s="2">
        <v>0</v>
      </c>
      <c r="I653" s="1">
        <v>0</v>
      </c>
      <c r="J653" s="3" t="s">
        <v>17</v>
      </c>
      <c r="K653" s="2" t="str">
        <f>J653*752.68</f>
        <v>0</v>
      </c>
      <c r="L65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16:K316"/>
    <mergeCell ref="A321:K321"/>
    <mergeCell ref="A591:K5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2025-10-29T11:21:23+03:00</dcterms:created>
  <dcterms:modified xsi:type="dcterms:W3CDTF">2025-10-29T11:21:23+03:00</dcterms:modified>
  <dc:title>Untitled Spreadsheet</dc:title>
  <dc:description/>
  <dc:subject/>
  <cp:keywords/>
  <cp:category/>
</cp:coreProperties>
</file>